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26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drawings/drawing34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drawings/drawing35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31.xml" ContentType="application/vnd.openxmlformats-officedocument.themeOverride+xml"/>
  <Override PartName="/xl/drawings/drawing56.xml" ContentType="application/vnd.openxmlformats-officedocument.drawingml.chartshapes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32.xml" ContentType="application/vnd.openxmlformats-officedocument.themeOverride+xml"/>
  <Override PartName="/xl/drawings/drawing57.xml" ContentType="application/vnd.openxmlformats-officedocument.drawingml.chartshapes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33.xml" ContentType="application/vnd.openxmlformats-officedocument.themeOverride+xml"/>
  <Override PartName="/xl/drawings/drawing58.xml" ContentType="application/vnd.openxmlformats-officedocument.drawingml.chartshapes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34.xml" ContentType="application/vnd.openxmlformats-officedocument.themeOverride+xml"/>
  <Override PartName="/xl/drawings/drawing59.xml" ContentType="application/vnd.openxmlformats-officedocument.drawingml.chartshapes+xml"/>
  <Override PartName="/xl/charts/chart35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35.xml" ContentType="application/vnd.openxmlformats-officedocument.themeOverride+xml"/>
  <Override PartName="/xl/drawings/drawing60.xml" ContentType="application/vnd.openxmlformats-officedocument.drawingml.chartshapes+xml"/>
  <Override PartName="/xl/charts/chart36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6.xml" ContentType="application/vnd.openxmlformats-officedocument.themeOverride+xml"/>
  <Override PartName="/xl/drawings/drawing61.xml" ContentType="application/vnd.openxmlformats-officedocument.drawingml.chartshapes+xml"/>
  <Override PartName="/xl/charts/chart37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7.xml" ContentType="application/vnd.openxmlformats-officedocument.themeOverride+xml"/>
  <Override PartName="/xl/drawings/drawing62.xml" ContentType="application/vnd.openxmlformats-officedocument.drawingml.chartshapes+xml"/>
  <Override PartName="/xl/charts/chart38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8.xml" ContentType="application/vnd.openxmlformats-officedocument.themeOverride+xml"/>
  <Override PartName="/xl/drawings/drawing63.xml" ContentType="application/vnd.openxmlformats-officedocument.drawingml.chartshapes+xml"/>
  <Override PartName="/xl/charts/chart39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9.xml" ContentType="application/vnd.openxmlformats-officedocument.themeOverride+xml"/>
  <Override PartName="/xl/drawings/drawing64.xml" ContentType="application/vnd.openxmlformats-officedocument.drawingml.chartshapes+xml"/>
  <Override PartName="/xl/charts/chart40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40.xml" ContentType="application/vnd.openxmlformats-officedocument.themeOverride+xml"/>
  <Override PartName="/xl/drawings/drawing65.xml" ContentType="application/vnd.openxmlformats-officedocument.drawingml.chartshapes+xml"/>
  <Override PartName="/xl/charts/chart41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41.xml" ContentType="application/vnd.openxmlformats-officedocument.themeOverride+xml"/>
  <Override PartName="/xl/drawings/drawing66.xml" ContentType="application/vnd.openxmlformats-officedocument.drawingml.chartshapes+xml"/>
  <Override PartName="/xl/charts/chart42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42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43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43.xml" ContentType="application/vnd.openxmlformats-officedocument.themeOverride+xml"/>
  <Override PartName="/xl/drawings/drawing69.xml" ContentType="application/vnd.openxmlformats-officedocument.drawingml.chartshapes+xml"/>
  <Override PartName="/xl/charts/chart44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44.xml" ContentType="application/vnd.openxmlformats-officedocument.themeOverride+xml"/>
  <Override PartName="/xl/drawings/drawing70.xml" ContentType="application/vnd.openxmlformats-officedocument.drawingml.chartshapes+xml"/>
  <Override PartName="/xl/charts/chart45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45.xml" ContentType="application/vnd.openxmlformats-officedocument.themeOverride+xml"/>
  <Override PartName="/xl/drawings/drawing71.xml" ContentType="application/vnd.openxmlformats-officedocument.drawingml.chartshapes+xml"/>
  <Override PartName="/xl/charts/chart46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46.xml" ContentType="application/vnd.openxmlformats-officedocument.themeOverride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47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47.xml" ContentType="application/vnd.openxmlformats-officedocument.themeOverride+xml"/>
  <Override PartName="/xl/drawings/drawing78.xml" ContentType="application/vnd.openxmlformats-officedocument.drawingml.chartshapes+xml"/>
  <Override PartName="/xl/charts/chart48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48.xml" ContentType="application/vnd.openxmlformats-officedocument.themeOverride+xml"/>
  <Override PartName="/xl/drawings/drawing79.xml" ContentType="application/vnd.openxmlformats-officedocument.drawingml.chartshapes+xml"/>
  <Override PartName="/xl/charts/chart49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49.xml" ContentType="application/vnd.openxmlformats-officedocument.themeOverride+xml"/>
  <Override PartName="/xl/drawings/drawing80.xml" ContentType="application/vnd.openxmlformats-officedocument.drawingml.chartshapes+xml"/>
  <Override PartName="/xl/charts/chart50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50.xml" ContentType="application/vnd.openxmlformats-officedocument.themeOverride+xml"/>
  <Override PartName="/xl/drawings/drawing81.xml" ContentType="application/vnd.openxmlformats-officedocument.drawingml.chartshapes+xml"/>
  <Override PartName="/xl/charts/chart51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51.xml" ContentType="application/vnd.openxmlformats-officedocument.themeOverride+xml"/>
  <Override PartName="/xl/drawings/drawing82.xml" ContentType="application/vnd.openxmlformats-officedocument.drawingml.chartshapes+xml"/>
  <Override PartName="/xl/charts/chart52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52.xml" ContentType="application/vnd.openxmlformats-officedocument.themeOverride+xml"/>
  <Override PartName="/xl/drawings/drawing83.xml" ContentType="application/vnd.openxmlformats-officedocument.drawingml.chartshapes+xml"/>
  <Override PartName="/xl/charts/chart53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53.xml" ContentType="application/vnd.openxmlformats-officedocument.themeOverride+xml"/>
  <Override PartName="/xl/drawings/drawing84.xml" ContentType="application/vnd.openxmlformats-officedocument.drawingml.chartshapes+xml"/>
  <Override PartName="/xl/charts/chart54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54.xml" ContentType="application/vnd.openxmlformats-officedocument.themeOverride+xml"/>
  <Override PartName="/xl/drawings/drawing85.xml" ContentType="application/vnd.openxmlformats-officedocument.drawingml.chartshapes+xml"/>
  <Override PartName="/xl/charts/chart55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55.xml" ContentType="application/vnd.openxmlformats-officedocument.themeOverride+xml"/>
  <Override PartName="/xl/drawings/drawing86.xml" ContentType="application/vnd.openxmlformats-officedocument.drawingml.chartshapes+xml"/>
  <Override PartName="/xl/charts/chart56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56.xml" ContentType="application/vnd.openxmlformats-officedocument.themeOverride+xml"/>
  <Override PartName="/xl/drawings/drawing87.xml" ContentType="application/vnd.openxmlformats-officedocument.drawingml.chartshapes+xml"/>
  <Override PartName="/xl/charts/chart57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57.xml" ContentType="application/vnd.openxmlformats-officedocument.themeOverride+xml"/>
  <Override PartName="/xl/drawings/drawing88.xml" ContentType="application/vnd.openxmlformats-officedocument.drawingml.chartshapes+xml"/>
  <Override PartName="/xl/charts/chart58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theme/themeOverride58.xml" ContentType="application/vnd.openxmlformats-officedocument.themeOverride+xml"/>
  <Override PartName="/xl/drawings/drawing89.xml" ContentType="application/vnd.openxmlformats-officedocument.drawingml.chartshapes+xml"/>
  <Override PartName="/xl/charts/chart59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theme/themeOverride59.xml" ContentType="application/vnd.openxmlformats-officedocument.themeOverride+xml"/>
  <Override PartName="/xl/drawings/drawing90.xml" ContentType="application/vnd.openxmlformats-officedocument.drawingml.chartshapes+xml"/>
  <Override PartName="/xl/drawings/drawing91.xml" ContentType="application/vnd.openxmlformats-officedocument.drawing+xml"/>
  <Override PartName="/xl/charts/chart60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theme/themeOverride60.xml" ContentType="application/vnd.openxmlformats-officedocument.themeOverride+xml"/>
  <Override PartName="/xl/drawings/drawing92.xml" ContentType="application/vnd.openxmlformats-officedocument.drawingml.chartshapes+xml"/>
  <Override PartName="/xl/charts/chart61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theme/themeOverride61.xml" ContentType="application/vnd.openxmlformats-officedocument.themeOverride+xml"/>
  <Override PartName="/xl/drawings/drawing93.xml" ContentType="application/vnd.openxmlformats-officedocument.drawingml.chartshapes+xml"/>
  <Override PartName="/xl/charts/chart62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62.xml" ContentType="application/vnd.openxmlformats-officedocument.themeOverride+xml"/>
  <Override PartName="/xl/drawings/drawing94.xml" ContentType="application/vnd.openxmlformats-officedocument.drawingml.chartshapes+xml"/>
  <Override PartName="/xl/charts/chart6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theme/themeOverride63.xml" ContentType="application/vnd.openxmlformats-officedocument.themeOverrid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harts/chart64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theme/themeOverride64.xml" ContentType="application/vnd.openxmlformats-officedocument.themeOverride+xml"/>
  <Override PartName="/xl/drawings/drawing98.xml" ContentType="application/vnd.openxmlformats-officedocument.drawingml.chartshapes+xml"/>
  <Override PartName="/xl/charts/chart65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theme/themeOverride65.xml" ContentType="application/vnd.openxmlformats-officedocument.themeOverride+xml"/>
  <Override PartName="/xl/drawings/drawing99.xml" ContentType="application/vnd.openxmlformats-officedocument.drawingml.chartshapes+xml"/>
  <Override PartName="/xl/charts/chart66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theme/themeOverride66.xml" ContentType="application/vnd.openxmlformats-officedocument.themeOverride+xml"/>
  <Override PartName="/xl/drawings/drawing100.xml" ContentType="application/vnd.openxmlformats-officedocument.drawingml.chartshapes+xml"/>
  <Override PartName="/xl/charts/chart67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theme/themeOverride67.xml" ContentType="application/vnd.openxmlformats-officedocument.themeOverride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charts/chart68.xml" ContentType="application/vnd.openxmlformats-officedocument.drawingml.chart+xml"/>
  <Override PartName="/xl/drawings/drawing108.xml" ContentType="application/vnd.openxmlformats-officedocument.drawingml.chartshapes+xml"/>
  <Override PartName="/xl/charts/chart69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109.xml" ContentType="application/vnd.openxmlformats-officedocument.drawingml.chartshapes+xml"/>
  <Override PartName="/xl/charts/chart70.xml" ContentType="application/vnd.openxmlformats-officedocument.drawingml.chart+xml"/>
  <Override PartName="/xl/theme/themeOverride68.xml" ContentType="application/vnd.openxmlformats-officedocument.themeOverride+xml"/>
  <Override PartName="/xl/drawings/drawing110.xml" ContentType="application/vnd.openxmlformats-officedocument.drawingml.chartshapes+xml"/>
  <Override PartName="/xl/drawings/drawing111.xml" ContentType="application/vnd.openxmlformats-officedocument.drawing+xml"/>
  <Override PartName="/xl/charts/chart71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112.xml" ContentType="application/vnd.openxmlformats-officedocument.drawingml.chartshapes+xml"/>
  <Override PartName="/xl/charts/chart7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113.xml" ContentType="application/vnd.openxmlformats-officedocument.drawingml.chartshapes+xml"/>
  <Override PartName="/xl/drawings/drawing114.xml" ContentType="application/vnd.openxmlformats-officedocument.drawing+xml"/>
  <Override PartName="/xl/charts/chart73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115.xml" ContentType="application/vnd.openxmlformats-officedocument.drawingml.chartshapes+xml"/>
  <Override PartName="/xl/charts/chart74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116.xml" ContentType="application/vnd.openxmlformats-officedocument.drawingml.chartshapes+xml"/>
  <Override PartName="/xl/drawings/drawing117.xml" ContentType="application/vnd.openxmlformats-officedocument.drawing+xml"/>
  <Override PartName="/xl/charts/chart75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118.xml" ContentType="application/vnd.openxmlformats-officedocument.drawingml.chartshapes+xml"/>
  <Override PartName="/xl/charts/chart76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119.xml" ContentType="application/vnd.openxmlformats-officedocument.drawingml.chartshapes+xml"/>
  <Override PartName="/xl/drawings/drawing120.xml" ContentType="application/vnd.openxmlformats-officedocument.drawing+xml"/>
  <Override PartName="/xl/charts/chart77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121.xml" ContentType="application/vnd.openxmlformats-officedocument.drawingml.chartshapes+xml"/>
  <Override PartName="/xl/charts/chart78.xml" ContentType="application/vnd.openxmlformats-officedocument.drawingml.chart+xml"/>
  <Override PartName="/xl/theme/themeOverride69.xml" ContentType="application/vnd.openxmlformats-officedocument.themeOverride+xml"/>
  <Override PartName="/xl/drawings/drawing122.xml" ContentType="application/vnd.openxmlformats-officedocument.drawingml.chartshapes+xml"/>
  <Override PartName="/xl/charts/chart79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123.xml" ContentType="application/vnd.openxmlformats-officedocument.drawingml.chartshapes+xml"/>
  <Override PartName="/xl/drawings/drawing124.xml" ContentType="application/vnd.openxmlformats-officedocument.drawing+xml"/>
  <Override PartName="/xl/charts/chart80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125.xml" ContentType="application/vnd.openxmlformats-officedocument.drawingml.chartshapes+xml"/>
  <Override PartName="/xl/charts/chart81.xml" ContentType="application/vnd.openxmlformats-officedocument.drawingml.chart+xml"/>
  <Override PartName="/xl/theme/themeOverride70.xml" ContentType="application/vnd.openxmlformats-officedocument.themeOverride+xml"/>
  <Override PartName="/xl/drawings/drawing126.xml" ContentType="application/vnd.openxmlformats-officedocument.drawingml.chartshapes+xml"/>
  <Override PartName="/xl/charts/chart8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8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129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30.xml" ContentType="application/vnd.openxmlformats-officedocument.drawingml.chartshapes+xml"/>
  <Override PartName="/xl/charts/chart85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86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theme/themeOverride72.xml" ContentType="application/vnd.openxmlformats-officedocument.themeOverride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87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theme/themeOverride73.xml" ContentType="application/vnd.openxmlformats-officedocument.themeOverride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charts/chart88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74.xml" ContentType="application/vnd.openxmlformats-officedocument.themeOverride+xml"/>
  <Override PartName="/xl/drawings/drawing13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Encuesta Alojam Turísticos (ISTAC)/2025/Municipios/junio/"/>
    </mc:Choice>
  </mc:AlternateContent>
  <xr:revisionPtr revIDLastSave="27" documentId="8_{A2CE8F94-C13A-4464-AF54-63371923854D}" xr6:coauthVersionLast="47" xr6:coauthVersionMax="47" xr10:uidLastSave="{D0C27375-E6CA-4C76-9BB6-C0EDBE99FC7C}"/>
  <bookViews>
    <workbookView xWindow="-120" yWindow="-120" windowWidth="29040" windowHeight="15720" xr2:uid="{B3B17B25-D55F-4585-BA95-11040BA14221}"/>
  </bookViews>
  <sheets>
    <sheet name="Menú principal" sheetId="1" r:id="rId1"/>
    <sheet name="Resumen indicadores (aloj)" sheetId="2" r:id="rId2"/>
    <sheet name="Resumen indicadores municipios " sheetId="3" r:id="rId3"/>
    <sheet name="Oferta alojativa" sheetId="4" r:id="rId4"/>
    <sheet name="Plazas aloj islas cat y tipolog" sheetId="5" r:id="rId5"/>
    <sheet name="Establecim aloj islas cat y tip" sheetId="6" r:id="rId6"/>
    <sheet name="viajeros entrados" sheetId="7" r:id="rId7"/>
    <sheet name="Viajeros entr evol mensu TF" sheetId="49" r:id="rId8"/>
    <sheet name="Viajeros entr evol mensu TF15-2" sheetId="9" r:id="rId9"/>
    <sheet name="Viajeros entr evol mensu TF " sheetId="10" r:id="rId10"/>
    <sheet name="Viajeros entr evol mensu TF cat" sheetId="50" r:id="rId11"/>
    <sheet name="Viajeros entr evol anual TF cat" sheetId="11" r:id="rId12"/>
    <sheet name="Viajeros entr ti-cat ultimo mes" sheetId="12" r:id="rId13"/>
    <sheet name="viaj entrados lugar resid años " sheetId="13" r:id="rId14"/>
    <sheet name="viaj entrados lugar residencia" sheetId="14" r:id="rId15"/>
    <sheet name="viaj entrados lugar residen acu" sheetId="15" r:id="rId16"/>
    <sheet name="viaj entrados lugar residen hot" sheetId="16" r:id="rId17"/>
    <sheet name="viaj entrados lugar residen apt" sheetId="17" r:id="rId18"/>
    <sheet name="viaj entrados lugar residen cat" sheetId="18" r:id="rId19"/>
    <sheet name="viaj entr lugar res año categor" sheetId="19" r:id="rId20"/>
    <sheet name="viajeros alojados" sheetId="20" r:id="rId21"/>
    <sheet name="viaj aloj lugar residen mes" sheetId="21" r:id="rId22"/>
    <sheet name="viaj alojados lugar residen acu" sheetId="22" r:id="rId23"/>
    <sheet name="Pernoctaciones" sheetId="23" r:id="rId24"/>
    <sheet name="Pernoctaciones evol mensu TF" sheetId="51" r:id="rId25"/>
    <sheet name="Pernocta evol mensu TF cat" sheetId="52" r:id="rId26"/>
    <sheet name="Pernoctaciones lugar reside" sheetId="26" r:id="rId27"/>
    <sheet name="Pernoctaciones lugar residen ac" sheetId="27" r:id="rId28"/>
    <sheet name="Pernoctaciones lugar reside año" sheetId="28" r:id="rId29"/>
    <sheet name="Estancia media" sheetId="29" r:id="rId30"/>
    <sheet name="EM evol menusual lugar resd" sheetId="30" r:id="rId31"/>
    <sheet name="EM evol mensu TF cat " sheetId="31" r:id="rId32"/>
    <sheet name="Tasa de ocupación" sheetId="32" r:id="rId33"/>
    <sheet name="tasa de ocupación evol mens" sheetId="33" r:id="rId34"/>
    <sheet name="indicadores rentabilidad" sheetId="34" r:id="rId35"/>
    <sheet name="ADR RevPAR ingresos totales ult" sheetId="35" r:id="rId36"/>
    <sheet name="ADR municipios" sheetId="36" r:id="rId37"/>
    <sheet name="RevPAR  municipios" sheetId="37" r:id="rId38"/>
    <sheet name="viajeros españoles" sheetId="38" r:id="rId39"/>
    <sheet name="distribución españoles x Resid" sheetId="39" r:id="rId40"/>
    <sheet name="distribución españoles x cate" sheetId="40" r:id="rId41"/>
    <sheet name="distribución peninsulare x cate" sheetId="41" r:id="rId42"/>
    <sheet name="distribución canarios x cate" sheetId="42" r:id="rId43"/>
    <sheet name="distribución españoles x mun al" sheetId="43" r:id="rId44"/>
    <sheet name="distribución peninsula x munici" sheetId="44" r:id="rId45"/>
    <sheet name="distribución canarias x munici" sheetId="45" r:id="rId46"/>
    <sheet name="evolución anual viaj ent españo" sheetId="46" r:id="rId47"/>
    <sheet name="evolución anual viaj ent penins" sheetId="47" r:id="rId48"/>
    <sheet name="evolución anual viaj ent canari" sheetId="48" r:id="rId49"/>
  </sheets>
  <definedNames>
    <definedName name="_xlnm.Print_Area" localSheetId="45">'distribución canarias x munici'!$B$3:$AB$37</definedName>
    <definedName name="_xlnm.Print_Area" localSheetId="42">'distribución canarios x cate'!$B$3:$AB$33</definedName>
    <definedName name="_xlnm.Print_Area" localSheetId="40">'distribución españoles x cate'!$B$3:$AB$33</definedName>
    <definedName name="_xlnm.Print_Area" localSheetId="43">'distribución españoles x mun al'!$B$3:$AB$37</definedName>
    <definedName name="_xlnm.Print_Area" localSheetId="39">'distribución españoles x Resid'!$B$3:$AB$32</definedName>
    <definedName name="_xlnm.Print_Area" localSheetId="44">'distribución peninsula x munici'!$B$3:$AB$37</definedName>
    <definedName name="_xlnm.Print_Area" localSheetId="41">'distribución peninsulare x cate'!$B$3:$AB$33</definedName>
    <definedName name="_xlnm.Print_Area" localSheetId="26">'Pernoctaciones lugar reside'!$B$4:$K$162</definedName>
    <definedName name="_xlnm.Print_Area" localSheetId="28">'Pernoctaciones lugar reside año'!$B$4:$M$162</definedName>
    <definedName name="_xlnm.Print_Area" localSheetId="27">'Pernoctaciones lugar residen ac'!$B$3:$K$162</definedName>
    <definedName name="_xlnm.Print_Area" localSheetId="22">'viaj alojados lugar residen acu'!$B$4:$L$163</definedName>
    <definedName name="_xlnm.Print_Area" localSheetId="19">'viaj entr lugar res año categor'!$B$4:$B$164</definedName>
    <definedName name="_xlnm.Print_Area" localSheetId="13">'viaj entrados lugar resid años '!$B$3:$K$162</definedName>
    <definedName name="_xlnm.Print_Area" localSheetId="15">'viaj entrados lugar residen acu'!$B$4:$M$22</definedName>
    <definedName name="_xlnm.Print_Area" localSheetId="17">'viaj entrados lugar residen apt'!$B$4:$K$22</definedName>
    <definedName name="_xlnm.Print_Area" localSheetId="18">'viaj entrados lugar residen cat'!$B$3:$B$163</definedName>
    <definedName name="_xlnm.Print_Area" localSheetId="16">'viaj entrados lugar residen hot'!$B$4:$K$22</definedName>
    <definedName name="españafuerteventura">#REF!</definedName>
    <definedName name="españafuerteventura0">#REF!</definedName>
    <definedName name="españagrancanaria">#REF!</definedName>
    <definedName name="españagrancanaria0">#REF!</definedName>
    <definedName name="españalanzarote">#REF!</definedName>
    <definedName name="españalanzarote0">#REF!</definedName>
    <definedName name="españalapalma">#REF!</definedName>
    <definedName name="españalapalma0">#REF!</definedName>
    <definedName name="españaTFN">#REF!</definedName>
    <definedName name="españaTFN0">#REF!</definedName>
    <definedName name="españaTFS">#REF!</definedName>
    <definedName name="españaTFS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0" l="1"/>
  <c r="D10" i="40" s="1"/>
  <c r="E10" i="40" s="1"/>
  <c r="L87" i="33"/>
  <c r="L86" i="33"/>
  <c r="J86" i="33"/>
  <c r="H86" i="33"/>
  <c r="F86" i="33"/>
  <c r="L85" i="33"/>
  <c r="J85" i="33"/>
  <c r="H85" i="33"/>
  <c r="F85" i="33"/>
  <c r="L84" i="33"/>
  <c r="J84" i="33"/>
  <c r="H84" i="33"/>
  <c r="F84" i="33"/>
  <c r="L83" i="33"/>
  <c r="J83" i="33"/>
  <c r="H83" i="33"/>
  <c r="F83" i="33"/>
  <c r="L82" i="33"/>
  <c r="J82" i="33"/>
  <c r="H82" i="33"/>
  <c r="F82" i="33"/>
  <c r="L81" i="33"/>
  <c r="J81" i="33"/>
  <c r="H81" i="33"/>
  <c r="F81" i="33"/>
  <c r="L80" i="33"/>
  <c r="J80" i="33"/>
  <c r="H80" i="33"/>
  <c r="F80" i="33"/>
  <c r="L79" i="33"/>
  <c r="J79" i="33"/>
  <c r="H79" i="33"/>
  <c r="F79" i="33"/>
  <c r="L78" i="33"/>
  <c r="J78" i="33"/>
  <c r="H78" i="33"/>
  <c r="F78" i="33"/>
  <c r="L77" i="33"/>
  <c r="J77" i="33"/>
  <c r="H77" i="33"/>
  <c r="F77" i="33"/>
  <c r="L76" i="33"/>
  <c r="J76" i="33"/>
  <c r="H76" i="33"/>
  <c r="F76" i="33"/>
  <c r="L75" i="33"/>
  <c r="J75" i="33"/>
  <c r="H75" i="33"/>
  <c r="F75" i="33"/>
  <c r="L74" i="33"/>
  <c r="J74" i="33"/>
  <c r="H74" i="33"/>
  <c r="F74" i="33"/>
  <c r="L65" i="33"/>
  <c r="L64" i="33"/>
  <c r="J64" i="33"/>
  <c r="H64" i="33"/>
  <c r="F64" i="33"/>
  <c r="L63" i="33"/>
  <c r="J63" i="33"/>
  <c r="H63" i="33"/>
  <c r="F63" i="33"/>
  <c r="L62" i="33"/>
  <c r="J62" i="33"/>
  <c r="H62" i="33"/>
  <c r="F62" i="33"/>
  <c r="L61" i="33"/>
  <c r="J61" i="33"/>
  <c r="H61" i="33"/>
  <c r="F61" i="33"/>
  <c r="L60" i="33"/>
  <c r="J60" i="33"/>
  <c r="H60" i="33"/>
  <c r="F60" i="33"/>
  <c r="L59" i="33"/>
  <c r="J59" i="33"/>
  <c r="H59" i="33"/>
  <c r="F59" i="33"/>
  <c r="L58" i="33"/>
  <c r="J58" i="33"/>
  <c r="H58" i="33"/>
  <c r="F58" i="33"/>
  <c r="L57" i="33"/>
  <c r="J57" i="33"/>
  <c r="H57" i="33"/>
  <c r="F57" i="33"/>
  <c r="L56" i="33"/>
  <c r="J56" i="33"/>
  <c r="H56" i="33"/>
  <c r="F56" i="33"/>
  <c r="L55" i="33"/>
  <c r="J55" i="33"/>
  <c r="H55" i="33"/>
  <c r="F55" i="33"/>
  <c r="L54" i="33"/>
  <c r="J54" i="33"/>
  <c r="H54" i="33"/>
  <c r="F54" i="33"/>
  <c r="L53" i="33"/>
  <c r="J53" i="33"/>
  <c r="H53" i="33"/>
  <c r="F53" i="33"/>
  <c r="L52" i="33"/>
  <c r="J52" i="33"/>
  <c r="H52" i="33"/>
  <c r="F52" i="33"/>
  <c r="L42" i="33"/>
  <c r="J42" i="33"/>
  <c r="H42" i="33"/>
  <c r="F42" i="33"/>
  <c r="L41" i="33"/>
  <c r="J41" i="33"/>
  <c r="H41" i="33"/>
  <c r="F41" i="33"/>
  <c r="L40" i="33"/>
  <c r="J40" i="33"/>
  <c r="H40" i="33"/>
  <c r="F40" i="33"/>
  <c r="L39" i="33"/>
  <c r="J39" i="33"/>
  <c r="H39" i="33"/>
  <c r="F39" i="33"/>
  <c r="L38" i="33"/>
  <c r="J38" i="33"/>
  <c r="H38" i="33"/>
  <c r="F38" i="33"/>
  <c r="L37" i="33"/>
  <c r="J37" i="33"/>
  <c r="H37" i="33"/>
  <c r="F37" i="33"/>
  <c r="L36" i="33"/>
  <c r="J36" i="33"/>
  <c r="H36" i="33"/>
  <c r="F36" i="33"/>
  <c r="L35" i="33"/>
  <c r="J35" i="33"/>
  <c r="H35" i="33"/>
  <c r="F35" i="33"/>
  <c r="L34" i="33"/>
  <c r="J34" i="33"/>
  <c r="H34" i="33"/>
  <c r="F34" i="33"/>
  <c r="L33" i="33"/>
  <c r="J33" i="33"/>
  <c r="H33" i="33"/>
  <c r="F33" i="33"/>
  <c r="L32" i="33"/>
  <c r="J32" i="33"/>
  <c r="H32" i="33"/>
  <c r="F32" i="33"/>
  <c r="L31" i="33"/>
  <c r="J31" i="33"/>
  <c r="H31" i="33"/>
  <c r="F31" i="33"/>
  <c r="L30" i="33"/>
  <c r="J30" i="33"/>
  <c r="H30" i="33"/>
  <c r="F30" i="33"/>
  <c r="L20" i="33"/>
  <c r="J20" i="33"/>
  <c r="H20" i="33"/>
  <c r="F20" i="33"/>
  <c r="L19" i="33"/>
  <c r="J19" i="33"/>
  <c r="H19" i="33"/>
  <c r="F19" i="33"/>
  <c r="L18" i="33"/>
  <c r="J18" i="33"/>
  <c r="H18" i="33"/>
  <c r="F18" i="33"/>
  <c r="L17" i="33"/>
  <c r="J17" i="33"/>
  <c r="H17" i="33"/>
  <c r="F17" i="33"/>
  <c r="L16" i="33"/>
  <c r="J16" i="33"/>
  <c r="H16" i="33"/>
  <c r="F16" i="33"/>
  <c r="L15" i="33"/>
  <c r="J15" i="33"/>
  <c r="H15" i="33"/>
  <c r="F15" i="33"/>
  <c r="L14" i="33"/>
  <c r="J14" i="33"/>
  <c r="H14" i="33"/>
  <c r="F14" i="33"/>
  <c r="L13" i="33"/>
  <c r="J13" i="33"/>
  <c r="H13" i="33"/>
  <c r="F13" i="33"/>
  <c r="L12" i="33"/>
  <c r="J12" i="33"/>
  <c r="H12" i="33"/>
  <c r="F12" i="33"/>
  <c r="L11" i="33"/>
  <c r="J11" i="33"/>
  <c r="H11" i="33"/>
  <c r="F11" i="33"/>
  <c r="L10" i="33"/>
  <c r="J10" i="33"/>
  <c r="H10" i="33"/>
  <c r="F10" i="33"/>
  <c r="L9" i="33"/>
  <c r="J9" i="33"/>
  <c r="H9" i="33"/>
  <c r="F9" i="33"/>
  <c r="L8" i="33"/>
  <c r="J8" i="33"/>
  <c r="H8" i="33"/>
  <c r="F8" i="33"/>
  <c r="N80" i="52"/>
  <c r="N79" i="52"/>
  <c r="N78" i="52"/>
  <c r="N77" i="52"/>
  <c r="N76" i="52"/>
  <c r="N75" i="52"/>
  <c r="M73" i="52"/>
  <c r="N74" i="52" s="1"/>
  <c r="N58" i="52"/>
  <c r="N57" i="52"/>
  <c r="N56" i="52"/>
  <c r="N55" i="52"/>
  <c r="N54" i="52"/>
  <c r="N53" i="52"/>
  <c r="M51" i="52"/>
  <c r="N36" i="52"/>
  <c r="N35" i="52"/>
  <c r="N34" i="52"/>
  <c r="N33" i="52"/>
  <c r="N32" i="52"/>
  <c r="N31" i="52"/>
  <c r="M29" i="52"/>
  <c r="N14" i="52"/>
  <c r="N13" i="52"/>
  <c r="N12" i="52"/>
  <c r="N11" i="52"/>
  <c r="N10" i="52"/>
  <c r="N9" i="52"/>
  <c r="N8" i="52"/>
  <c r="N260" i="51"/>
  <c r="N259" i="51"/>
  <c r="N258" i="51"/>
  <c r="N257" i="51"/>
  <c r="N256" i="51"/>
  <c r="N255" i="51"/>
  <c r="M253" i="51"/>
  <c r="N234" i="51"/>
  <c r="N233" i="51"/>
  <c r="N232" i="51"/>
  <c r="N231" i="51"/>
  <c r="N230" i="51"/>
  <c r="N229" i="51"/>
  <c r="M227" i="51"/>
  <c r="N212" i="51"/>
  <c r="N211" i="51"/>
  <c r="N210" i="51"/>
  <c r="N209" i="51"/>
  <c r="N208" i="51"/>
  <c r="N207" i="51"/>
  <c r="M205" i="51"/>
  <c r="N190" i="51"/>
  <c r="N189" i="51"/>
  <c r="N188" i="51"/>
  <c r="N187" i="51"/>
  <c r="N186" i="51"/>
  <c r="N185" i="51"/>
  <c r="M183" i="51"/>
  <c r="N168" i="51"/>
  <c r="N167" i="51"/>
  <c r="N166" i="51"/>
  <c r="N165" i="51"/>
  <c r="N164" i="51"/>
  <c r="N163" i="51"/>
  <c r="M161" i="51"/>
  <c r="N146" i="51"/>
  <c r="N145" i="51"/>
  <c r="N144" i="51"/>
  <c r="N143" i="51"/>
  <c r="N142" i="51"/>
  <c r="N141" i="51"/>
  <c r="M139" i="51"/>
  <c r="N124" i="51"/>
  <c r="N123" i="51"/>
  <c r="N122" i="51"/>
  <c r="N121" i="51"/>
  <c r="N120" i="51"/>
  <c r="N119" i="51"/>
  <c r="M117" i="51"/>
  <c r="N102" i="51"/>
  <c r="N101" i="51"/>
  <c r="N100" i="51"/>
  <c r="N99" i="51"/>
  <c r="N98" i="51"/>
  <c r="N97" i="51"/>
  <c r="M95" i="51"/>
  <c r="N80" i="51"/>
  <c r="N79" i="51"/>
  <c r="N78" i="51"/>
  <c r="N77" i="51"/>
  <c r="N76" i="51"/>
  <c r="N75" i="51"/>
  <c r="M73" i="51"/>
  <c r="N58" i="51"/>
  <c r="N57" i="51"/>
  <c r="N56" i="51"/>
  <c r="N55" i="51"/>
  <c r="N54" i="51"/>
  <c r="N53" i="51"/>
  <c r="M51" i="51"/>
  <c r="N36" i="51"/>
  <c r="N35" i="51"/>
  <c r="N34" i="51"/>
  <c r="N33" i="51"/>
  <c r="N32" i="51"/>
  <c r="N31" i="51"/>
  <c r="M29" i="51"/>
  <c r="N14" i="51"/>
  <c r="N13" i="51"/>
  <c r="N12" i="51"/>
  <c r="N11" i="51"/>
  <c r="N10" i="51"/>
  <c r="N9" i="51"/>
  <c r="L87" i="52"/>
  <c r="J87" i="52"/>
  <c r="H87" i="52"/>
  <c r="F87" i="52"/>
  <c r="L86" i="52"/>
  <c r="J86" i="52"/>
  <c r="H86" i="52"/>
  <c r="F86" i="52"/>
  <c r="L85" i="52"/>
  <c r="J85" i="52"/>
  <c r="H85" i="52"/>
  <c r="F85" i="52"/>
  <c r="L84" i="52"/>
  <c r="J84" i="52"/>
  <c r="H84" i="52"/>
  <c r="F84" i="52"/>
  <c r="L83" i="52"/>
  <c r="J83" i="52"/>
  <c r="H83" i="52"/>
  <c r="F83" i="52"/>
  <c r="L82" i="52"/>
  <c r="J82" i="52"/>
  <c r="H82" i="52"/>
  <c r="F82" i="52"/>
  <c r="L81" i="52"/>
  <c r="J81" i="52"/>
  <c r="H81" i="52"/>
  <c r="F81" i="52"/>
  <c r="L80" i="52"/>
  <c r="J80" i="52"/>
  <c r="H80" i="52"/>
  <c r="F80" i="52"/>
  <c r="L79" i="52"/>
  <c r="J79" i="52"/>
  <c r="H79" i="52"/>
  <c r="F79" i="52"/>
  <c r="L78" i="52"/>
  <c r="J78" i="52"/>
  <c r="H78" i="52"/>
  <c r="F78" i="52"/>
  <c r="L77" i="52"/>
  <c r="J77" i="52"/>
  <c r="H77" i="52"/>
  <c r="F77" i="52"/>
  <c r="L76" i="52"/>
  <c r="J76" i="52"/>
  <c r="H76" i="52"/>
  <c r="F76" i="52"/>
  <c r="L75" i="52"/>
  <c r="J75" i="52"/>
  <c r="H75" i="52"/>
  <c r="F75" i="52"/>
  <c r="L65" i="52"/>
  <c r="J65" i="52"/>
  <c r="H65" i="52"/>
  <c r="F65" i="52"/>
  <c r="L64" i="52"/>
  <c r="J64" i="52"/>
  <c r="H64" i="52"/>
  <c r="F64" i="52"/>
  <c r="L63" i="52"/>
  <c r="J63" i="52"/>
  <c r="H63" i="52"/>
  <c r="F63" i="52"/>
  <c r="L62" i="52"/>
  <c r="J62" i="52"/>
  <c r="H62" i="52"/>
  <c r="F62" i="52"/>
  <c r="L61" i="52"/>
  <c r="J61" i="52"/>
  <c r="H61" i="52"/>
  <c r="F61" i="52"/>
  <c r="L60" i="52"/>
  <c r="J60" i="52"/>
  <c r="H60" i="52"/>
  <c r="F60" i="52"/>
  <c r="L59" i="52"/>
  <c r="J59" i="52"/>
  <c r="H59" i="52"/>
  <c r="F59" i="52"/>
  <c r="L58" i="52"/>
  <c r="J58" i="52"/>
  <c r="H58" i="52"/>
  <c r="F58" i="52"/>
  <c r="L57" i="52"/>
  <c r="J57" i="52"/>
  <c r="H57" i="52"/>
  <c r="F57" i="52"/>
  <c r="L56" i="52"/>
  <c r="J56" i="52"/>
  <c r="H56" i="52"/>
  <c r="F56" i="52"/>
  <c r="L55" i="52"/>
  <c r="J55" i="52"/>
  <c r="H55" i="52"/>
  <c r="F55" i="52"/>
  <c r="L54" i="52"/>
  <c r="J54" i="52"/>
  <c r="H54" i="52"/>
  <c r="F54" i="52"/>
  <c r="L53" i="52"/>
  <c r="J53" i="52"/>
  <c r="H53" i="52"/>
  <c r="F53" i="52"/>
  <c r="L43" i="52"/>
  <c r="J43" i="52"/>
  <c r="H43" i="52"/>
  <c r="F43" i="52"/>
  <c r="L42" i="52"/>
  <c r="J42" i="52"/>
  <c r="H42" i="52"/>
  <c r="F42" i="52"/>
  <c r="L41" i="52"/>
  <c r="J41" i="52"/>
  <c r="H41" i="52"/>
  <c r="F41" i="52"/>
  <c r="L40" i="52"/>
  <c r="J40" i="52"/>
  <c r="H40" i="52"/>
  <c r="F40" i="52"/>
  <c r="L39" i="52"/>
  <c r="J39" i="52"/>
  <c r="H39" i="52"/>
  <c r="F39" i="52"/>
  <c r="L38" i="52"/>
  <c r="J38" i="52"/>
  <c r="H38" i="52"/>
  <c r="F38" i="52"/>
  <c r="L37" i="52"/>
  <c r="J37" i="52"/>
  <c r="H37" i="52"/>
  <c r="F37" i="52"/>
  <c r="L36" i="52"/>
  <c r="J36" i="52"/>
  <c r="H36" i="52"/>
  <c r="F36" i="52"/>
  <c r="L35" i="52"/>
  <c r="J35" i="52"/>
  <c r="H35" i="52"/>
  <c r="F35" i="52"/>
  <c r="L34" i="52"/>
  <c r="J34" i="52"/>
  <c r="H34" i="52"/>
  <c r="F34" i="52"/>
  <c r="L33" i="52"/>
  <c r="J33" i="52"/>
  <c r="H33" i="52"/>
  <c r="F33" i="52"/>
  <c r="L32" i="52"/>
  <c r="J32" i="52"/>
  <c r="H32" i="52"/>
  <c r="F32" i="52"/>
  <c r="L31" i="52"/>
  <c r="J31" i="52"/>
  <c r="H31" i="52"/>
  <c r="F31" i="52"/>
  <c r="L21" i="52"/>
  <c r="J21" i="52"/>
  <c r="H21" i="52"/>
  <c r="F21" i="52"/>
  <c r="L20" i="52"/>
  <c r="J20" i="52"/>
  <c r="H20" i="52"/>
  <c r="F20" i="52"/>
  <c r="L19" i="52"/>
  <c r="J19" i="52"/>
  <c r="H19" i="52"/>
  <c r="F19" i="52"/>
  <c r="L18" i="52"/>
  <c r="J18" i="52"/>
  <c r="H18" i="52"/>
  <c r="F18" i="52"/>
  <c r="L17" i="52"/>
  <c r="J17" i="52"/>
  <c r="H17" i="52"/>
  <c r="F17" i="52"/>
  <c r="L16" i="52"/>
  <c r="J16" i="52"/>
  <c r="H16" i="52"/>
  <c r="F16" i="52"/>
  <c r="L15" i="52"/>
  <c r="J15" i="52"/>
  <c r="H15" i="52"/>
  <c r="F15" i="52"/>
  <c r="L14" i="52"/>
  <c r="J14" i="52"/>
  <c r="H14" i="52"/>
  <c r="F14" i="52"/>
  <c r="L13" i="52"/>
  <c r="J13" i="52"/>
  <c r="H13" i="52"/>
  <c r="F13" i="52"/>
  <c r="L12" i="52"/>
  <c r="J12" i="52"/>
  <c r="H12" i="52"/>
  <c r="F12" i="52"/>
  <c r="L11" i="52"/>
  <c r="J11" i="52"/>
  <c r="H11" i="52"/>
  <c r="F11" i="52"/>
  <c r="L10" i="52"/>
  <c r="J10" i="52"/>
  <c r="H10" i="52"/>
  <c r="F10" i="52"/>
  <c r="L9" i="52"/>
  <c r="J9" i="52"/>
  <c r="H9" i="52"/>
  <c r="F9" i="52"/>
  <c r="K7" i="52"/>
  <c r="K73" i="52" s="1"/>
  <c r="L267" i="51"/>
  <c r="J267" i="51"/>
  <c r="H267" i="51"/>
  <c r="F267" i="51"/>
  <c r="L266" i="51"/>
  <c r="J266" i="51"/>
  <c r="H266" i="51"/>
  <c r="F266" i="51"/>
  <c r="L265" i="51"/>
  <c r="J265" i="51"/>
  <c r="H265" i="51"/>
  <c r="F265" i="51"/>
  <c r="L264" i="51"/>
  <c r="J264" i="51"/>
  <c r="H264" i="51"/>
  <c r="F264" i="51"/>
  <c r="L263" i="51"/>
  <c r="J263" i="51"/>
  <c r="H263" i="51"/>
  <c r="F263" i="51"/>
  <c r="L262" i="51"/>
  <c r="J262" i="51"/>
  <c r="H262" i="51"/>
  <c r="F262" i="51"/>
  <c r="L261" i="51"/>
  <c r="J261" i="51"/>
  <c r="H261" i="51"/>
  <c r="F261" i="51"/>
  <c r="L260" i="51"/>
  <c r="J260" i="51"/>
  <c r="H260" i="51"/>
  <c r="F260" i="51"/>
  <c r="L259" i="51"/>
  <c r="J259" i="51"/>
  <c r="H259" i="51"/>
  <c r="F259" i="51"/>
  <c r="L258" i="51"/>
  <c r="J258" i="51"/>
  <c r="H258" i="51"/>
  <c r="F258" i="51"/>
  <c r="L257" i="51"/>
  <c r="J257" i="51"/>
  <c r="H257" i="51"/>
  <c r="F257" i="51"/>
  <c r="L256" i="51"/>
  <c r="J256" i="51"/>
  <c r="H256" i="51"/>
  <c r="F256" i="51"/>
  <c r="L255" i="51"/>
  <c r="J255" i="51"/>
  <c r="H255" i="51"/>
  <c r="F255" i="51"/>
  <c r="B252" i="51"/>
  <c r="L241" i="51"/>
  <c r="J241" i="51"/>
  <c r="H241" i="51"/>
  <c r="F241" i="51"/>
  <c r="L240" i="51"/>
  <c r="J240" i="51"/>
  <c r="H240" i="51"/>
  <c r="F240" i="51"/>
  <c r="L239" i="51"/>
  <c r="J239" i="51"/>
  <c r="H239" i="51"/>
  <c r="F239" i="51"/>
  <c r="L238" i="51"/>
  <c r="J238" i="51"/>
  <c r="H238" i="51"/>
  <c r="F238" i="51"/>
  <c r="L237" i="51"/>
  <c r="J237" i="51"/>
  <c r="H237" i="51"/>
  <c r="F237" i="51"/>
  <c r="L236" i="51"/>
  <c r="J236" i="51"/>
  <c r="H236" i="51"/>
  <c r="F236" i="51"/>
  <c r="L235" i="51"/>
  <c r="J235" i="51"/>
  <c r="H235" i="51"/>
  <c r="F235" i="51"/>
  <c r="L234" i="51"/>
  <c r="J234" i="51"/>
  <c r="H234" i="51"/>
  <c r="F234" i="51"/>
  <c r="L233" i="51"/>
  <c r="J233" i="51"/>
  <c r="H233" i="51"/>
  <c r="F233" i="51"/>
  <c r="L232" i="51"/>
  <c r="J232" i="51"/>
  <c r="H232" i="51"/>
  <c r="F232" i="51"/>
  <c r="L231" i="51"/>
  <c r="J231" i="51"/>
  <c r="H231" i="51"/>
  <c r="F231" i="51"/>
  <c r="L230" i="51"/>
  <c r="J230" i="51"/>
  <c r="H230" i="51"/>
  <c r="F230" i="51"/>
  <c r="L229" i="51"/>
  <c r="J229" i="51"/>
  <c r="H229" i="51"/>
  <c r="F229" i="51"/>
  <c r="B226" i="51"/>
  <c r="L219" i="51"/>
  <c r="J219" i="51"/>
  <c r="H219" i="51"/>
  <c r="F219" i="51"/>
  <c r="L218" i="51"/>
  <c r="J218" i="51"/>
  <c r="H218" i="51"/>
  <c r="F218" i="51"/>
  <c r="L217" i="51"/>
  <c r="J217" i="51"/>
  <c r="H217" i="51"/>
  <c r="F217" i="51"/>
  <c r="L216" i="51"/>
  <c r="J216" i="51"/>
  <c r="H216" i="51"/>
  <c r="F216" i="51"/>
  <c r="L215" i="51"/>
  <c r="J215" i="51"/>
  <c r="H215" i="51"/>
  <c r="F215" i="51"/>
  <c r="L214" i="51"/>
  <c r="J214" i="51"/>
  <c r="H214" i="51"/>
  <c r="F214" i="51"/>
  <c r="L213" i="51"/>
  <c r="J213" i="51"/>
  <c r="H213" i="51"/>
  <c r="F213" i="51"/>
  <c r="L212" i="51"/>
  <c r="J212" i="51"/>
  <c r="H212" i="51"/>
  <c r="F212" i="51"/>
  <c r="L211" i="51"/>
  <c r="J211" i="51"/>
  <c r="H211" i="51"/>
  <c r="F211" i="51"/>
  <c r="L210" i="51"/>
  <c r="J210" i="51"/>
  <c r="H210" i="51"/>
  <c r="F210" i="51"/>
  <c r="L209" i="51"/>
  <c r="J209" i="51"/>
  <c r="H209" i="51"/>
  <c r="F209" i="51"/>
  <c r="L208" i="51"/>
  <c r="J208" i="51"/>
  <c r="H208" i="51"/>
  <c r="F208" i="51"/>
  <c r="L207" i="51"/>
  <c r="J207" i="51"/>
  <c r="H207" i="51"/>
  <c r="F207" i="51"/>
  <c r="B204" i="51"/>
  <c r="L197" i="51"/>
  <c r="J197" i="51"/>
  <c r="H197" i="51"/>
  <c r="F197" i="51"/>
  <c r="L196" i="51"/>
  <c r="J196" i="51"/>
  <c r="H196" i="51"/>
  <c r="F196" i="51"/>
  <c r="L195" i="51"/>
  <c r="J195" i="51"/>
  <c r="H195" i="51"/>
  <c r="F195" i="51"/>
  <c r="L194" i="51"/>
  <c r="J194" i="51"/>
  <c r="H194" i="51"/>
  <c r="F194" i="51"/>
  <c r="L193" i="51"/>
  <c r="J193" i="51"/>
  <c r="H193" i="51"/>
  <c r="F193" i="51"/>
  <c r="L192" i="51"/>
  <c r="J192" i="51"/>
  <c r="H192" i="51"/>
  <c r="F192" i="51"/>
  <c r="L191" i="51"/>
  <c r="J191" i="51"/>
  <c r="H191" i="51"/>
  <c r="F191" i="51"/>
  <c r="L190" i="51"/>
  <c r="J190" i="51"/>
  <c r="H190" i="51"/>
  <c r="F190" i="51"/>
  <c r="L189" i="51"/>
  <c r="J189" i="51"/>
  <c r="H189" i="51"/>
  <c r="F189" i="51"/>
  <c r="L188" i="51"/>
  <c r="J188" i="51"/>
  <c r="H188" i="51"/>
  <c r="F188" i="51"/>
  <c r="L187" i="51"/>
  <c r="J187" i="51"/>
  <c r="H187" i="51"/>
  <c r="F187" i="51"/>
  <c r="L186" i="51"/>
  <c r="J186" i="51"/>
  <c r="H186" i="51"/>
  <c r="F186" i="51"/>
  <c r="L185" i="51"/>
  <c r="J185" i="51"/>
  <c r="H185" i="51"/>
  <c r="F185" i="51"/>
  <c r="B182" i="51"/>
  <c r="L175" i="51"/>
  <c r="J175" i="51"/>
  <c r="H175" i="51"/>
  <c r="F175" i="51"/>
  <c r="L174" i="51"/>
  <c r="J174" i="51"/>
  <c r="H174" i="51"/>
  <c r="F174" i="51"/>
  <c r="L173" i="51"/>
  <c r="J173" i="51"/>
  <c r="H173" i="51"/>
  <c r="F173" i="51"/>
  <c r="L172" i="51"/>
  <c r="J172" i="51"/>
  <c r="H172" i="51"/>
  <c r="F172" i="51"/>
  <c r="L171" i="51"/>
  <c r="J171" i="51"/>
  <c r="H171" i="51"/>
  <c r="F171" i="51"/>
  <c r="L170" i="51"/>
  <c r="J170" i="51"/>
  <c r="H170" i="51"/>
  <c r="F170" i="51"/>
  <c r="L169" i="51"/>
  <c r="J169" i="51"/>
  <c r="H169" i="51"/>
  <c r="F169" i="51"/>
  <c r="L168" i="51"/>
  <c r="J168" i="51"/>
  <c r="H168" i="51"/>
  <c r="F168" i="51"/>
  <c r="L167" i="51"/>
  <c r="J167" i="51"/>
  <c r="H167" i="51"/>
  <c r="F167" i="51"/>
  <c r="L166" i="51"/>
  <c r="J166" i="51"/>
  <c r="H166" i="51"/>
  <c r="F166" i="51"/>
  <c r="L165" i="51"/>
  <c r="J165" i="51"/>
  <c r="H165" i="51"/>
  <c r="F165" i="51"/>
  <c r="L164" i="51"/>
  <c r="J164" i="51"/>
  <c r="H164" i="51"/>
  <c r="F164" i="51"/>
  <c r="L163" i="51"/>
  <c r="J163" i="51"/>
  <c r="H163" i="51"/>
  <c r="F163" i="51"/>
  <c r="B160" i="51"/>
  <c r="L153" i="51"/>
  <c r="J153" i="51"/>
  <c r="H153" i="51"/>
  <c r="F153" i="51"/>
  <c r="L152" i="51"/>
  <c r="J152" i="51"/>
  <c r="H152" i="51"/>
  <c r="F152" i="51"/>
  <c r="L151" i="51"/>
  <c r="J151" i="51"/>
  <c r="H151" i="51"/>
  <c r="F151" i="51"/>
  <c r="L150" i="51"/>
  <c r="J150" i="51"/>
  <c r="H150" i="51"/>
  <c r="F150" i="51"/>
  <c r="L149" i="51"/>
  <c r="J149" i="51"/>
  <c r="H149" i="51"/>
  <c r="F149" i="51"/>
  <c r="L148" i="51"/>
  <c r="J148" i="51"/>
  <c r="H148" i="51"/>
  <c r="F148" i="51"/>
  <c r="L147" i="51"/>
  <c r="J147" i="51"/>
  <c r="H147" i="51"/>
  <c r="F147" i="51"/>
  <c r="L146" i="51"/>
  <c r="J146" i="51"/>
  <c r="H146" i="51"/>
  <c r="F146" i="51"/>
  <c r="L145" i="51"/>
  <c r="J145" i="51"/>
  <c r="H145" i="51"/>
  <c r="F145" i="51"/>
  <c r="L144" i="51"/>
  <c r="J144" i="51"/>
  <c r="H144" i="51"/>
  <c r="F144" i="51"/>
  <c r="L143" i="51"/>
  <c r="J143" i="51"/>
  <c r="H143" i="51"/>
  <c r="F143" i="51"/>
  <c r="L142" i="51"/>
  <c r="J142" i="51"/>
  <c r="H142" i="51"/>
  <c r="F142" i="51"/>
  <c r="L141" i="51"/>
  <c r="J141" i="51"/>
  <c r="H141" i="51"/>
  <c r="F141" i="51"/>
  <c r="B138" i="51"/>
  <c r="L131" i="51"/>
  <c r="J131" i="51"/>
  <c r="H131" i="51"/>
  <c r="F131" i="51"/>
  <c r="L130" i="51"/>
  <c r="J130" i="51"/>
  <c r="H130" i="51"/>
  <c r="F130" i="51"/>
  <c r="L129" i="51"/>
  <c r="J129" i="51"/>
  <c r="H129" i="51"/>
  <c r="F129" i="51"/>
  <c r="L128" i="51"/>
  <c r="J128" i="51"/>
  <c r="H128" i="51"/>
  <c r="F128" i="51"/>
  <c r="L127" i="51"/>
  <c r="J127" i="51"/>
  <c r="H127" i="51"/>
  <c r="F127" i="51"/>
  <c r="L126" i="51"/>
  <c r="J126" i="51"/>
  <c r="H126" i="51"/>
  <c r="F126" i="51"/>
  <c r="L125" i="51"/>
  <c r="J125" i="51"/>
  <c r="H125" i="51"/>
  <c r="F125" i="51"/>
  <c r="L124" i="51"/>
  <c r="J124" i="51"/>
  <c r="H124" i="51"/>
  <c r="F124" i="51"/>
  <c r="L123" i="51"/>
  <c r="J123" i="51"/>
  <c r="H123" i="51"/>
  <c r="F123" i="51"/>
  <c r="L122" i="51"/>
  <c r="J122" i="51"/>
  <c r="H122" i="51"/>
  <c r="F122" i="51"/>
  <c r="L121" i="51"/>
  <c r="J121" i="51"/>
  <c r="H121" i="51"/>
  <c r="F121" i="51"/>
  <c r="L120" i="51"/>
  <c r="J120" i="51"/>
  <c r="H120" i="51"/>
  <c r="F120" i="51"/>
  <c r="L119" i="51"/>
  <c r="J119" i="51"/>
  <c r="H119" i="51"/>
  <c r="F119" i="51"/>
  <c r="B116" i="51"/>
  <c r="L109" i="51"/>
  <c r="J109" i="51"/>
  <c r="H109" i="51"/>
  <c r="F109" i="51"/>
  <c r="L108" i="51"/>
  <c r="J108" i="51"/>
  <c r="H108" i="51"/>
  <c r="F108" i="51"/>
  <c r="L107" i="51"/>
  <c r="J107" i="51"/>
  <c r="H107" i="51"/>
  <c r="F107" i="51"/>
  <c r="L106" i="51"/>
  <c r="J106" i="51"/>
  <c r="H106" i="51"/>
  <c r="F106" i="51"/>
  <c r="L105" i="51"/>
  <c r="J105" i="51"/>
  <c r="H105" i="51"/>
  <c r="F105" i="51"/>
  <c r="L104" i="51"/>
  <c r="J104" i="51"/>
  <c r="H104" i="51"/>
  <c r="F104" i="51"/>
  <c r="L103" i="51"/>
  <c r="J103" i="51"/>
  <c r="H103" i="51"/>
  <c r="F103" i="51"/>
  <c r="L102" i="51"/>
  <c r="J102" i="51"/>
  <c r="H102" i="51"/>
  <c r="F102" i="51"/>
  <c r="L101" i="51"/>
  <c r="J101" i="51"/>
  <c r="H101" i="51"/>
  <c r="F101" i="51"/>
  <c r="L100" i="51"/>
  <c r="J100" i="51"/>
  <c r="H100" i="51"/>
  <c r="F100" i="51"/>
  <c r="L99" i="51"/>
  <c r="J99" i="51"/>
  <c r="H99" i="51"/>
  <c r="F99" i="51"/>
  <c r="L98" i="51"/>
  <c r="J98" i="51"/>
  <c r="H98" i="51"/>
  <c r="F98" i="51"/>
  <c r="L97" i="51"/>
  <c r="J97" i="51"/>
  <c r="H97" i="51"/>
  <c r="F97" i="51"/>
  <c r="K95" i="51"/>
  <c r="L87" i="51"/>
  <c r="J87" i="51"/>
  <c r="H87" i="51"/>
  <c r="F87" i="51"/>
  <c r="L86" i="51"/>
  <c r="J86" i="51"/>
  <c r="H86" i="51"/>
  <c r="F86" i="51"/>
  <c r="L85" i="51"/>
  <c r="J85" i="51"/>
  <c r="H85" i="51"/>
  <c r="F85" i="51"/>
  <c r="L84" i="51"/>
  <c r="J84" i="51"/>
  <c r="H84" i="51"/>
  <c r="F84" i="51"/>
  <c r="L83" i="51"/>
  <c r="J83" i="51"/>
  <c r="H83" i="51"/>
  <c r="F83" i="51"/>
  <c r="L82" i="51"/>
  <c r="J82" i="51"/>
  <c r="H82" i="51"/>
  <c r="F82" i="51"/>
  <c r="L81" i="51"/>
  <c r="J81" i="51"/>
  <c r="H81" i="51"/>
  <c r="F81" i="51"/>
  <c r="L80" i="51"/>
  <c r="J80" i="51"/>
  <c r="H80" i="51"/>
  <c r="F80" i="51"/>
  <c r="L79" i="51"/>
  <c r="J79" i="51"/>
  <c r="H79" i="51"/>
  <c r="F79" i="51"/>
  <c r="L78" i="51"/>
  <c r="J78" i="51"/>
  <c r="H78" i="51"/>
  <c r="F78" i="51"/>
  <c r="L77" i="51"/>
  <c r="J77" i="51"/>
  <c r="H77" i="51"/>
  <c r="F77" i="51"/>
  <c r="L76" i="51"/>
  <c r="J76" i="51"/>
  <c r="H76" i="51"/>
  <c r="F76" i="51"/>
  <c r="L75" i="51"/>
  <c r="J75" i="51"/>
  <c r="H75" i="51"/>
  <c r="F75" i="51"/>
  <c r="L65" i="51"/>
  <c r="J65" i="51"/>
  <c r="H65" i="51"/>
  <c r="F65" i="51"/>
  <c r="L64" i="51"/>
  <c r="J64" i="51"/>
  <c r="H64" i="51"/>
  <c r="F64" i="51"/>
  <c r="L63" i="51"/>
  <c r="J63" i="51"/>
  <c r="H63" i="51"/>
  <c r="F63" i="51"/>
  <c r="L62" i="51"/>
  <c r="J62" i="51"/>
  <c r="H62" i="51"/>
  <c r="F62" i="51"/>
  <c r="L61" i="51"/>
  <c r="J61" i="51"/>
  <c r="H61" i="51"/>
  <c r="F61" i="51"/>
  <c r="L60" i="51"/>
  <c r="J60" i="51"/>
  <c r="H60" i="51"/>
  <c r="F60" i="51"/>
  <c r="L59" i="51"/>
  <c r="J59" i="51"/>
  <c r="H59" i="51"/>
  <c r="F59" i="51"/>
  <c r="L58" i="51"/>
  <c r="J58" i="51"/>
  <c r="H58" i="51"/>
  <c r="F58" i="51"/>
  <c r="L57" i="51"/>
  <c r="J57" i="51"/>
  <c r="H57" i="51"/>
  <c r="F57" i="51"/>
  <c r="L56" i="51"/>
  <c r="J56" i="51"/>
  <c r="H56" i="51"/>
  <c r="F56" i="51"/>
  <c r="L55" i="51"/>
  <c r="J55" i="51"/>
  <c r="H55" i="51"/>
  <c r="F55" i="51"/>
  <c r="L54" i="51"/>
  <c r="J54" i="51"/>
  <c r="H54" i="51"/>
  <c r="F54" i="51"/>
  <c r="L53" i="51"/>
  <c r="J53" i="51"/>
  <c r="H53" i="51"/>
  <c r="F53" i="51"/>
  <c r="L43" i="51"/>
  <c r="J43" i="51"/>
  <c r="H43" i="51"/>
  <c r="F43" i="51"/>
  <c r="L42" i="51"/>
  <c r="J42" i="51"/>
  <c r="H42" i="51"/>
  <c r="F42" i="51"/>
  <c r="L41" i="51"/>
  <c r="J41" i="51"/>
  <c r="H41" i="51"/>
  <c r="F41" i="51"/>
  <c r="L40" i="51"/>
  <c r="J40" i="51"/>
  <c r="H40" i="51"/>
  <c r="F40" i="51"/>
  <c r="L39" i="51"/>
  <c r="J39" i="51"/>
  <c r="H39" i="51"/>
  <c r="F39" i="51"/>
  <c r="L38" i="51"/>
  <c r="J38" i="51"/>
  <c r="H38" i="51"/>
  <c r="F38" i="51"/>
  <c r="L37" i="51"/>
  <c r="J37" i="51"/>
  <c r="H37" i="51"/>
  <c r="F37" i="51"/>
  <c r="L36" i="51"/>
  <c r="J36" i="51"/>
  <c r="H36" i="51"/>
  <c r="F36" i="51"/>
  <c r="L35" i="51"/>
  <c r="J35" i="51"/>
  <c r="H35" i="51"/>
  <c r="F35" i="51"/>
  <c r="L34" i="51"/>
  <c r="J34" i="51"/>
  <c r="H34" i="51"/>
  <c r="F34" i="51"/>
  <c r="L33" i="51"/>
  <c r="J33" i="51"/>
  <c r="H33" i="51"/>
  <c r="F33" i="51"/>
  <c r="L32" i="51"/>
  <c r="J32" i="51"/>
  <c r="H32" i="51"/>
  <c r="F32" i="51"/>
  <c r="L31" i="51"/>
  <c r="J31" i="51"/>
  <c r="H31" i="51"/>
  <c r="F31" i="51"/>
  <c r="L21" i="51"/>
  <c r="J21" i="51"/>
  <c r="H21" i="51"/>
  <c r="F21" i="51"/>
  <c r="L20" i="51"/>
  <c r="J20" i="51"/>
  <c r="H20" i="51"/>
  <c r="F20" i="51"/>
  <c r="L19" i="51"/>
  <c r="J19" i="51"/>
  <c r="H19" i="51"/>
  <c r="F19" i="51"/>
  <c r="L18" i="51"/>
  <c r="J18" i="51"/>
  <c r="H18" i="51"/>
  <c r="F18" i="51"/>
  <c r="L17" i="51"/>
  <c r="J17" i="51"/>
  <c r="H17" i="51"/>
  <c r="F17" i="51"/>
  <c r="L16" i="51"/>
  <c r="J16" i="51"/>
  <c r="H16" i="51"/>
  <c r="F16" i="51"/>
  <c r="L15" i="51"/>
  <c r="J15" i="51"/>
  <c r="H15" i="51"/>
  <c r="F15" i="51"/>
  <c r="L14" i="51"/>
  <c r="J14" i="51"/>
  <c r="H14" i="51"/>
  <c r="F14" i="51"/>
  <c r="L13" i="51"/>
  <c r="J13" i="51"/>
  <c r="H13" i="51"/>
  <c r="F13" i="51"/>
  <c r="L12" i="51"/>
  <c r="J12" i="51"/>
  <c r="H12" i="51"/>
  <c r="F12" i="51"/>
  <c r="L11" i="51"/>
  <c r="J11" i="51"/>
  <c r="H11" i="51"/>
  <c r="F11" i="51"/>
  <c r="L10" i="51"/>
  <c r="J10" i="51"/>
  <c r="H10" i="51"/>
  <c r="F10" i="51"/>
  <c r="L9" i="51"/>
  <c r="J9" i="51"/>
  <c r="H9" i="51"/>
  <c r="F9" i="51"/>
  <c r="K7" i="51"/>
  <c r="K205" i="51" s="1"/>
  <c r="N80" i="50"/>
  <c r="N79" i="50"/>
  <c r="N78" i="50"/>
  <c r="N77" i="50"/>
  <c r="N76" i="50"/>
  <c r="N75" i="50"/>
  <c r="N74" i="50"/>
  <c r="N58" i="50"/>
  <c r="N57" i="50"/>
  <c r="N56" i="50"/>
  <c r="N55" i="50"/>
  <c r="N54" i="50"/>
  <c r="N53" i="50"/>
  <c r="N52" i="50"/>
  <c r="N36" i="50"/>
  <c r="N35" i="50"/>
  <c r="N34" i="50"/>
  <c r="N33" i="50"/>
  <c r="N32" i="50"/>
  <c r="N31" i="50"/>
  <c r="N30" i="50"/>
  <c r="N14" i="50"/>
  <c r="N13" i="50"/>
  <c r="N12" i="50"/>
  <c r="N11" i="50"/>
  <c r="N10" i="50"/>
  <c r="N9" i="50"/>
  <c r="N8" i="50"/>
  <c r="L87" i="50"/>
  <c r="J87" i="50"/>
  <c r="H87" i="50"/>
  <c r="F87" i="50"/>
  <c r="L86" i="50"/>
  <c r="J86" i="50"/>
  <c r="H86" i="50"/>
  <c r="F86" i="50"/>
  <c r="L85" i="50"/>
  <c r="J85" i="50"/>
  <c r="H85" i="50"/>
  <c r="F85" i="50"/>
  <c r="L84" i="50"/>
  <c r="J84" i="50"/>
  <c r="H84" i="50"/>
  <c r="F84" i="50"/>
  <c r="L83" i="50"/>
  <c r="J83" i="50"/>
  <c r="H83" i="50"/>
  <c r="F83" i="50"/>
  <c r="L82" i="50"/>
  <c r="J82" i="50"/>
  <c r="H82" i="50"/>
  <c r="F82" i="50"/>
  <c r="L81" i="50"/>
  <c r="J81" i="50"/>
  <c r="H81" i="50"/>
  <c r="F81" i="50"/>
  <c r="L80" i="50"/>
  <c r="J80" i="50"/>
  <c r="H80" i="50"/>
  <c r="F80" i="50"/>
  <c r="L79" i="50"/>
  <c r="J79" i="50"/>
  <c r="H79" i="50"/>
  <c r="F79" i="50"/>
  <c r="L78" i="50"/>
  <c r="J78" i="50"/>
  <c r="H78" i="50"/>
  <c r="F78" i="50"/>
  <c r="L77" i="50"/>
  <c r="J77" i="50"/>
  <c r="H77" i="50"/>
  <c r="F77" i="50"/>
  <c r="L76" i="50"/>
  <c r="J76" i="50"/>
  <c r="H76" i="50"/>
  <c r="F76" i="50"/>
  <c r="L75" i="50"/>
  <c r="J75" i="50"/>
  <c r="H75" i="50"/>
  <c r="F75" i="50"/>
  <c r="L74" i="50"/>
  <c r="J74" i="50"/>
  <c r="H74" i="50"/>
  <c r="L65" i="50"/>
  <c r="J65" i="50"/>
  <c r="H65" i="50"/>
  <c r="F65" i="50"/>
  <c r="L64" i="50"/>
  <c r="J64" i="50"/>
  <c r="H64" i="50"/>
  <c r="F64" i="50"/>
  <c r="L63" i="50"/>
  <c r="J63" i="50"/>
  <c r="H63" i="50"/>
  <c r="F63" i="50"/>
  <c r="L62" i="50"/>
  <c r="J62" i="50"/>
  <c r="H62" i="50"/>
  <c r="F62" i="50"/>
  <c r="L61" i="50"/>
  <c r="J61" i="50"/>
  <c r="H61" i="50"/>
  <c r="F61" i="50"/>
  <c r="L60" i="50"/>
  <c r="J60" i="50"/>
  <c r="H60" i="50"/>
  <c r="F60" i="50"/>
  <c r="L59" i="50"/>
  <c r="J59" i="50"/>
  <c r="H59" i="50"/>
  <c r="F59" i="50"/>
  <c r="L58" i="50"/>
  <c r="J58" i="50"/>
  <c r="H58" i="50"/>
  <c r="F58" i="50"/>
  <c r="L57" i="50"/>
  <c r="J57" i="50"/>
  <c r="H57" i="50"/>
  <c r="F57" i="50"/>
  <c r="L56" i="50"/>
  <c r="J56" i="50"/>
  <c r="H56" i="50"/>
  <c r="F56" i="50"/>
  <c r="L55" i="50"/>
  <c r="J55" i="50"/>
  <c r="H55" i="50"/>
  <c r="F55" i="50"/>
  <c r="L54" i="50"/>
  <c r="J54" i="50"/>
  <c r="H54" i="50"/>
  <c r="F54" i="50"/>
  <c r="L53" i="50"/>
  <c r="J53" i="50"/>
  <c r="H53" i="50"/>
  <c r="F53" i="50"/>
  <c r="L52" i="50"/>
  <c r="J52" i="50"/>
  <c r="H52" i="50"/>
  <c r="L43" i="50"/>
  <c r="J43" i="50"/>
  <c r="H43" i="50"/>
  <c r="F43" i="50"/>
  <c r="L42" i="50"/>
  <c r="J42" i="50"/>
  <c r="H42" i="50"/>
  <c r="F42" i="50"/>
  <c r="L41" i="50"/>
  <c r="J41" i="50"/>
  <c r="H41" i="50"/>
  <c r="F41" i="50"/>
  <c r="L40" i="50"/>
  <c r="J40" i="50"/>
  <c r="H40" i="50"/>
  <c r="F40" i="50"/>
  <c r="L39" i="50"/>
  <c r="J39" i="50"/>
  <c r="H39" i="50"/>
  <c r="F39" i="50"/>
  <c r="L38" i="50"/>
  <c r="J38" i="50"/>
  <c r="H38" i="50"/>
  <c r="F38" i="50"/>
  <c r="L37" i="50"/>
  <c r="J37" i="50"/>
  <c r="H37" i="50"/>
  <c r="F37" i="50"/>
  <c r="L36" i="50"/>
  <c r="J36" i="50"/>
  <c r="H36" i="50"/>
  <c r="F36" i="50"/>
  <c r="L35" i="50"/>
  <c r="J35" i="50"/>
  <c r="H35" i="50"/>
  <c r="F35" i="50"/>
  <c r="L34" i="50"/>
  <c r="J34" i="50"/>
  <c r="H34" i="50"/>
  <c r="F34" i="50"/>
  <c r="L33" i="50"/>
  <c r="J33" i="50"/>
  <c r="H33" i="50"/>
  <c r="F33" i="50"/>
  <c r="L32" i="50"/>
  <c r="J32" i="50"/>
  <c r="H32" i="50"/>
  <c r="F32" i="50"/>
  <c r="L31" i="50"/>
  <c r="J31" i="50"/>
  <c r="H31" i="50"/>
  <c r="F31" i="50"/>
  <c r="L30" i="50"/>
  <c r="J30" i="50"/>
  <c r="H30" i="50"/>
  <c r="L21" i="50"/>
  <c r="J21" i="50"/>
  <c r="H21" i="50"/>
  <c r="F21" i="50"/>
  <c r="L20" i="50"/>
  <c r="J20" i="50"/>
  <c r="H20" i="50"/>
  <c r="F20" i="50"/>
  <c r="L19" i="50"/>
  <c r="J19" i="50"/>
  <c r="H19" i="50"/>
  <c r="F19" i="50"/>
  <c r="L18" i="50"/>
  <c r="J18" i="50"/>
  <c r="H18" i="50"/>
  <c r="F18" i="50"/>
  <c r="L17" i="50"/>
  <c r="J17" i="50"/>
  <c r="H17" i="50"/>
  <c r="F17" i="50"/>
  <c r="L16" i="50"/>
  <c r="J16" i="50"/>
  <c r="H16" i="50"/>
  <c r="F16" i="50"/>
  <c r="L15" i="50"/>
  <c r="J15" i="50"/>
  <c r="H15" i="50"/>
  <c r="F15" i="50"/>
  <c r="L14" i="50"/>
  <c r="J14" i="50"/>
  <c r="H14" i="50"/>
  <c r="F14" i="50"/>
  <c r="L13" i="50"/>
  <c r="J13" i="50"/>
  <c r="H13" i="50"/>
  <c r="F13" i="50"/>
  <c r="L12" i="50"/>
  <c r="J12" i="50"/>
  <c r="H12" i="50"/>
  <c r="F12" i="50"/>
  <c r="L11" i="50"/>
  <c r="J11" i="50"/>
  <c r="H11" i="50"/>
  <c r="F11" i="50"/>
  <c r="L10" i="50"/>
  <c r="J10" i="50"/>
  <c r="H10" i="50"/>
  <c r="F10" i="50"/>
  <c r="L9" i="50"/>
  <c r="J9" i="50"/>
  <c r="H9" i="50"/>
  <c r="F9" i="50"/>
  <c r="K7" i="50"/>
  <c r="L8" i="50" s="1"/>
  <c r="N278" i="49"/>
  <c r="N277" i="49"/>
  <c r="N276" i="49"/>
  <c r="N275" i="49"/>
  <c r="N274" i="49"/>
  <c r="N273" i="49"/>
  <c r="M271" i="49"/>
  <c r="N272" i="49" s="1"/>
  <c r="N256" i="49"/>
  <c r="N255" i="49"/>
  <c r="N254" i="49"/>
  <c r="N253" i="49"/>
  <c r="N252" i="49"/>
  <c r="N251" i="49"/>
  <c r="M249" i="49"/>
  <c r="N250" i="49" s="1"/>
  <c r="N234" i="49"/>
  <c r="N233" i="49"/>
  <c r="N232" i="49"/>
  <c r="N231" i="49"/>
  <c r="N230" i="49"/>
  <c r="N229" i="49"/>
  <c r="M227" i="49"/>
  <c r="N228" i="49" s="1"/>
  <c r="N212" i="49"/>
  <c r="N211" i="49"/>
  <c r="N210" i="49"/>
  <c r="N209" i="49"/>
  <c r="N208" i="49"/>
  <c r="N207" i="49"/>
  <c r="M205" i="49"/>
  <c r="N206" i="49" s="1"/>
  <c r="N190" i="49"/>
  <c r="N189" i="49"/>
  <c r="N188" i="49"/>
  <c r="N187" i="49"/>
  <c r="N186" i="49"/>
  <c r="N185" i="49"/>
  <c r="M183" i="49"/>
  <c r="N184" i="49" s="1"/>
  <c r="N168" i="49"/>
  <c r="N167" i="49"/>
  <c r="N166" i="49"/>
  <c r="N165" i="49"/>
  <c r="N164" i="49"/>
  <c r="N163" i="49"/>
  <c r="M161" i="49"/>
  <c r="N162" i="49" s="1"/>
  <c r="N146" i="49"/>
  <c r="N145" i="49"/>
  <c r="N144" i="49"/>
  <c r="N143" i="49"/>
  <c r="N142" i="49"/>
  <c r="N141" i="49"/>
  <c r="M139" i="49"/>
  <c r="N140" i="49" s="1"/>
  <c r="N124" i="49"/>
  <c r="N123" i="49"/>
  <c r="N122" i="49"/>
  <c r="N121" i="49"/>
  <c r="N120" i="49"/>
  <c r="N119" i="49"/>
  <c r="M117" i="49"/>
  <c r="N118" i="49" s="1"/>
  <c r="N102" i="49"/>
  <c r="N101" i="49"/>
  <c r="N100" i="49"/>
  <c r="N99" i="49"/>
  <c r="N98" i="49"/>
  <c r="N97" i="49"/>
  <c r="M95" i="49"/>
  <c r="N96" i="49" s="1"/>
  <c r="N80" i="49"/>
  <c r="N79" i="49"/>
  <c r="N78" i="49"/>
  <c r="N77" i="49"/>
  <c r="N76" i="49"/>
  <c r="N75" i="49"/>
  <c r="M73" i="49"/>
  <c r="N74" i="49" s="1"/>
  <c r="N58" i="49"/>
  <c r="N57" i="49"/>
  <c r="N56" i="49"/>
  <c r="N55" i="49"/>
  <c r="N54" i="49"/>
  <c r="N53" i="49"/>
  <c r="M51" i="49"/>
  <c r="N52" i="49" s="1"/>
  <c r="N36" i="49"/>
  <c r="N35" i="49"/>
  <c r="N34" i="49"/>
  <c r="N33" i="49"/>
  <c r="N32" i="49"/>
  <c r="N31" i="49"/>
  <c r="M29" i="49"/>
  <c r="N30" i="49" s="1"/>
  <c r="N14" i="49"/>
  <c r="N13" i="49"/>
  <c r="N12" i="49"/>
  <c r="N11" i="49"/>
  <c r="N10" i="49"/>
  <c r="N9" i="49"/>
  <c r="N8" i="49"/>
  <c r="L285" i="49"/>
  <c r="J285" i="49"/>
  <c r="H285" i="49"/>
  <c r="F285" i="49"/>
  <c r="L284" i="49"/>
  <c r="J284" i="49"/>
  <c r="H284" i="49"/>
  <c r="F284" i="49"/>
  <c r="L283" i="49"/>
  <c r="J283" i="49"/>
  <c r="H283" i="49"/>
  <c r="F283" i="49"/>
  <c r="L282" i="49"/>
  <c r="J282" i="49"/>
  <c r="H282" i="49"/>
  <c r="F282" i="49"/>
  <c r="L281" i="49"/>
  <c r="J281" i="49"/>
  <c r="H281" i="49"/>
  <c r="F281" i="49"/>
  <c r="L280" i="49"/>
  <c r="J280" i="49"/>
  <c r="H280" i="49"/>
  <c r="F280" i="49"/>
  <c r="L279" i="49"/>
  <c r="J279" i="49"/>
  <c r="H279" i="49"/>
  <c r="F279" i="49"/>
  <c r="L278" i="49"/>
  <c r="J278" i="49"/>
  <c r="H278" i="49"/>
  <c r="F278" i="49"/>
  <c r="L277" i="49"/>
  <c r="J277" i="49"/>
  <c r="H277" i="49"/>
  <c r="F277" i="49"/>
  <c r="L276" i="49"/>
  <c r="J276" i="49"/>
  <c r="H276" i="49"/>
  <c r="F276" i="49"/>
  <c r="L275" i="49"/>
  <c r="J275" i="49"/>
  <c r="H275" i="49"/>
  <c r="F275" i="49"/>
  <c r="L274" i="49"/>
  <c r="J274" i="49"/>
  <c r="H274" i="49"/>
  <c r="F274" i="49"/>
  <c r="L273" i="49"/>
  <c r="J273" i="49"/>
  <c r="H273" i="49"/>
  <c r="F273" i="49"/>
  <c r="B270" i="49"/>
  <c r="L263" i="49"/>
  <c r="J263" i="49"/>
  <c r="H263" i="49"/>
  <c r="F263" i="49"/>
  <c r="L262" i="49"/>
  <c r="J262" i="49"/>
  <c r="H262" i="49"/>
  <c r="F262" i="49"/>
  <c r="L261" i="49"/>
  <c r="J261" i="49"/>
  <c r="H261" i="49"/>
  <c r="F261" i="49"/>
  <c r="L260" i="49"/>
  <c r="J260" i="49"/>
  <c r="H260" i="49"/>
  <c r="F260" i="49"/>
  <c r="L259" i="49"/>
  <c r="J259" i="49"/>
  <c r="H259" i="49"/>
  <c r="F259" i="49"/>
  <c r="L258" i="49"/>
  <c r="J258" i="49"/>
  <c r="H258" i="49"/>
  <c r="F258" i="49"/>
  <c r="L257" i="49"/>
  <c r="J257" i="49"/>
  <c r="H257" i="49"/>
  <c r="F257" i="49"/>
  <c r="L256" i="49"/>
  <c r="J256" i="49"/>
  <c r="H256" i="49"/>
  <c r="F256" i="49"/>
  <c r="L255" i="49"/>
  <c r="J255" i="49"/>
  <c r="H255" i="49"/>
  <c r="F255" i="49"/>
  <c r="L254" i="49"/>
  <c r="J254" i="49"/>
  <c r="H254" i="49"/>
  <c r="F254" i="49"/>
  <c r="L253" i="49"/>
  <c r="J253" i="49"/>
  <c r="H253" i="49"/>
  <c r="F253" i="49"/>
  <c r="L252" i="49"/>
  <c r="J252" i="49"/>
  <c r="H252" i="49"/>
  <c r="F252" i="49"/>
  <c r="L251" i="49"/>
  <c r="J251" i="49"/>
  <c r="H251" i="49"/>
  <c r="F251" i="49"/>
  <c r="B248" i="49"/>
  <c r="L241" i="49"/>
  <c r="J241" i="49"/>
  <c r="H241" i="49"/>
  <c r="F241" i="49"/>
  <c r="L240" i="49"/>
  <c r="J240" i="49"/>
  <c r="H240" i="49"/>
  <c r="F240" i="49"/>
  <c r="L239" i="49"/>
  <c r="J239" i="49"/>
  <c r="H239" i="49"/>
  <c r="F239" i="49"/>
  <c r="L238" i="49"/>
  <c r="J238" i="49"/>
  <c r="H238" i="49"/>
  <c r="F238" i="49"/>
  <c r="L237" i="49"/>
  <c r="J237" i="49"/>
  <c r="H237" i="49"/>
  <c r="F237" i="49"/>
  <c r="L236" i="49"/>
  <c r="J236" i="49"/>
  <c r="H236" i="49"/>
  <c r="F236" i="49"/>
  <c r="L235" i="49"/>
  <c r="J235" i="49"/>
  <c r="H235" i="49"/>
  <c r="F235" i="49"/>
  <c r="L234" i="49"/>
  <c r="J234" i="49"/>
  <c r="H234" i="49"/>
  <c r="F234" i="49"/>
  <c r="L233" i="49"/>
  <c r="J233" i="49"/>
  <c r="H233" i="49"/>
  <c r="F233" i="49"/>
  <c r="L232" i="49"/>
  <c r="J232" i="49"/>
  <c r="H232" i="49"/>
  <c r="F232" i="49"/>
  <c r="L231" i="49"/>
  <c r="J231" i="49"/>
  <c r="H231" i="49"/>
  <c r="F231" i="49"/>
  <c r="L230" i="49"/>
  <c r="J230" i="49"/>
  <c r="H230" i="49"/>
  <c r="F230" i="49"/>
  <c r="L229" i="49"/>
  <c r="J229" i="49"/>
  <c r="H229" i="49"/>
  <c r="F229" i="49"/>
  <c r="K227" i="49"/>
  <c r="L228" i="49" s="1"/>
  <c r="B226" i="49"/>
  <c r="L219" i="49"/>
  <c r="J219" i="49"/>
  <c r="H219" i="49"/>
  <c r="F219" i="49"/>
  <c r="L218" i="49"/>
  <c r="J218" i="49"/>
  <c r="H218" i="49"/>
  <c r="F218" i="49"/>
  <c r="L217" i="49"/>
  <c r="J217" i="49"/>
  <c r="H217" i="49"/>
  <c r="F217" i="49"/>
  <c r="L216" i="49"/>
  <c r="J216" i="49"/>
  <c r="H216" i="49"/>
  <c r="F216" i="49"/>
  <c r="L215" i="49"/>
  <c r="J215" i="49"/>
  <c r="H215" i="49"/>
  <c r="F215" i="49"/>
  <c r="L214" i="49"/>
  <c r="J214" i="49"/>
  <c r="H214" i="49"/>
  <c r="F214" i="49"/>
  <c r="L213" i="49"/>
  <c r="J213" i="49"/>
  <c r="H213" i="49"/>
  <c r="F213" i="49"/>
  <c r="L212" i="49"/>
  <c r="J212" i="49"/>
  <c r="H212" i="49"/>
  <c r="F212" i="49"/>
  <c r="L211" i="49"/>
  <c r="J211" i="49"/>
  <c r="H211" i="49"/>
  <c r="F211" i="49"/>
  <c r="L210" i="49"/>
  <c r="J210" i="49"/>
  <c r="H210" i="49"/>
  <c r="F210" i="49"/>
  <c r="L209" i="49"/>
  <c r="J209" i="49"/>
  <c r="H209" i="49"/>
  <c r="F209" i="49"/>
  <c r="L208" i="49"/>
  <c r="J208" i="49"/>
  <c r="H208" i="49"/>
  <c r="F208" i="49"/>
  <c r="L207" i="49"/>
  <c r="J207" i="49"/>
  <c r="H207" i="49"/>
  <c r="F207" i="49"/>
  <c r="B204" i="49"/>
  <c r="L197" i="49"/>
  <c r="J197" i="49"/>
  <c r="H197" i="49"/>
  <c r="F197" i="49"/>
  <c r="L196" i="49"/>
  <c r="J196" i="49"/>
  <c r="H196" i="49"/>
  <c r="F196" i="49"/>
  <c r="L195" i="49"/>
  <c r="J195" i="49"/>
  <c r="H195" i="49"/>
  <c r="F195" i="49"/>
  <c r="L194" i="49"/>
  <c r="J194" i="49"/>
  <c r="H194" i="49"/>
  <c r="F194" i="49"/>
  <c r="L193" i="49"/>
  <c r="J193" i="49"/>
  <c r="H193" i="49"/>
  <c r="F193" i="49"/>
  <c r="L192" i="49"/>
  <c r="J192" i="49"/>
  <c r="H192" i="49"/>
  <c r="F192" i="49"/>
  <c r="L191" i="49"/>
  <c r="J191" i="49"/>
  <c r="H191" i="49"/>
  <c r="F191" i="49"/>
  <c r="L190" i="49"/>
  <c r="J190" i="49"/>
  <c r="H190" i="49"/>
  <c r="F190" i="49"/>
  <c r="L189" i="49"/>
  <c r="J189" i="49"/>
  <c r="H189" i="49"/>
  <c r="F189" i="49"/>
  <c r="L188" i="49"/>
  <c r="J188" i="49"/>
  <c r="H188" i="49"/>
  <c r="F188" i="49"/>
  <c r="L187" i="49"/>
  <c r="J187" i="49"/>
  <c r="H187" i="49"/>
  <c r="F187" i="49"/>
  <c r="L186" i="49"/>
  <c r="J186" i="49"/>
  <c r="H186" i="49"/>
  <c r="F186" i="49"/>
  <c r="L185" i="49"/>
  <c r="J185" i="49"/>
  <c r="H185" i="49"/>
  <c r="F185" i="49"/>
  <c r="B182" i="49"/>
  <c r="L175" i="49"/>
  <c r="J175" i="49"/>
  <c r="H175" i="49"/>
  <c r="F175" i="49"/>
  <c r="L174" i="49"/>
  <c r="J174" i="49"/>
  <c r="H174" i="49"/>
  <c r="F174" i="49"/>
  <c r="L173" i="49"/>
  <c r="J173" i="49"/>
  <c r="H173" i="49"/>
  <c r="F173" i="49"/>
  <c r="L172" i="49"/>
  <c r="J172" i="49"/>
  <c r="H172" i="49"/>
  <c r="F172" i="49"/>
  <c r="L171" i="49"/>
  <c r="J171" i="49"/>
  <c r="H171" i="49"/>
  <c r="F171" i="49"/>
  <c r="L170" i="49"/>
  <c r="J170" i="49"/>
  <c r="H170" i="49"/>
  <c r="F170" i="49"/>
  <c r="L169" i="49"/>
  <c r="J169" i="49"/>
  <c r="H169" i="49"/>
  <c r="F169" i="49"/>
  <c r="L168" i="49"/>
  <c r="J168" i="49"/>
  <c r="H168" i="49"/>
  <c r="F168" i="49"/>
  <c r="L167" i="49"/>
  <c r="J167" i="49"/>
  <c r="H167" i="49"/>
  <c r="F167" i="49"/>
  <c r="L166" i="49"/>
  <c r="J166" i="49"/>
  <c r="H166" i="49"/>
  <c r="F166" i="49"/>
  <c r="L165" i="49"/>
  <c r="J165" i="49"/>
  <c r="H165" i="49"/>
  <c r="F165" i="49"/>
  <c r="L164" i="49"/>
  <c r="J164" i="49"/>
  <c r="H164" i="49"/>
  <c r="F164" i="49"/>
  <c r="L163" i="49"/>
  <c r="J163" i="49"/>
  <c r="H163" i="49"/>
  <c r="F163" i="49"/>
  <c r="K161" i="49"/>
  <c r="L162" i="49" s="1"/>
  <c r="B160" i="49"/>
  <c r="L153" i="49"/>
  <c r="J153" i="49"/>
  <c r="H153" i="49"/>
  <c r="F153" i="49"/>
  <c r="L152" i="49"/>
  <c r="J152" i="49"/>
  <c r="H152" i="49"/>
  <c r="F152" i="49"/>
  <c r="L151" i="49"/>
  <c r="J151" i="49"/>
  <c r="H151" i="49"/>
  <c r="F151" i="49"/>
  <c r="L150" i="49"/>
  <c r="J150" i="49"/>
  <c r="H150" i="49"/>
  <c r="F150" i="49"/>
  <c r="L149" i="49"/>
  <c r="J149" i="49"/>
  <c r="H149" i="49"/>
  <c r="F149" i="49"/>
  <c r="L148" i="49"/>
  <c r="J148" i="49"/>
  <c r="H148" i="49"/>
  <c r="F148" i="49"/>
  <c r="L147" i="49"/>
  <c r="J147" i="49"/>
  <c r="H147" i="49"/>
  <c r="F147" i="49"/>
  <c r="L146" i="49"/>
  <c r="J146" i="49"/>
  <c r="H146" i="49"/>
  <c r="F146" i="49"/>
  <c r="L145" i="49"/>
  <c r="J145" i="49"/>
  <c r="H145" i="49"/>
  <c r="F145" i="49"/>
  <c r="L144" i="49"/>
  <c r="J144" i="49"/>
  <c r="H144" i="49"/>
  <c r="F144" i="49"/>
  <c r="L143" i="49"/>
  <c r="J143" i="49"/>
  <c r="H143" i="49"/>
  <c r="F143" i="49"/>
  <c r="L142" i="49"/>
  <c r="J142" i="49"/>
  <c r="H142" i="49"/>
  <c r="F142" i="49"/>
  <c r="L141" i="49"/>
  <c r="J141" i="49"/>
  <c r="H141" i="49"/>
  <c r="F141" i="49"/>
  <c r="K139" i="49"/>
  <c r="L140" i="49" s="1"/>
  <c r="B138" i="49"/>
  <c r="L131" i="49"/>
  <c r="J131" i="49"/>
  <c r="H131" i="49"/>
  <c r="F131" i="49"/>
  <c r="L130" i="49"/>
  <c r="J130" i="49"/>
  <c r="H130" i="49"/>
  <c r="F130" i="49"/>
  <c r="L129" i="49"/>
  <c r="J129" i="49"/>
  <c r="H129" i="49"/>
  <c r="F129" i="49"/>
  <c r="L128" i="49"/>
  <c r="J128" i="49"/>
  <c r="H128" i="49"/>
  <c r="F128" i="49"/>
  <c r="L127" i="49"/>
  <c r="J127" i="49"/>
  <c r="H127" i="49"/>
  <c r="F127" i="49"/>
  <c r="L126" i="49"/>
  <c r="J126" i="49"/>
  <c r="H126" i="49"/>
  <c r="F126" i="49"/>
  <c r="L125" i="49"/>
  <c r="J125" i="49"/>
  <c r="H125" i="49"/>
  <c r="F125" i="49"/>
  <c r="L124" i="49"/>
  <c r="J124" i="49"/>
  <c r="H124" i="49"/>
  <c r="F124" i="49"/>
  <c r="L123" i="49"/>
  <c r="J123" i="49"/>
  <c r="H123" i="49"/>
  <c r="F123" i="49"/>
  <c r="L122" i="49"/>
  <c r="J122" i="49"/>
  <c r="H122" i="49"/>
  <c r="F122" i="49"/>
  <c r="L121" i="49"/>
  <c r="J121" i="49"/>
  <c r="H121" i="49"/>
  <c r="F121" i="49"/>
  <c r="L120" i="49"/>
  <c r="J120" i="49"/>
  <c r="H120" i="49"/>
  <c r="F120" i="49"/>
  <c r="L119" i="49"/>
  <c r="J119" i="49"/>
  <c r="H119" i="49"/>
  <c r="F119" i="49"/>
  <c r="B116" i="49"/>
  <c r="L109" i="49"/>
  <c r="J109" i="49"/>
  <c r="H109" i="49"/>
  <c r="F109" i="49"/>
  <c r="L108" i="49"/>
  <c r="J108" i="49"/>
  <c r="H108" i="49"/>
  <c r="F108" i="49"/>
  <c r="L107" i="49"/>
  <c r="J107" i="49"/>
  <c r="H107" i="49"/>
  <c r="F107" i="49"/>
  <c r="L106" i="49"/>
  <c r="J106" i="49"/>
  <c r="H106" i="49"/>
  <c r="F106" i="49"/>
  <c r="L105" i="49"/>
  <c r="J105" i="49"/>
  <c r="H105" i="49"/>
  <c r="F105" i="49"/>
  <c r="L104" i="49"/>
  <c r="J104" i="49"/>
  <c r="H104" i="49"/>
  <c r="F104" i="49"/>
  <c r="L103" i="49"/>
  <c r="J103" i="49"/>
  <c r="H103" i="49"/>
  <c r="F103" i="49"/>
  <c r="L102" i="49"/>
  <c r="J102" i="49"/>
  <c r="H102" i="49"/>
  <c r="F102" i="49"/>
  <c r="L101" i="49"/>
  <c r="J101" i="49"/>
  <c r="H101" i="49"/>
  <c r="F101" i="49"/>
  <c r="L100" i="49"/>
  <c r="J100" i="49"/>
  <c r="H100" i="49"/>
  <c r="F100" i="49"/>
  <c r="L99" i="49"/>
  <c r="J99" i="49"/>
  <c r="H99" i="49"/>
  <c r="F99" i="49"/>
  <c r="L98" i="49"/>
  <c r="J98" i="49"/>
  <c r="H98" i="49"/>
  <c r="F98" i="49"/>
  <c r="L97" i="49"/>
  <c r="J97" i="49"/>
  <c r="H97" i="49"/>
  <c r="F97" i="49"/>
  <c r="L87" i="49"/>
  <c r="J87" i="49"/>
  <c r="H87" i="49"/>
  <c r="F87" i="49"/>
  <c r="L86" i="49"/>
  <c r="J86" i="49"/>
  <c r="H86" i="49"/>
  <c r="F86" i="49"/>
  <c r="L85" i="49"/>
  <c r="J85" i="49"/>
  <c r="H85" i="49"/>
  <c r="F85" i="49"/>
  <c r="L84" i="49"/>
  <c r="J84" i="49"/>
  <c r="H84" i="49"/>
  <c r="F84" i="49"/>
  <c r="L83" i="49"/>
  <c r="J83" i="49"/>
  <c r="H83" i="49"/>
  <c r="F83" i="49"/>
  <c r="L82" i="49"/>
  <c r="J82" i="49"/>
  <c r="H82" i="49"/>
  <c r="F82" i="49"/>
  <c r="L81" i="49"/>
  <c r="J81" i="49"/>
  <c r="H81" i="49"/>
  <c r="F81" i="49"/>
  <c r="L80" i="49"/>
  <c r="J80" i="49"/>
  <c r="H80" i="49"/>
  <c r="F80" i="49"/>
  <c r="L79" i="49"/>
  <c r="J79" i="49"/>
  <c r="H79" i="49"/>
  <c r="F79" i="49"/>
  <c r="L78" i="49"/>
  <c r="J78" i="49"/>
  <c r="H78" i="49"/>
  <c r="F78" i="49"/>
  <c r="L77" i="49"/>
  <c r="J77" i="49"/>
  <c r="H77" i="49"/>
  <c r="F77" i="49"/>
  <c r="L76" i="49"/>
  <c r="J76" i="49"/>
  <c r="H76" i="49"/>
  <c r="F76" i="49"/>
  <c r="L75" i="49"/>
  <c r="J75" i="49"/>
  <c r="H75" i="49"/>
  <c r="F75" i="49"/>
  <c r="L65" i="49"/>
  <c r="J65" i="49"/>
  <c r="H65" i="49"/>
  <c r="F65" i="49"/>
  <c r="L64" i="49"/>
  <c r="J64" i="49"/>
  <c r="H64" i="49"/>
  <c r="F64" i="49"/>
  <c r="L63" i="49"/>
  <c r="J63" i="49"/>
  <c r="H63" i="49"/>
  <c r="F63" i="49"/>
  <c r="L62" i="49"/>
  <c r="J62" i="49"/>
  <c r="H62" i="49"/>
  <c r="F62" i="49"/>
  <c r="L61" i="49"/>
  <c r="J61" i="49"/>
  <c r="H61" i="49"/>
  <c r="F61" i="49"/>
  <c r="L60" i="49"/>
  <c r="J60" i="49"/>
  <c r="H60" i="49"/>
  <c r="F60" i="49"/>
  <c r="L59" i="49"/>
  <c r="J59" i="49"/>
  <c r="H59" i="49"/>
  <c r="F59" i="49"/>
  <c r="L58" i="49"/>
  <c r="J58" i="49"/>
  <c r="H58" i="49"/>
  <c r="F58" i="49"/>
  <c r="L57" i="49"/>
  <c r="J57" i="49"/>
  <c r="H57" i="49"/>
  <c r="F57" i="49"/>
  <c r="L56" i="49"/>
  <c r="J56" i="49"/>
  <c r="H56" i="49"/>
  <c r="F56" i="49"/>
  <c r="L55" i="49"/>
  <c r="J55" i="49"/>
  <c r="H55" i="49"/>
  <c r="F55" i="49"/>
  <c r="L54" i="49"/>
  <c r="J54" i="49"/>
  <c r="H54" i="49"/>
  <c r="F54" i="49"/>
  <c r="L53" i="49"/>
  <c r="J53" i="49"/>
  <c r="H53" i="49"/>
  <c r="F53" i="49"/>
  <c r="L43" i="49"/>
  <c r="J43" i="49"/>
  <c r="H43" i="49"/>
  <c r="F43" i="49"/>
  <c r="L42" i="49"/>
  <c r="J42" i="49"/>
  <c r="H42" i="49"/>
  <c r="F42" i="49"/>
  <c r="L41" i="49"/>
  <c r="J41" i="49"/>
  <c r="H41" i="49"/>
  <c r="F41" i="49"/>
  <c r="L40" i="49"/>
  <c r="J40" i="49"/>
  <c r="H40" i="49"/>
  <c r="F40" i="49"/>
  <c r="L39" i="49"/>
  <c r="J39" i="49"/>
  <c r="H39" i="49"/>
  <c r="F39" i="49"/>
  <c r="L38" i="49"/>
  <c r="J38" i="49"/>
  <c r="H38" i="49"/>
  <c r="F38" i="49"/>
  <c r="L37" i="49"/>
  <c r="J37" i="49"/>
  <c r="H37" i="49"/>
  <c r="F37" i="49"/>
  <c r="L36" i="49"/>
  <c r="J36" i="49"/>
  <c r="H36" i="49"/>
  <c r="F36" i="49"/>
  <c r="L35" i="49"/>
  <c r="J35" i="49"/>
  <c r="H35" i="49"/>
  <c r="F35" i="49"/>
  <c r="L34" i="49"/>
  <c r="J34" i="49"/>
  <c r="H34" i="49"/>
  <c r="F34" i="49"/>
  <c r="L33" i="49"/>
  <c r="J33" i="49"/>
  <c r="H33" i="49"/>
  <c r="F33" i="49"/>
  <c r="L32" i="49"/>
  <c r="J32" i="49"/>
  <c r="H32" i="49"/>
  <c r="F32" i="49"/>
  <c r="L31" i="49"/>
  <c r="J31" i="49"/>
  <c r="H31" i="49"/>
  <c r="F31" i="49"/>
  <c r="L21" i="49"/>
  <c r="J21" i="49"/>
  <c r="H21" i="49"/>
  <c r="F21" i="49"/>
  <c r="L20" i="49"/>
  <c r="J20" i="49"/>
  <c r="H20" i="49"/>
  <c r="F20" i="49"/>
  <c r="L19" i="49"/>
  <c r="J19" i="49"/>
  <c r="H19" i="49"/>
  <c r="F19" i="49"/>
  <c r="L18" i="49"/>
  <c r="J18" i="49"/>
  <c r="H18" i="49"/>
  <c r="F18" i="49"/>
  <c r="L17" i="49"/>
  <c r="J17" i="49"/>
  <c r="H17" i="49"/>
  <c r="F17" i="49"/>
  <c r="L16" i="49"/>
  <c r="J16" i="49"/>
  <c r="H16" i="49"/>
  <c r="F16" i="49"/>
  <c r="L15" i="49"/>
  <c r="J15" i="49"/>
  <c r="H15" i="49"/>
  <c r="F15" i="49"/>
  <c r="L14" i="49"/>
  <c r="J14" i="49"/>
  <c r="H14" i="49"/>
  <c r="F14" i="49"/>
  <c r="L13" i="49"/>
  <c r="J13" i="49"/>
  <c r="H13" i="49"/>
  <c r="F13" i="49"/>
  <c r="L12" i="49"/>
  <c r="J12" i="49"/>
  <c r="H12" i="49"/>
  <c r="F12" i="49"/>
  <c r="L11" i="49"/>
  <c r="J11" i="49"/>
  <c r="H11" i="49"/>
  <c r="F11" i="49"/>
  <c r="L10" i="49"/>
  <c r="J10" i="49"/>
  <c r="H10" i="49"/>
  <c r="F10" i="49"/>
  <c r="L9" i="49"/>
  <c r="J9" i="49"/>
  <c r="H9" i="49"/>
  <c r="F9" i="49"/>
  <c r="K7" i="49"/>
  <c r="K271" i="49" s="1"/>
  <c r="L272" i="49" s="1"/>
  <c r="I135" i="45"/>
  <c r="T5" i="45"/>
  <c r="R5" i="45"/>
  <c r="Q5" i="45"/>
  <c r="P5" i="45"/>
  <c r="N5" i="45"/>
  <c r="J5" i="45"/>
  <c r="F5" i="45"/>
  <c r="S5" i="45"/>
  <c r="O135" i="44"/>
  <c r="N135" i="44"/>
  <c r="M135" i="44"/>
  <c r="K135" i="44"/>
  <c r="I135" i="44"/>
  <c r="T5" i="44"/>
  <c r="F5" i="44"/>
  <c r="M135" i="43"/>
  <c r="L135" i="43"/>
  <c r="K135" i="43"/>
  <c r="I135" i="43"/>
  <c r="G135" i="43"/>
  <c r="N5" i="43"/>
  <c r="J5" i="43"/>
  <c r="O133" i="42"/>
  <c r="I133" i="42"/>
  <c r="P5" i="42"/>
  <c r="N5" i="42"/>
  <c r="J5" i="42"/>
  <c r="F5" i="42"/>
  <c r="M133" i="41"/>
  <c r="L133" i="41"/>
  <c r="K133" i="41"/>
  <c r="G133" i="41"/>
  <c r="I133" i="41"/>
  <c r="H133" i="41"/>
  <c r="Q5" i="41"/>
  <c r="N5" i="41"/>
  <c r="I5" i="41"/>
  <c r="F5" i="41"/>
  <c r="N133" i="40"/>
  <c r="M133" i="40"/>
  <c r="K133" i="40"/>
  <c r="L133" i="40"/>
  <c r="I133" i="40"/>
  <c r="H133" i="40"/>
  <c r="O133" i="40"/>
  <c r="T5" i="40"/>
  <c r="S5" i="40"/>
  <c r="N5" i="40"/>
  <c r="J5" i="40"/>
  <c r="R5" i="40"/>
  <c r="I123" i="39"/>
  <c r="G123" i="39"/>
  <c r="T5" i="39"/>
  <c r="R5" i="39"/>
  <c r="O5" i="39"/>
  <c r="S5" i="39"/>
  <c r="L5" i="39"/>
  <c r="M5" i="39"/>
  <c r="K5" i="39"/>
  <c r="B3" i="37"/>
  <c r="J5" i="36"/>
  <c r="I5" i="36"/>
  <c r="B3" i="36"/>
  <c r="AL29" i="35"/>
  <c r="AK29" i="35"/>
  <c r="H74" i="31"/>
  <c r="F74" i="31"/>
  <c r="D74" i="31"/>
  <c r="M73" i="31"/>
  <c r="L74" i="31"/>
  <c r="J74" i="31"/>
  <c r="D52" i="31"/>
  <c r="L52" i="31"/>
  <c r="N8" i="31"/>
  <c r="L8" i="31"/>
  <c r="J8" i="31"/>
  <c r="H8" i="31"/>
  <c r="F8" i="31"/>
  <c r="D8" i="31"/>
  <c r="M29" i="31"/>
  <c r="N272" i="30"/>
  <c r="L272" i="30"/>
  <c r="J272" i="30"/>
  <c r="H272" i="30"/>
  <c r="F272" i="30"/>
  <c r="D272" i="30"/>
  <c r="B270" i="30"/>
  <c r="N250" i="30"/>
  <c r="L250" i="30"/>
  <c r="J250" i="30"/>
  <c r="H250" i="30"/>
  <c r="F250" i="30"/>
  <c r="D250" i="30"/>
  <c r="B248" i="30"/>
  <c r="J228" i="30"/>
  <c r="H228" i="30"/>
  <c r="F228" i="30"/>
  <c r="D228" i="30"/>
  <c r="L228" i="30"/>
  <c r="B226" i="30"/>
  <c r="H206" i="30"/>
  <c r="F206" i="30"/>
  <c r="D206" i="30"/>
  <c r="J206" i="30"/>
  <c r="B204" i="30"/>
  <c r="L184" i="30"/>
  <c r="J184" i="30"/>
  <c r="H184" i="30"/>
  <c r="D184" i="30"/>
  <c r="B182" i="30"/>
  <c r="L162" i="30"/>
  <c r="H162" i="30"/>
  <c r="F162" i="30"/>
  <c r="D162" i="30"/>
  <c r="B160" i="30"/>
  <c r="D140" i="30"/>
  <c r="N140" i="30"/>
  <c r="L140" i="30"/>
  <c r="F140" i="30"/>
  <c r="B138" i="30"/>
  <c r="N118" i="30"/>
  <c r="L118" i="30"/>
  <c r="H118" i="30"/>
  <c r="F118" i="30"/>
  <c r="B116" i="30"/>
  <c r="L96" i="30"/>
  <c r="J96" i="30"/>
  <c r="H96" i="30"/>
  <c r="D96" i="30"/>
  <c r="F96" i="30"/>
  <c r="N74" i="30"/>
  <c r="L74" i="30"/>
  <c r="J74" i="30"/>
  <c r="H74" i="30"/>
  <c r="F74" i="30"/>
  <c r="D74" i="30"/>
  <c r="N52" i="30"/>
  <c r="L52" i="30"/>
  <c r="J52" i="30"/>
  <c r="H52" i="30"/>
  <c r="F52" i="30"/>
  <c r="D52" i="30"/>
  <c r="H30" i="30"/>
  <c r="F30" i="30"/>
  <c r="D30" i="30"/>
  <c r="J30" i="30"/>
  <c r="L8" i="30"/>
  <c r="F8" i="30"/>
  <c r="D8" i="30"/>
  <c r="K6" i="28"/>
  <c r="B4" i="28"/>
  <c r="B3" i="27"/>
  <c r="B4" i="26"/>
  <c r="B4" i="22"/>
  <c r="R8" i="21"/>
  <c r="I8" i="21"/>
  <c r="B5" i="21"/>
  <c r="R7" i="19"/>
  <c r="N7" i="19"/>
  <c r="F7" i="19"/>
  <c r="E7" i="19"/>
  <c r="D7" i="19" s="1"/>
  <c r="B4" i="19"/>
  <c r="B3" i="18"/>
  <c r="V7" i="17"/>
  <c r="K7" i="17"/>
  <c r="B4" i="17"/>
  <c r="W7" i="16"/>
  <c r="B4" i="16"/>
  <c r="M7" i="15"/>
  <c r="L7" i="15"/>
  <c r="K7" i="15"/>
  <c r="J7" i="15"/>
  <c r="I7" i="15"/>
  <c r="B4" i="15"/>
  <c r="J9" i="14"/>
  <c r="I9" i="14"/>
  <c r="B6" i="14"/>
  <c r="W6" i="13"/>
  <c r="V6" i="13"/>
  <c r="K6" i="13"/>
  <c r="B3" i="13"/>
  <c r="V5" i="12"/>
  <c r="J5" i="12"/>
  <c r="I5" i="12"/>
  <c r="N74" i="10"/>
  <c r="K73" i="10"/>
  <c r="K51" i="10"/>
  <c r="L52" i="10" s="1"/>
  <c r="K29" i="10"/>
  <c r="N8" i="10"/>
  <c r="L8" i="10"/>
  <c r="K7" i="10"/>
  <c r="I7" i="10"/>
  <c r="G7" i="10"/>
  <c r="E7" i="10"/>
  <c r="C7" i="10"/>
  <c r="S6" i="6"/>
  <c r="K6" i="6"/>
  <c r="B3" i="6"/>
  <c r="W6" i="5"/>
  <c r="V6" i="5"/>
  <c r="U6" i="5"/>
  <c r="T6" i="5"/>
  <c r="L6" i="5"/>
  <c r="B3" i="5"/>
  <c r="L79" i="3"/>
  <c r="L58" i="2"/>
  <c r="J58" i="2"/>
  <c r="K58" i="2"/>
  <c r="B39" i="1"/>
  <c r="B38" i="1"/>
  <c r="B37" i="1"/>
  <c r="M2" i="1"/>
  <c r="H238" i="30"/>
  <c r="N211" i="30"/>
  <c r="H209" i="30"/>
  <c r="H192" i="30"/>
  <c r="N189" i="30"/>
  <c r="L185" i="30"/>
  <c r="H152" i="30"/>
  <c r="F150" i="30"/>
  <c r="F146" i="30"/>
  <c r="H144" i="30"/>
  <c r="H108" i="30"/>
  <c r="F106" i="30"/>
  <c r="F102" i="30"/>
  <c r="H100" i="30"/>
  <c r="L98" i="30"/>
  <c r="L87" i="30"/>
  <c r="H84" i="30"/>
  <c r="J79" i="30"/>
  <c r="L76" i="30"/>
  <c r="H75" i="30"/>
  <c r="H42" i="30"/>
  <c r="L40" i="30"/>
  <c r="F39" i="30"/>
  <c r="J37" i="30"/>
  <c r="F36" i="30"/>
  <c r="N34" i="30"/>
  <c r="J33" i="30"/>
  <c r="F32" i="30"/>
  <c r="H85" i="31"/>
  <c r="N13" i="31"/>
  <c r="L217" i="30"/>
  <c r="J214" i="30"/>
  <c r="H197" i="30"/>
  <c r="J194" i="30"/>
  <c r="J187" i="30"/>
  <c r="F152" i="30"/>
  <c r="F144" i="30"/>
  <c r="J142" i="30"/>
  <c r="F100" i="30"/>
  <c r="J98" i="30"/>
  <c r="N80" i="30"/>
  <c r="J64" i="30"/>
  <c r="H61" i="30"/>
  <c r="L59" i="30"/>
  <c r="H58" i="30"/>
  <c r="L55" i="30"/>
  <c r="H54" i="30"/>
  <c r="J21" i="30"/>
  <c r="H18" i="30"/>
  <c r="L16" i="30"/>
  <c r="F15" i="30"/>
  <c r="N13" i="30"/>
  <c r="J12" i="30"/>
  <c r="F11" i="30"/>
  <c r="J54" i="31"/>
  <c r="L36" i="31"/>
  <c r="N11" i="31"/>
  <c r="H260" i="30"/>
  <c r="J241" i="30"/>
  <c r="L233" i="30"/>
  <c r="J211" i="30"/>
  <c r="F194" i="30"/>
  <c r="J189" i="30"/>
  <c r="F187" i="30"/>
  <c r="H185" i="30"/>
  <c r="L151" i="30"/>
  <c r="J147" i="30"/>
  <c r="L145" i="30"/>
  <c r="F142" i="30"/>
  <c r="L130" i="30"/>
  <c r="L128" i="30"/>
  <c r="J124" i="30"/>
  <c r="N122" i="30"/>
  <c r="F119" i="30"/>
  <c r="L107" i="30"/>
  <c r="J105" i="30"/>
  <c r="J103" i="30"/>
  <c r="L101" i="30"/>
  <c r="N99" i="30"/>
  <c r="J85" i="30"/>
  <c r="F82" i="30"/>
  <c r="F79" i="30"/>
  <c r="H76" i="30"/>
  <c r="J43" i="30"/>
  <c r="H40" i="30"/>
  <c r="L38" i="30"/>
  <c r="F37" i="30"/>
  <c r="N35" i="30"/>
  <c r="N12" i="33"/>
  <c r="N254" i="30"/>
  <c r="N229" i="30"/>
  <c r="L216" i="30"/>
  <c r="J213" i="30"/>
  <c r="H191" i="30"/>
  <c r="L153" i="30"/>
  <c r="J151" i="30"/>
  <c r="J149" i="30"/>
  <c r="H147" i="30"/>
  <c r="J145" i="30"/>
  <c r="N143" i="30"/>
  <c r="J107" i="30"/>
  <c r="J101" i="30"/>
  <c r="F98" i="30"/>
  <c r="F87" i="30"/>
  <c r="L83" i="30"/>
  <c r="J80" i="30"/>
  <c r="L77" i="30"/>
  <c r="L65" i="30"/>
  <c r="F64" i="30"/>
  <c r="J62" i="30"/>
  <c r="H59" i="30"/>
  <c r="L56" i="30"/>
  <c r="H55" i="30"/>
  <c r="F21" i="30"/>
  <c r="J19" i="30"/>
  <c r="H16" i="30"/>
  <c r="N14" i="30"/>
  <c r="J13" i="30"/>
  <c r="F12" i="30"/>
  <c r="N10" i="30"/>
  <c r="J9" i="30"/>
  <c r="F238" i="30"/>
  <c r="H122" i="30"/>
  <c r="N77" i="30"/>
  <c r="F61" i="30"/>
  <c r="J55" i="30"/>
  <c r="H81" i="30"/>
  <c r="F18" i="30"/>
  <c r="L13" i="30"/>
  <c r="H84" i="31"/>
  <c r="F20" i="31"/>
  <c r="F213" i="30"/>
  <c r="L189" i="30"/>
  <c r="L149" i="30"/>
  <c r="H142" i="30"/>
  <c r="F121" i="30"/>
  <c r="N101" i="30"/>
  <c r="H33" i="30"/>
  <c r="N9" i="30"/>
  <c r="H82" i="31"/>
  <c r="L236" i="30"/>
  <c r="L211" i="30"/>
  <c r="N141" i="30"/>
  <c r="L109" i="30"/>
  <c r="J83" i="30"/>
  <c r="J77" i="30"/>
  <c r="L60" i="30"/>
  <c r="F55" i="30"/>
  <c r="J38" i="30"/>
  <c r="J285" i="30"/>
  <c r="H189" i="30"/>
  <c r="H149" i="30"/>
  <c r="H128" i="30"/>
  <c r="L120" i="30"/>
  <c r="J109" i="30"/>
  <c r="H101" i="30"/>
  <c r="H82" i="30"/>
  <c r="J76" i="30"/>
  <c r="F33" i="30"/>
  <c r="L17" i="30"/>
  <c r="H13" i="30"/>
  <c r="L9" i="30"/>
  <c r="H10" i="31"/>
  <c r="H285" i="30"/>
  <c r="N233" i="30"/>
  <c r="N210" i="30"/>
  <c r="N188" i="30"/>
  <c r="F128" i="30"/>
  <c r="F108" i="30"/>
  <c r="J59" i="30"/>
  <c r="F54" i="30"/>
  <c r="L43" i="30"/>
  <c r="H37" i="30"/>
  <c r="L12" i="30"/>
  <c r="F10" i="31"/>
  <c r="H278" i="30"/>
  <c r="L210" i="30"/>
  <c r="L147" i="30"/>
  <c r="L126" i="30"/>
  <c r="H119" i="30"/>
  <c r="F76" i="30"/>
  <c r="J16" i="30"/>
  <c r="F278" i="30"/>
  <c r="L232" i="30"/>
  <c r="F209" i="30"/>
  <c r="F197" i="30"/>
  <c r="H187" i="30"/>
  <c r="F147" i="30"/>
  <c r="J126" i="30"/>
  <c r="L99" i="30"/>
  <c r="J65" i="30"/>
  <c r="F59" i="30"/>
  <c r="N53" i="30"/>
  <c r="H43" i="30"/>
  <c r="H21" i="30"/>
  <c r="H12" i="30"/>
  <c r="H9" i="30"/>
  <c r="N36" i="31"/>
  <c r="F259" i="30"/>
  <c r="F126" i="30"/>
  <c r="H107" i="30"/>
  <c r="J87" i="30"/>
  <c r="F75" i="30"/>
  <c r="F35" i="31"/>
  <c r="L276" i="30"/>
  <c r="N208" i="30"/>
  <c r="F196" i="30"/>
  <c r="N145" i="30"/>
  <c r="L80" i="30"/>
  <c r="H64" i="30"/>
  <c r="F58" i="30"/>
  <c r="F42" i="30"/>
  <c r="N31" i="30"/>
  <c r="F16" i="30"/>
  <c r="J219" i="30"/>
  <c r="H194" i="30"/>
  <c r="J185" i="30"/>
  <c r="J166" i="30"/>
  <c r="L124" i="30"/>
  <c r="L105" i="30"/>
  <c r="H98" i="30"/>
  <c r="L31" i="30"/>
  <c r="N255" i="30"/>
  <c r="J153" i="30"/>
  <c r="H105" i="30"/>
  <c r="H80" i="30"/>
  <c r="N57" i="30"/>
  <c r="L41" i="30"/>
  <c r="L35" i="30"/>
  <c r="H11" i="30"/>
  <c r="L241" i="30"/>
  <c r="L103" i="30"/>
  <c r="L62" i="30"/>
  <c r="N56" i="30"/>
  <c r="J40" i="30"/>
  <c r="L34" i="30"/>
  <c r="F56" i="31"/>
  <c r="F87" i="31"/>
  <c r="N251" i="30"/>
  <c r="J128" i="30"/>
  <c r="H34" i="30"/>
  <c r="L14" i="30"/>
  <c r="L172" i="30"/>
  <c r="N78" i="30"/>
  <c r="J217" i="30"/>
  <c r="F192" i="30"/>
  <c r="F171" i="30"/>
  <c r="H85" i="30"/>
  <c r="L84" i="30"/>
  <c r="H241" i="30"/>
  <c r="H216" i="30"/>
  <c r="J191" i="30"/>
  <c r="H151" i="30"/>
  <c r="J130" i="30"/>
  <c r="H103" i="30"/>
  <c r="J86" i="30"/>
  <c r="E62" i="27"/>
  <c r="F191" i="30"/>
  <c r="F165" i="30"/>
  <c r="H145" i="30"/>
  <c r="H124" i="30"/>
  <c r="F103" i="30"/>
  <c r="L229" i="30"/>
  <c r="H214" i="30"/>
  <c r="H79" i="30"/>
  <c r="H62" i="30"/>
  <c r="L10" i="30"/>
  <c r="D104" i="27"/>
  <c r="J163" i="30"/>
  <c r="L143" i="30"/>
  <c r="J122" i="30"/>
  <c r="J56" i="30"/>
  <c r="E90" i="27"/>
  <c r="C90" i="27"/>
  <c r="H19" i="30"/>
  <c r="E62" i="28"/>
  <c r="C62" i="27"/>
  <c r="F40" i="30"/>
  <c r="E34" i="27"/>
  <c r="J34" i="30"/>
  <c r="D34" i="27"/>
  <c r="G62" i="28"/>
  <c r="E20" i="27"/>
  <c r="D20" i="27"/>
  <c r="E90" i="28"/>
  <c r="E132" i="27"/>
  <c r="F175" i="30"/>
  <c r="E48" i="27"/>
  <c r="E76" i="27"/>
  <c r="D48" i="27"/>
  <c r="C48" i="27"/>
  <c r="E20" i="26"/>
  <c r="E34" i="26"/>
  <c r="G90" i="27"/>
  <c r="D90" i="27"/>
  <c r="E146" i="26"/>
  <c r="L19" i="30"/>
  <c r="F118" i="27"/>
  <c r="D104" i="26"/>
  <c r="G20" i="26"/>
  <c r="E76" i="26"/>
  <c r="G118" i="26"/>
  <c r="F35" i="22"/>
  <c r="C35" i="22"/>
  <c r="G105" i="22"/>
  <c r="E92" i="21"/>
  <c r="F105" i="22"/>
  <c r="H91" i="22"/>
  <c r="E148" i="21"/>
  <c r="E134" i="21"/>
  <c r="F50" i="21"/>
  <c r="D78" i="21"/>
  <c r="E50" i="21"/>
  <c r="E36" i="21"/>
  <c r="F92" i="21"/>
  <c r="D50" i="21"/>
  <c r="C50" i="21"/>
  <c r="N21" i="19"/>
  <c r="N9" i="19"/>
  <c r="D147" i="19"/>
  <c r="N51" i="19"/>
  <c r="U8" i="18"/>
  <c r="E8" i="18"/>
  <c r="F9" i="19"/>
  <c r="E9" i="19"/>
  <c r="M20" i="18"/>
  <c r="E90" i="18"/>
  <c r="E48" i="18"/>
  <c r="K134" i="18"/>
  <c r="L118" i="18"/>
  <c r="K118" i="18"/>
  <c r="V8" i="18"/>
  <c r="C132" i="18"/>
  <c r="K36" i="18"/>
  <c r="F63" i="17"/>
  <c r="F37" i="17"/>
  <c r="F21" i="17"/>
  <c r="K62" i="18"/>
  <c r="F8" i="18"/>
  <c r="E21" i="17"/>
  <c r="M92" i="18"/>
  <c r="D21" i="17"/>
  <c r="U64" i="18"/>
  <c r="V22" i="18"/>
  <c r="L20" i="18"/>
  <c r="U22" i="18"/>
  <c r="K20" i="18"/>
  <c r="G23" i="17"/>
  <c r="Q21" i="17"/>
  <c r="G49" i="16"/>
  <c r="Q9" i="17"/>
  <c r="G21" i="16"/>
  <c r="G9" i="17"/>
  <c r="F21" i="16"/>
  <c r="V48" i="18"/>
  <c r="F49" i="17"/>
  <c r="F9" i="17"/>
  <c r="E93" i="17"/>
  <c r="C121" i="16"/>
  <c r="C105" i="16"/>
  <c r="E63" i="16"/>
  <c r="E21" i="16"/>
  <c r="D147" i="15"/>
  <c r="U48" i="18"/>
  <c r="E49" i="17"/>
  <c r="D93" i="17"/>
  <c r="U90" i="18"/>
  <c r="F23" i="17"/>
  <c r="C63" i="16"/>
  <c r="C21" i="16"/>
  <c r="T90" i="18"/>
  <c r="E23" i="17"/>
  <c r="G23" i="16"/>
  <c r="G91" i="17"/>
  <c r="G91" i="16"/>
  <c r="G65" i="16"/>
  <c r="F23" i="16"/>
  <c r="G9" i="16"/>
  <c r="N92" i="18"/>
  <c r="F91" i="17"/>
  <c r="C35" i="16"/>
  <c r="F9" i="16"/>
  <c r="F22" i="18"/>
  <c r="G65" i="17"/>
  <c r="G37" i="16"/>
  <c r="E9" i="16"/>
  <c r="F35" i="15"/>
  <c r="E64" i="18"/>
  <c r="E149" i="14"/>
  <c r="D135" i="14"/>
  <c r="D107" i="14"/>
  <c r="D79" i="14"/>
  <c r="D51" i="14"/>
  <c r="E22" i="18"/>
  <c r="D149" i="14"/>
  <c r="D9" i="16"/>
  <c r="E79" i="16"/>
  <c r="C9" i="16"/>
  <c r="D161" i="16"/>
  <c r="F49" i="15"/>
  <c r="E49" i="15"/>
  <c r="S21" i="17"/>
  <c r="G121" i="14"/>
  <c r="G93" i="14"/>
  <c r="G65" i="14"/>
  <c r="F37" i="16"/>
  <c r="G21" i="15"/>
  <c r="F121" i="14"/>
  <c r="F93" i="14"/>
  <c r="F65" i="14"/>
  <c r="D77" i="16"/>
  <c r="E37" i="16"/>
  <c r="F21" i="15"/>
  <c r="E121" i="14"/>
  <c r="E93" i="14"/>
  <c r="E21" i="15"/>
  <c r="G163" i="14"/>
  <c r="D121" i="14"/>
  <c r="D93" i="14"/>
  <c r="D21" i="15"/>
  <c r="F163" i="14"/>
  <c r="Q21" i="16"/>
  <c r="R21" i="16"/>
  <c r="G35" i="15"/>
  <c r="E163" i="14"/>
  <c r="R21" i="17"/>
  <c r="P21" i="16"/>
  <c r="E35" i="15"/>
  <c r="D163" i="14"/>
  <c r="D35" i="15"/>
  <c r="F65" i="17"/>
  <c r="G77" i="15"/>
  <c r="G63" i="15"/>
  <c r="G135" i="14"/>
  <c r="G107" i="14"/>
  <c r="G79" i="14"/>
  <c r="E93" i="16"/>
  <c r="F63" i="15"/>
  <c r="D67" i="11"/>
  <c r="D59" i="11"/>
  <c r="D43" i="11"/>
  <c r="D35" i="11"/>
  <c r="D19" i="11"/>
  <c r="D11" i="11"/>
  <c r="K21" i="9"/>
  <c r="D107" i="11"/>
  <c r="D83" i="11"/>
  <c r="D66" i="11"/>
  <c r="D58" i="11"/>
  <c r="D42" i="11"/>
  <c r="D34" i="11"/>
  <c r="D18" i="11"/>
  <c r="D10" i="11"/>
  <c r="I21" i="9"/>
  <c r="G37" i="14"/>
  <c r="D106" i="11"/>
  <c r="D90" i="11"/>
  <c r="D82" i="11"/>
  <c r="F37" i="14"/>
  <c r="E55" i="12"/>
  <c r="D65" i="11"/>
  <c r="D57" i="11"/>
  <c r="D41" i="11"/>
  <c r="D33" i="11"/>
  <c r="D17" i="11"/>
  <c r="D9" i="11"/>
  <c r="C93" i="16"/>
  <c r="E37" i="14"/>
  <c r="F107" i="14"/>
  <c r="D37" i="14"/>
  <c r="G90" i="13"/>
  <c r="G62" i="13"/>
  <c r="F135" i="14"/>
  <c r="E107" i="14"/>
  <c r="Q23" i="14"/>
  <c r="F90" i="13"/>
  <c r="F62" i="13"/>
  <c r="E135" i="14"/>
  <c r="P23" i="14"/>
  <c r="G20" i="13"/>
  <c r="E54" i="12"/>
  <c r="G51" i="14"/>
  <c r="O23" i="14"/>
  <c r="F20" i="13"/>
  <c r="F51" i="14"/>
  <c r="C54" i="12"/>
  <c r="G53" i="12"/>
  <c r="G149" i="14"/>
  <c r="E51" i="14"/>
  <c r="G23" i="14"/>
  <c r="A13" i="12"/>
  <c r="C133" i="15"/>
  <c r="F149" i="14"/>
  <c r="E65" i="14"/>
  <c r="F23" i="14"/>
  <c r="F79" i="14"/>
  <c r="D23" i="14"/>
  <c r="C53" i="12"/>
  <c r="C57" i="12" s="1"/>
  <c r="D60" i="11"/>
  <c r="D44" i="11"/>
  <c r="D36" i="11"/>
  <c r="D20" i="11"/>
  <c r="D12" i="11"/>
  <c r="D113" i="11"/>
  <c r="D56" i="11"/>
  <c r="D37" i="11"/>
  <c r="D15" i="11"/>
  <c r="L12" i="10"/>
  <c r="L10" i="10"/>
  <c r="K20" i="9"/>
  <c r="I18" i="9"/>
  <c r="G16" i="9"/>
  <c r="E14" i="9"/>
  <c r="Q10" i="9"/>
  <c r="E48" i="13"/>
  <c r="U9" i="12"/>
  <c r="U7" i="12"/>
  <c r="D89" i="11"/>
  <c r="D78" i="11"/>
  <c r="M21" i="9"/>
  <c r="I19" i="9"/>
  <c r="G17" i="9"/>
  <c r="E15" i="9"/>
  <c r="Q11" i="9"/>
  <c r="O9" i="9"/>
  <c r="D112" i="11"/>
  <c r="D55" i="11"/>
  <c r="D14" i="11"/>
  <c r="N77" i="10"/>
  <c r="I20" i="9"/>
  <c r="G18" i="9"/>
  <c r="E16" i="9"/>
  <c r="Q12" i="9"/>
  <c r="O10" i="9"/>
  <c r="A14" i="12"/>
  <c r="D111" i="11"/>
  <c r="D88" i="11"/>
  <c r="D77" i="11"/>
  <c r="G19" i="9"/>
  <c r="E17" i="9"/>
  <c r="Q13" i="9"/>
  <c r="O11" i="9"/>
  <c r="M9" i="9"/>
  <c r="G54" i="12"/>
  <c r="D110" i="11"/>
  <c r="D54" i="11"/>
  <c r="D32" i="11"/>
  <c r="D13" i="11"/>
  <c r="L17" i="10"/>
  <c r="L15" i="10"/>
  <c r="G20" i="9"/>
  <c r="E18" i="9"/>
  <c r="Q14" i="9"/>
  <c r="O12" i="9"/>
  <c r="M10" i="9"/>
  <c r="E23" i="14"/>
  <c r="S20" i="13"/>
  <c r="R20" i="13"/>
  <c r="D87" i="11"/>
  <c r="N79" i="10"/>
  <c r="N13" i="10"/>
  <c r="G21" i="9"/>
  <c r="E19" i="9"/>
  <c r="Q15" i="9"/>
  <c r="O13" i="9"/>
  <c r="M11" i="9"/>
  <c r="K9" i="9"/>
  <c r="C23" i="14"/>
  <c r="Q20" i="13"/>
  <c r="A11" i="12"/>
  <c r="D54" i="12"/>
  <c r="D109" i="11"/>
  <c r="D64" i="11"/>
  <c r="D31" i="11"/>
  <c r="N11" i="10"/>
  <c r="L16" i="10"/>
  <c r="E20" i="9"/>
  <c r="Q16" i="9"/>
  <c r="O14" i="9"/>
  <c r="M12" i="9"/>
  <c r="K10" i="9"/>
  <c r="D108" i="11"/>
  <c r="D86" i="11"/>
  <c r="E21" i="9"/>
  <c r="Q17" i="9"/>
  <c r="O15" i="9"/>
  <c r="M13" i="9"/>
  <c r="K11" i="9"/>
  <c r="I9" i="9"/>
  <c r="E79" i="14"/>
  <c r="D105" i="11"/>
  <c r="D63" i="11"/>
  <c r="D8" i="11"/>
  <c r="L21" i="10"/>
  <c r="L11" i="10"/>
  <c r="Q18" i="9"/>
  <c r="O16" i="9"/>
  <c r="M14" i="9"/>
  <c r="K12" i="9"/>
  <c r="I10" i="9"/>
  <c r="D85" i="11"/>
  <c r="N32" i="10"/>
  <c r="Q19" i="9"/>
  <c r="O17" i="9"/>
  <c r="M15" i="9"/>
  <c r="K13" i="9"/>
  <c r="I11" i="9"/>
  <c r="G9" i="9"/>
  <c r="U8" i="12"/>
  <c r="D104" i="11"/>
  <c r="D84" i="11"/>
  <c r="D62" i="11"/>
  <c r="D40" i="11"/>
  <c r="D21" i="11"/>
  <c r="N58" i="10"/>
  <c r="N14" i="10"/>
  <c r="F13" i="10"/>
  <c r="J11" i="10"/>
  <c r="J9" i="10"/>
  <c r="Q20" i="9"/>
  <c r="O18" i="9"/>
  <c r="M16" i="9"/>
  <c r="K14" i="9"/>
  <c r="I12" i="9"/>
  <c r="G10" i="9"/>
  <c r="D65" i="14"/>
  <c r="G146" i="13"/>
  <c r="E76" i="13"/>
  <c r="A12" i="12"/>
  <c r="D103" i="11"/>
  <c r="D81" i="11"/>
  <c r="O19" i="9"/>
  <c r="M17" i="9"/>
  <c r="K15" i="9"/>
  <c r="I13" i="9"/>
  <c r="G11" i="9"/>
  <c r="E9" i="9"/>
  <c r="F160" i="13"/>
  <c r="D102" i="11"/>
  <c r="D61" i="11"/>
  <c r="D39" i="11"/>
  <c r="N78" i="10"/>
  <c r="L14" i="10"/>
  <c r="O20" i="9"/>
  <c r="M18" i="9"/>
  <c r="K16" i="9"/>
  <c r="I14" i="9"/>
  <c r="G12" i="9"/>
  <c r="E10" i="9"/>
  <c r="E160" i="13"/>
  <c r="D55" i="12"/>
  <c r="E56" i="12"/>
  <c r="D80" i="11"/>
  <c r="N35" i="10"/>
  <c r="M19" i="9"/>
  <c r="K17" i="9"/>
  <c r="I15" i="9"/>
  <c r="G13" i="9"/>
  <c r="E11" i="9"/>
  <c r="D160" i="13"/>
  <c r="U12" i="12"/>
  <c r="C55" i="12"/>
  <c r="E53" i="12"/>
  <c r="D101" i="11"/>
  <c r="D38" i="11"/>
  <c r="D16" i="11"/>
  <c r="N80" i="10"/>
  <c r="L20" i="10"/>
  <c r="L18" i="10"/>
  <c r="J14" i="10"/>
  <c r="N12" i="10"/>
  <c r="N10" i="10"/>
  <c r="F9" i="10"/>
  <c r="M20" i="9"/>
  <c r="K18" i="9"/>
  <c r="I16" i="9"/>
  <c r="G14" i="9"/>
  <c r="E12" i="9"/>
  <c r="C160" i="13"/>
  <c r="D53" i="12"/>
  <c r="D57" i="12" s="1"/>
  <c r="D100" i="11"/>
  <c r="D79" i="11"/>
  <c r="N76" i="10"/>
  <c r="O21" i="9"/>
  <c r="K19" i="9"/>
  <c r="I17" i="9"/>
  <c r="G15" i="9"/>
  <c r="E13" i="9"/>
  <c r="Q9" i="9"/>
  <c r="F21" i="10"/>
  <c r="H17" i="2"/>
  <c r="H11" i="10"/>
  <c r="K73" i="51" l="1"/>
  <c r="K51" i="51"/>
  <c r="N8" i="51"/>
  <c r="I7" i="51"/>
  <c r="I161" i="51" s="1"/>
  <c r="K29" i="51"/>
  <c r="K253" i="51"/>
  <c r="K227" i="51"/>
  <c r="I253" i="51"/>
  <c r="I7" i="52"/>
  <c r="K51" i="52"/>
  <c r="N52" i="52" s="1"/>
  <c r="L8" i="51"/>
  <c r="K117" i="51"/>
  <c r="I139" i="51"/>
  <c r="K139" i="51"/>
  <c r="K161" i="51"/>
  <c r="I183" i="51"/>
  <c r="K29" i="52"/>
  <c r="N30" i="52" s="1"/>
  <c r="K183" i="51"/>
  <c r="I205" i="51"/>
  <c r="L8" i="52"/>
  <c r="I7" i="50"/>
  <c r="I7" i="49"/>
  <c r="K29" i="49"/>
  <c r="L30" i="49" s="1"/>
  <c r="L8" i="49"/>
  <c r="K249" i="49"/>
  <c r="L250" i="49" s="1"/>
  <c r="I73" i="49"/>
  <c r="J74" i="49" s="1"/>
  <c r="G7" i="49"/>
  <c r="K73" i="49"/>
  <c r="L74" i="49" s="1"/>
  <c r="I139" i="49"/>
  <c r="J140" i="49" s="1"/>
  <c r="I227" i="49"/>
  <c r="J228" i="49" s="1"/>
  <c r="K51" i="49"/>
  <c r="L52" i="49" s="1"/>
  <c r="K117" i="49"/>
  <c r="L118" i="49" s="1"/>
  <c r="K205" i="49"/>
  <c r="L206" i="49" s="1"/>
  <c r="I117" i="49"/>
  <c r="J118" i="49" s="1"/>
  <c r="I95" i="49"/>
  <c r="J96" i="49" s="1"/>
  <c r="I183" i="49"/>
  <c r="J184" i="49" s="1"/>
  <c r="I271" i="49"/>
  <c r="J272" i="49" s="1"/>
  <c r="I51" i="49"/>
  <c r="J52" i="49" s="1"/>
  <c r="I205" i="49"/>
  <c r="J206" i="49" s="1"/>
  <c r="K95" i="49"/>
  <c r="L96" i="49" s="1"/>
  <c r="K183" i="49"/>
  <c r="L184" i="49" s="1"/>
  <c r="E57" i="12"/>
  <c r="G57" i="12"/>
  <c r="F256" i="30"/>
  <c r="L279" i="30"/>
  <c r="J87" i="31"/>
  <c r="N57" i="31"/>
  <c r="H15" i="30"/>
  <c r="J18" i="30"/>
  <c r="F20" i="30"/>
  <c r="L21" i="30"/>
  <c r="F53" i="30"/>
  <c r="J54" i="30"/>
  <c r="N55" i="30"/>
  <c r="F57" i="30"/>
  <c r="J58" i="30"/>
  <c r="J61" i="30"/>
  <c r="F63" i="30"/>
  <c r="L64" i="30"/>
  <c r="F78" i="30"/>
  <c r="L82" i="30"/>
  <c r="F86" i="30"/>
  <c r="J100" i="30"/>
  <c r="F104" i="30"/>
  <c r="H106" i="30"/>
  <c r="L119" i="30"/>
  <c r="H131" i="30"/>
  <c r="L142" i="30"/>
  <c r="H146" i="30"/>
  <c r="F148" i="30"/>
  <c r="J152" i="30"/>
  <c r="L194" i="30"/>
  <c r="J197" i="30"/>
  <c r="J207" i="30"/>
  <c r="J209" i="30"/>
  <c r="L214" i="30"/>
  <c r="F252" i="30"/>
  <c r="N75" i="31"/>
  <c r="H69" i="2"/>
  <c r="M10" i="5"/>
  <c r="L10" i="5"/>
  <c r="K10" i="5"/>
  <c r="J10" i="5"/>
  <c r="I10" i="5"/>
  <c r="I195" i="3"/>
  <c r="L184" i="3"/>
  <c r="J184" i="3"/>
  <c r="K184" i="3"/>
  <c r="E123" i="3"/>
  <c r="J144" i="3"/>
  <c r="L144" i="3"/>
  <c r="K144" i="3"/>
  <c r="J15" i="2"/>
  <c r="L15" i="2"/>
  <c r="K15" i="2"/>
  <c r="I18" i="2"/>
  <c r="L50" i="2"/>
  <c r="K50" i="2"/>
  <c r="J50" i="2"/>
  <c r="K50" i="3"/>
  <c r="J50" i="3"/>
  <c r="E190" i="3"/>
  <c r="E43" i="2"/>
  <c r="F43" i="2"/>
  <c r="K41" i="3"/>
  <c r="J41" i="3"/>
  <c r="F113" i="3"/>
  <c r="F115" i="3"/>
  <c r="F117" i="3"/>
  <c r="F119" i="3"/>
  <c r="F121" i="3"/>
  <c r="F123" i="3"/>
  <c r="L153" i="3"/>
  <c r="K153" i="3"/>
  <c r="J153" i="3"/>
  <c r="L157" i="3"/>
  <c r="K157" i="3"/>
  <c r="J157" i="3"/>
  <c r="L161" i="3"/>
  <c r="K161" i="3"/>
  <c r="J161" i="3"/>
  <c r="L165" i="3"/>
  <c r="K165" i="3"/>
  <c r="J165" i="3"/>
  <c r="L169" i="3"/>
  <c r="K169" i="3"/>
  <c r="J169" i="3"/>
  <c r="L173" i="3"/>
  <c r="K173" i="3"/>
  <c r="J173" i="3"/>
  <c r="I188" i="3"/>
  <c r="L177" i="3"/>
  <c r="K177" i="3"/>
  <c r="J177" i="3"/>
  <c r="L181" i="3"/>
  <c r="I192" i="3"/>
  <c r="K181" i="3"/>
  <c r="J181" i="3"/>
  <c r="L215" i="3"/>
  <c r="J215" i="3"/>
  <c r="K215" i="3"/>
  <c r="M21" i="5"/>
  <c r="K21" i="5"/>
  <c r="I21" i="5"/>
  <c r="L21" i="5"/>
  <c r="J21" i="5"/>
  <c r="M41" i="5"/>
  <c r="L41" i="5"/>
  <c r="K41" i="5"/>
  <c r="J41" i="5"/>
  <c r="I41" i="5"/>
  <c r="M47" i="5"/>
  <c r="L47" i="5"/>
  <c r="K47" i="5"/>
  <c r="J47" i="5"/>
  <c r="I47" i="5"/>
  <c r="K22" i="6"/>
  <c r="J22" i="6"/>
  <c r="I22" i="6"/>
  <c r="J73" i="2"/>
  <c r="L73" i="2"/>
  <c r="K73" i="2"/>
  <c r="J17" i="3"/>
  <c r="L17" i="3"/>
  <c r="K17" i="3"/>
  <c r="K31" i="3"/>
  <c r="J31" i="3"/>
  <c r="L31" i="3"/>
  <c r="K37" i="3"/>
  <c r="J37" i="3"/>
  <c r="L37" i="3"/>
  <c r="G113" i="3"/>
  <c r="G115" i="3"/>
  <c r="G117" i="3"/>
  <c r="G119" i="3"/>
  <c r="G121" i="3"/>
  <c r="G123" i="3"/>
  <c r="E189" i="3"/>
  <c r="E193" i="3"/>
  <c r="L209" i="3"/>
  <c r="J209" i="3"/>
  <c r="K209" i="3"/>
  <c r="M25" i="5"/>
  <c r="L25" i="5"/>
  <c r="K25" i="5"/>
  <c r="J25" i="5"/>
  <c r="I25" i="5"/>
  <c r="S15" i="6"/>
  <c r="R15" i="6"/>
  <c r="Q15" i="6"/>
  <c r="J15" i="3"/>
  <c r="L15" i="3"/>
  <c r="K15" i="3"/>
  <c r="H113" i="3"/>
  <c r="H123" i="3"/>
  <c r="J166" i="3"/>
  <c r="L166" i="3"/>
  <c r="K166" i="3"/>
  <c r="L182" i="3"/>
  <c r="I193" i="3"/>
  <c r="J182" i="3"/>
  <c r="K182" i="3"/>
  <c r="W29" i="5"/>
  <c r="V29" i="5"/>
  <c r="U29" i="5"/>
  <c r="S29" i="5"/>
  <c r="T29" i="5"/>
  <c r="S30" i="6"/>
  <c r="R30" i="6"/>
  <c r="Q30" i="6"/>
  <c r="K38" i="6"/>
  <c r="J38" i="6"/>
  <c r="I38" i="6"/>
  <c r="K23" i="3"/>
  <c r="J23" i="3"/>
  <c r="L23" i="3"/>
  <c r="G68" i="2"/>
  <c r="K46" i="3"/>
  <c r="J46" i="3"/>
  <c r="L62" i="3"/>
  <c r="K62" i="3"/>
  <c r="J62" i="3"/>
  <c r="L64" i="3"/>
  <c r="K64" i="3"/>
  <c r="J64" i="3"/>
  <c r="L66" i="3"/>
  <c r="K66" i="3"/>
  <c r="J66" i="3"/>
  <c r="L68" i="3"/>
  <c r="K68" i="3"/>
  <c r="J68" i="3"/>
  <c r="L70" i="3"/>
  <c r="K70" i="3"/>
  <c r="J70" i="3"/>
  <c r="L72" i="3"/>
  <c r="K72" i="3"/>
  <c r="J72" i="3"/>
  <c r="L80" i="3"/>
  <c r="K80" i="3"/>
  <c r="J80" i="3"/>
  <c r="L82" i="3"/>
  <c r="K82" i="3"/>
  <c r="J82" i="3"/>
  <c r="L84" i="3"/>
  <c r="K84" i="3"/>
  <c r="J84" i="3"/>
  <c r="L86" i="3"/>
  <c r="K86" i="3"/>
  <c r="J86" i="3"/>
  <c r="L88" i="3"/>
  <c r="K88" i="3"/>
  <c r="J88" i="3"/>
  <c r="L90" i="3"/>
  <c r="K90" i="3"/>
  <c r="J90" i="3"/>
  <c r="L92" i="3"/>
  <c r="K92" i="3"/>
  <c r="J92" i="3"/>
  <c r="L94" i="3"/>
  <c r="K94" i="3"/>
  <c r="J94" i="3"/>
  <c r="L96" i="3"/>
  <c r="K96" i="3"/>
  <c r="J96" i="3"/>
  <c r="L98" i="3"/>
  <c r="K98" i="3"/>
  <c r="J98" i="3"/>
  <c r="L100" i="3"/>
  <c r="K100" i="3"/>
  <c r="J100" i="3"/>
  <c r="I113" i="3"/>
  <c r="L102" i="3"/>
  <c r="K102" i="3"/>
  <c r="J102" i="3"/>
  <c r="I115" i="3"/>
  <c r="L104" i="3"/>
  <c r="K104" i="3"/>
  <c r="J104" i="3"/>
  <c r="I117" i="3"/>
  <c r="L106" i="3"/>
  <c r="K106" i="3"/>
  <c r="J106" i="3"/>
  <c r="L108" i="3"/>
  <c r="I119" i="3"/>
  <c r="K108" i="3"/>
  <c r="J108" i="3"/>
  <c r="L110" i="3"/>
  <c r="K110" i="3"/>
  <c r="J110" i="3"/>
  <c r="I121" i="3"/>
  <c r="I123" i="3"/>
  <c r="L112" i="3"/>
  <c r="K112" i="3"/>
  <c r="J112" i="3"/>
  <c r="L137" i="3"/>
  <c r="K137" i="3"/>
  <c r="J137" i="3"/>
  <c r="W8" i="5"/>
  <c r="V8" i="5"/>
  <c r="U8" i="5"/>
  <c r="T8" i="5"/>
  <c r="S8" i="5"/>
  <c r="J24" i="2"/>
  <c r="K24" i="2"/>
  <c r="L24" i="2"/>
  <c r="J13" i="3"/>
  <c r="L13" i="3"/>
  <c r="K13" i="3"/>
  <c r="K33" i="3"/>
  <c r="J33" i="3"/>
  <c r="L33" i="3"/>
  <c r="L32" i="2"/>
  <c r="K32" i="2"/>
  <c r="J32" i="2"/>
  <c r="H119" i="3"/>
  <c r="J174" i="3"/>
  <c r="L174" i="3"/>
  <c r="K174" i="3"/>
  <c r="H68" i="2"/>
  <c r="S46" i="6"/>
  <c r="R46" i="6"/>
  <c r="Q46" i="6"/>
  <c r="L9" i="3"/>
  <c r="J9" i="3"/>
  <c r="K9" i="3"/>
  <c r="J25" i="3"/>
  <c r="L25" i="3"/>
  <c r="K25" i="3"/>
  <c r="I43" i="2"/>
  <c r="J40" i="2"/>
  <c r="L40" i="2"/>
  <c r="K40" i="2"/>
  <c r="K55" i="3"/>
  <c r="J55" i="3"/>
  <c r="K44" i="3"/>
  <c r="J44" i="3"/>
  <c r="K60" i="3"/>
  <c r="J60" i="3"/>
  <c r="L141" i="3"/>
  <c r="K141" i="3"/>
  <c r="J141" i="3"/>
  <c r="L145" i="3"/>
  <c r="K145" i="3"/>
  <c r="J145" i="3"/>
  <c r="E186" i="3"/>
  <c r="H194" i="3"/>
  <c r="L217" i="3"/>
  <c r="J217" i="3"/>
  <c r="K217" i="3"/>
  <c r="V38" i="5"/>
  <c r="T38" i="5"/>
  <c r="W38" i="5"/>
  <c r="U38" i="5"/>
  <c r="S38" i="5"/>
  <c r="M12" i="5"/>
  <c r="L12" i="5"/>
  <c r="K12" i="5"/>
  <c r="I12" i="5"/>
  <c r="J12" i="5"/>
  <c r="J51" i="6"/>
  <c r="K51" i="6"/>
  <c r="I51" i="6"/>
  <c r="G43" i="2"/>
  <c r="K57" i="3"/>
  <c r="J57" i="3"/>
  <c r="J170" i="3"/>
  <c r="L170" i="3"/>
  <c r="K170" i="3"/>
  <c r="J138" i="3"/>
  <c r="L138" i="3"/>
  <c r="K138" i="3"/>
  <c r="F186" i="3"/>
  <c r="F190" i="3"/>
  <c r="H43" i="2"/>
  <c r="J162" i="3"/>
  <c r="L162" i="3"/>
  <c r="K162" i="3"/>
  <c r="L59" i="2"/>
  <c r="K59" i="2"/>
  <c r="J59" i="2"/>
  <c r="J142" i="3"/>
  <c r="L142" i="3"/>
  <c r="K142" i="3"/>
  <c r="H186" i="3"/>
  <c r="H190" i="3"/>
  <c r="K75" i="2"/>
  <c r="J75" i="2"/>
  <c r="L75" i="2"/>
  <c r="J19" i="3"/>
  <c r="K19" i="3"/>
  <c r="L19" i="3"/>
  <c r="J29" i="3"/>
  <c r="K29" i="3"/>
  <c r="L29" i="3"/>
  <c r="L34" i="2"/>
  <c r="J34" i="2"/>
  <c r="K34" i="2"/>
  <c r="L38" i="2"/>
  <c r="K38" i="2"/>
  <c r="J38" i="2"/>
  <c r="J154" i="3"/>
  <c r="L154" i="3"/>
  <c r="K154" i="3"/>
  <c r="L61" i="2"/>
  <c r="K61" i="2"/>
  <c r="J61" i="2"/>
  <c r="K49" i="3"/>
  <c r="J49" i="3"/>
  <c r="G195" i="3"/>
  <c r="L155" i="3"/>
  <c r="K155" i="3"/>
  <c r="J155" i="3"/>
  <c r="L159" i="3"/>
  <c r="K159" i="3"/>
  <c r="J159" i="3"/>
  <c r="L163" i="3"/>
  <c r="K163" i="3"/>
  <c r="J163" i="3"/>
  <c r="L167" i="3"/>
  <c r="K167" i="3"/>
  <c r="J167" i="3"/>
  <c r="M31" i="5"/>
  <c r="L31" i="5"/>
  <c r="K31" i="5"/>
  <c r="I31" i="5"/>
  <c r="J31" i="5"/>
  <c r="J7" i="3"/>
  <c r="L7" i="3"/>
  <c r="K7" i="3"/>
  <c r="L21" i="3"/>
  <c r="K21" i="3"/>
  <c r="J21" i="3"/>
  <c r="K35" i="3"/>
  <c r="J35" i="3"/>
  <c r="L35" i="3"/>
  <c r="K39" i="3"/>
  <c r="L39" i="3"/>
  <c r="J39" i="3"/>
  <c r="H117" i="3"/>
  <c r="L74" i="2"/>
  <c r="K74" i="2"/>
  <c r="J74" i="2"/>
  <c r="H195" i="3"/>
  <c r="W35" i="5"/>
  <c r="U35" i="5"/>
  <c r="S35" i="5"/>
  <c r="V35" i="5"/>
  <c r="T35" i="5"/>
  <c r="H115" i="3"/>
  <c r="I189" i="3"/>
  <c r="J178" i="3"/>
  <c r="L178" i="3"/>
  <c r="K178" i="3"/>
  <c r="L135" i="3"/>
  <c r="K135" i="3"/>
  <c r="J135" i="3"/>
  <c r="W19" i="5"/>
  <c r="U19" i="5"/>
  <c r="S19" i="5"/>
  <c r="V19" i="5"/>
  <c r="T19" i="5"/>
  <c r="W39" i="5"/>
  <c r="V39" i="5"/>
  <c r="U39" i="5"/>
  <c r="T39" i="5"/>
  <c r="S39" i="5"/>
  <c r="J27" i="3"/>
  <c r="K27" i="3"/>
  <c r="L27" i="3"/>
  <c r="H121" i="3"/>
  <c r="H196" i="3"/>
  <c r="W23" i="5"/>
  <c r="V23" i="5"/>
  <c r="U23" i="5"/>
  <c r="T23" i="5"/>
  <c r="S23" i="5"/>
  <c r="W51" i="5"/>
  <c r="V51" i="5"/>
  <c r="U51" i="5"/>
  <c r="S51" i="5"/>
  <c r="T51" i="5"/>
  <c r="K20" i="6"/>
  <c r="I20" i="6"/>
  <c r="J20" i="6"/>
  <c r="J11" i="3"/>
  <c r="L11" i="3"/>
  <c r="K11" i="3"/>
  <c r="J20" i="2"/>
  <c r="K20" i="2"/>
  <c r="L36" i="2"/>
  <c r="K36" i="2"/>
  <c r="J36" i="2"/>
  <c r="L65" i="2"/>
  <c r="I68" i="2"/>
  <c r="K65" i="2"/>
  <c r="J65" i="2"/>
  <c r="W16" i="5"/>
  <c r="U16" i="5"/>
  <c r="S16" i="5"/>
  <c r="V16" i="5"/>
  <c r="T16" i="5"/>
  <c r="W45" i="5"/>
  <c r="V45" i="5"/>
  <c r="U45" i="5"/>
  <c r="T45" i="5"/>
  <c r="S45" i="5"/>
  <c r="R43" i="6"/>
  <c r="S43" i="6"/>
  <c r="Q43" i="6"/>
  <c r="S13" i="6"/>
  <c r="Q13" i="6"/>
  <c r="R13" i="6"/>
  <c r="E68" i="2"/>
  <c r="W10" i="5"/>
  <c r="V10" i="5"/>
  <c r="U10" i="5"/>
  <c r="S10" i="5"/>
  <c r="T10" i="5"/>
  <c r="S28" i="6"/>
  <c r="Q28" i="6"/>
  <c r="R28" i="6"/>
  <c r="K36" i="6"/>
  <c r="I36" i="6"/>
  <c r="J36" i="6"/>
  <c r="F68" i="2"/>
  <c r="J158" i="3"/>
  <c r="L158" i="3"/>
  <c r="K158" i="3"/>
  <c r="L63" i="2"/>
  <c r="K63" i="2"/>
  <c r="J63" i="2"/>
  <c r="G42" i="2"/>
  <c r="L35" i="2"/>
  <c r="K35" i="2"/>
  <c r="J35" i="2"/>
  <c r="F188" i="3"/>
  <c r="F192" i="3"/>
  <c r="K22" i="2"/>
  <c r="J22" i="2"/>
  <c r="L22" i="2"/>
  <c r="J48" i="3"/>
  <c r="K48" i="3"/>
  <c r="K67" i="2"/>
  <c r="J67" i="2"/>
  <c r="F69" i="2"/>
  <c r="H188" i="3"/>
  <c r="H192" i="3"/>
  <c r="K7" i="6"/>
  <c r="J7" i="6"/>
  <c r="I7" i="6"/>
  <c r="S44" i="6"/>
  <c r="Q44" i="6"/>
  <c r="R44" i="6"/>
  <c r="K52" i="6"/>
  <c r="I52" i="6"/>
  <c r="J52" i="6"/>
  <c r="S14" i="6"/>
  <c r="R14" i="6"/>
  <c r="Q14" i="6"/>
  <c r="V7" i="5"/>
  <c r="U7" i="5"/>
  <c r="T7" i="5"/>
  <c r="W7" i="5"/>
  <c r="S7" i="5"/>
  <c r="S16" i="6"/>
  <c r="R16" i="6"/>
  <c r="Q16" i="6"/>
  <c r="K9" i="6"/>
  <c r="J9" i="6"/>
  <c r="I9" i="6"/>
  <c r="K24" i="6"/>
  <c r="J24" i="6"/>
  <c r="I24" i="6"/>
  <c r="S32" i="6"/>
  <c r="R32" i="6"/>
  <c r="Q32" i="6"/>
  <c r="F194" i="3"/>
  <c r="F196" i="3"/>
  <c r="W11" i="5"/>
  <c r="V11" i="5"/>
  <c r="U11" i="5"/>
  <c r="T11" i="5"/>
  <c r="S11" i="5"/>
  <c r="W27" i="5"/>
  <c r="V27" i="5"/>
  <c r="U27" i="5"/>
  <c r="T27" i="5"/>
  <c r="S27" i="5"/>
  <c r="K13" i="6"/>
  <c r="J13" i="6"/>
  <c r="I13" i="6"/>
  <c r="S20" i="6"/>
  <c r="R20" i="6"/>
  <c r="Q20" i="6"/>
  <c r="U12" i="5"/>
  <c r="T12" i="5"/>
  <c r="S12" i="5"/>
  <c r="W12" i="5"/>
  <c r="V12" i="5"/>
  <c r="S9" i="6"/>
  <c r="R9" i="6"/>
  <c r="Q9" i="6"/>
  <c r="I10" i="12"/>
  <c r="L10" i="12"/>
  <c r="K10" i="12"/>
  <c r="J10" i="12"/>
  <c r="K8" i="13"/>
  <c r="I8" i="13"/>
  <c r="J8" i="13"/>
  <c r="K131" i="13"/>
  <c r="J131" i="13"/>
  <c r="I131" i="13"/>
  <c r="J20" i="14"/>
  <c r="I20" i="14"/>
  <c r="H53" i="12"/>
  <c r="I6" i="12"/>
  <c r="L6" i="12"/>
  <c r="K6" i="12"/>
  <c r="J6" i="12"/>
  <c r="K16" i="13"/>
  <c r="I16" i="13"/>
  <c r="J16" i="13"/>
  <c r="T18" i="14"/>
  <c r="S18" i="14"/>
  <c r="V12" i="12"/>
  <c r="T12" i="12"/>
  <c r="S12" i="12"/>
  <c r="K9" i="13"/>
  <c r="J9" i="13"/>
  <c r="I9" i="13"/>
  <c r="K28" i="13"/>
  <c r="I28" i="13"/>
  <c r="J28" i="13"/>
  <c r="K113" i="13"/>
  <c r="I113" i="13"/>
  <c r="J113" i="13"/>
  <c r="V10" i="12"/>
  <c r="S10" i="12"/>
  <c r="T10" i="12"/>
  <c r="K115" i="13"/>
  <c r="J115" i="13"/>
  <c r="I115" i="13"/>
  <c r="K17" i="13"/>
  <c r="J17" i="13"/>
  <c r="I17" i="13"/>
  <c r="V6" i="12"/>
  <c r="S6" i="12"/>
  <c r="T6" i="12"/>
  <c r="V8" i="12"/>
  <c r="T8" i="12"/>
  <c r="S8" i="12"/>
  <c r="V15" i="12"/>
  <c r="T15" i="12"/>
  <c r="S15" i="12"/>
  <c r="T11" i="14"/>
  <c r="S11" i="14"/>
  <c r="K30" i="13"/>
  <c r="J30" i="13"/>
  <c r="I30" i="13"/>
  <c r="K95" i="13"/>
  <c r="I95" i="13"/>
  <c r="J95" i="13"/>
  <c r="K32" i="13"/>
  <c r="J32" i="13"/>
  <c r="I32" i="13"/>
  <c r="J83" i="14"/>
  <c r="I83" i="14"/>
  <c r="K98" i="13"/>
  <c r="J98" i="13"/>
  <c r="I98" i="13"/>
  <c r="V19" i="13"/>
  <c r="W19" i="13"/>
  <c r="U19" i="13"/>
  <c r="K150" i="13"/>
  <c r="J150" i="13"/>
  <c r="I150" i="13"/>
  <c r="T16" i="14"/>
  <c r="S16" i="14"/>
  <c r="I18" i="14"/>
  <c r="J18" i="14"/>
  <c r="J104" i="14"/>
  <c r="I104" i="14"/>
  <c r="V13" i="12"/>
  <c r="T13" i="12"/>
  <c r="S13" i="12"/>
  <c r="V19" i="12"/>
  <c r="T19" i="12"/>
  <c r="S19" i="12"/>
  <c r="K60" i="13"/>
  <c r="J60" i="13"/>
  <c r="I60" i="13"/>
  <c r="V17" i="12"/>
  <c r="T17" i="12"/>
  <c r="S17" i="12"/>
  <c r="V21" i="12"/>
  <c r="T21" i="12"/>
  <c r="S21" i="12"/>
  <c r="J30" i="14"/>
  <c r="I30" i="14"/>
  <c r="J46" i="14"/>
  <c r="I46" i="14"/>
  <c r="J56" i="14"/>
  <c r="I56" i="14"/>
  <c r="J161" i="14"/>
  <c r="I161" i="14"/>
  <c r="K23" i="13"/>
  <c r="J23" i="13"/>
  <c r="I23" i="13"/>
  <c r="K53" i="13"/>
  <c r="J53" i="13"/>
  <c r="I53" i="13"/>
  <c r="K81" i="13"/>
  <c r="J81" i="13"/>
  <c r="I81" i="13"/>
  <c r="K86" i="13"/>
  <c r="J86" i="13"/>
  <c r="I86" i="13"/>
  <c r="J27" i="14"/>
  <c r="I27" i="14"/>
  <c r="J34" i="14"/>
  <c r="I34" i="14"/>
  <c r="J42" i="14"/>
  <c r="I42" i="14"/>
  <c r="J63" i="14"/>
  <c r="I63" i="14"/>
  <c r="J72" i="14"/>
  <c r="I72" i="14"/>
  <c r="J106" i="14"/>
  <c r="I106" i="14"/>
  <c r="S7" i="12"/>
  <c r="T7" i="12"/>
  <c r="V7" i="12"/>
  <c r="T14" i="12"/>
  <c r="S14" i="12"/>
  <c r="V14" i="12"/>
  <c r="K10" i="13"/>
  <c r="J10" i="13"/>
  <c r="I10" i="13"/>
  <c r="K18" i="13"/>
  <c r="J18" i="13"/>
  <c r="I18" i="13"/>
  <c r="K45" i="13"/>
  <c r="J45" i="13"/>
  <c r="I45" i="13"/>
  <c r="J73" i="13"/>
  <c r="I73" i="13"/>
  <c r="K73" i="13"/>
  <c r="J57" i="14"/>
  <c r="I57" i="14"/>
  <c r="H65" i="14"/>
  <c r="J96" i="14"/>
  <c r="I96" i="14"/>
  <c r="T11" i="12"/>
  <c r="S11" i="12"/>
  <c r="V11" i="12"/>
  <c r="T18" i="12"/>
  <c r="S18" i="12"/>
  <c r="V18" i="12"/>
  <c r="T22" i="12"/>
  <c r="S22" i="12"/>
  <c r="V22" i="12"/>
  <c r="V26" i="12"/>
  <c r="T26" i="12"/>
  <c r="S26" i="12"/>
  <c r="V30" i="12"/>
  <c r="T30" i="12"/>
  <c r="S30" i="12"/>
  <c r="V34" i="12"/>
  <c r="T34" i="12"/>
  <c r="S34" i="12"/>
  <c r="V38" i="12"/>
  <c r="T38" i="12"/>
  <c r="S38" i="12"/>
  <c r="K25" i="13"/>
  <c r="J25" i="13"/>
  <c r="I25" i="13"/>
  <c r="J38" i="13"/>
  <c r="I38" i="13"/>
  <c r="K38" i="13"/>
  <c r="K51" i="13"/>
  <c r="J51" i="13"/>
  <c r="I51" i="13"/>
  <c r="K79" i="13"/>
  <c r="J79" i="13"/>
  <c r="I79" i="13"/>
  <c r="J39" i="14"/>
  <c r="I39" i="14"/>
  <c r="J47" i="14"/>
  <c r="I47" i="14"/>
  <c r="J85" i="14"/>
  <c r="I85" i="14"/>
  <c r="H93" i="14"/>
  <c r="J143" i="14"/>
  <c r="I143" i="14"/>
  <c r="K11" i="13"/>
  <c r="J11" i="13"/>
  <c r="I11" i="13"/>
  <c r="K19" i="13"/>
  <c r="J19" i="13"/>
  <c r="I19" i="13"/>
  <c r="K43" i="13"/>
  <c r="J43" i="13"/>
  <c r="I43" i="13"/>
  <c r="K71" i="13"/>
  <c r="J71" i="13"/>
  <c r="I71" i="13"/>
  <c r="K84" i="13"/>
  <c r="J84" i="13"/>
  <c r="I84" i="13"/>
  <c r="J31" i="14"/>
  <c r="I31" i="14"/>
  <c r="J53" i="14"/>
  <c r="I53" i="14"/>
  <c r="J74" i="14"/>
  <c r="I74" i="14"/>
  <c r="J109" i="14"/>
  <c r="I109" i="14"/>
  <c r="M155" i="15"/>
  <c r="L155" i="15"/>
  <c r="K155" i="15"/>
  <c r="J155" i="15"/>
  <c r="I155" i="15"/>
  <c r="K27" i="13"/>
  <c r="J27" i="13"/>
  <c r="I27" i="13"/>
  <c r="K36" i="13"/>
  <c r="J36" i="13"/>
  <c r="I36" i="13"/>
  <c r="K64" i="13"/>
  <c r="J64" i="13"/>
  <c r="I64" i="13"/>
  <c r="J12" i="14"/>
  <c r="I12" i="14"/>
  <c r="J17" i="14"/>
  <c r="I17" i="14"/>
  <c r="J43" i="14"/>
  <c r="I43" i="14"/>
  <c r="H51" i="14"/>
  <c r="J98" i="14"/>
  <c r="I98" i="14"/>
  <c r="V11" i="16"/>
  <c r="U11" i="16"/>
  <c r="K12" i="13"/>
  <c r="J12" i="13"/>
  <c r="I12" i="13"/>
  <c r="H20" i="13"/>
  <c r="J56" i="13"/>
  <c r="I56" i="13"/>
  <c r="K56" i="13"/>
  <c r="K69" i="13"/>
  <c r="J69" i="13"/>
  <c r="I69" i="13"/>
  <c r="K145" i="13"/>
  <c r="J145" i="13"/>
  <c r="I145" i="13"/>
  <c r="J28" i="14"/>
  <c r="I28" i="14"/>
  <c r="J35" i="14"/>
  <c r="I35" i="14"/>
  <c r="J48" i="14"/>
  <c r="I48" i="14"/>
  <c r="J58" i="14"/>
  <c r="I58" i="14"/>
  <c r="J87" i="14"/>
  <c r="I87" i="14"/>
  <c r="V23" i="12"/>
  <c r="T23" i="12"/>
  <c r="S23" i="12"/>
  <c r="V27" i="12"/>
  <c r="T27" i="12"/>
  <c r="S27" i="12"/>
  <c r="V31" i="12"/>
  <c r="T31" i="12"/>
  <c r="S31" i="12"/>
  <c r="V35" i="12"/>
  <c r="T35" i="12"/>
  <c r="S35" i="12"/>
  <c r="V39" i="12"/>
  <c r="T39" i="12"/>
  <c r="S39" i="12"/>
  <c r="V43" i="12"/>
  <c r="T43" i="12"/>
  <c r="S43" i="12"/>
  <c r="V47" i="12"/>
  <c r="T47" i="12"/>
  <c r="S47" i="12"/>
  <c r="V51" i="12"/>
  <c r="T51" i="12"/>
  <c r="S51" i="12"/>
  <c r="V55" i="12"/>
  <c r="T55" i="12"/>
  <c r="S55" i="12"/>
  <c r="W8" i="13"/>
  <c r="V8" i="13"/>
  <c r="U8" i="13"/>
  <c r="K29" i="13"/>
  <c r="J29" i="13"/>
  <c r="I29" i="13"/>
  <c r="K33" i="13"/>
  <c r="J33" i="13"/>
  <c r="I33" i="13"/>
  <c r="K61" i="13"/>
  <c r="J61" i="13"/>
  <c r="I61" i="13"/>
  <c r="K87" i="13"/>
  <c r="J87" i="13"/>
  <c r="I87" i="13"/>
  <c r="K106" i="13"/>
  <c r="J106" i="13"/>
  <c r="I106" i="13"/>
  <c r="K124" i="13"/>
  <c r="J124" i="13"/>
  <c r="I124" i="13"/>
  <c r="H132" i="13"/>
  <c r="J19" i="14"/>
  <c r="I19" i="14"/>
  <c r="J25" i="14"/>
  <c r="I25" i="14"/>
  <c r="J76" i="14"/>
  <c r="I76" i="14"/>
  <c r="K13" i="13"/>
  <c r="J13" i="13"/>
  <c r="I13" i="13"/>
  <c r="K22" i="13"/>
  <c r="J22" i="13"/>
  <c r="I22" i="13"/>
  <c r="K54" i="13"/>
  <c r="J54" i="13"/>
  <c r="I54" i="13"/>
  <c r="H62" i="13"/>
  <c r="K67" i="13"/>
  <c r="J67" i="13"/>
  <c r="I67" i="13"/>
  <c r="K94" i="13"/>
  <c r="J94" i="13"/>
  <c r="I94" i="13"/>
  <c r="J32" i="14"/>
  <c r="I32" i="14"/>
  <c r="J40" i="14"/>
  <c r="I40" i="14"/>
  <c r="J44" i="14"/>
  <c r="I44" i="14"/>
  <c r="J54" i="14"/>
  <c r="I54" i="14"/>
  <c r="J59" i="14"/>
  <c r="I59" i="14"/>
  <c r="J100" i="14"/>
  <c r="I100" i="14"/>
  <c r="M68" i="15"/>
  <c r="L68" i="15"/>
  <c r="K68" i="15"/>
  <c r="I68" i="15"/>
  <c r="J68" i="15"/>
  <c r="K31" i="13"/>
  <c r="J31" i="13"/>
  <c r="I31" i="13"/>
  <c r="J68" i="14"/>
  <c r="I68" i="14"/>
  <c r="J89" i="14"/>
  <c r="I89" i="14"/>
  <c r="J151" i="14"/>
  <c r="I151" i="14"/>
  <c r="K14" i="13"/>
  <c r="J14" i="13"/>
  <c r="I14" i="13"/>
  <c r="J36" i="14"/>
  <c r="I36" i="14"/>
  <c r="J49" i="14"/>
  <c r="I49" i="14"/>
  <c r="J78" i="14"/>
  <c r="I78" i="14"/>
  <c r="J29" i="14"/>
  <c r="I29" i="14"/>
  <c r="H37" i="14"/>
  <c r="J55" i="14"/>
  <c r="I55" i="14"/>
  <c r="J102" i="14"/>
  <c r="I102" i="14"/>
  <c r="J133" i="14"/>
  <c r="I133" i="14"/>
  <c r="L86" i="15"/>
  <c r="K86" i="15"/>
  <c r="J86" i="15"/>
  <c r="I86" i="15"/>
  <c r="M86" i="15"/>
  <c r="I11" i="14"/>
  <c r="J11" i="14"/>
  <c r="J16" i="14"/>
  <c r="I16" i="14"/>
  <c r="J26" i="14"/>
  <c r="I26" i="14"/>
  <c r="J41" i="14"/>
  <c r="I41" i="14"/>
  <c r="J45" i="14"/>
  <c r="I45" i="14"/>
  <c r="J91" i="14"/>
  <c r="I91" i="14"/>
  <c r="J33" i="14"/>
  <c r="I33" i="14"/>
  <c r="J50" i="14"/>
  <c r="I50" i="14"/>
  <c r="J61" i="14"/>
  <c r="I61" i="14"/>
  <c r="J70" i="14"/>
  <c r="I70" i="14"/>
  <c r="J81" i="14"/>
  <c r="I81" i="14"/>
  <c r="J157" i="14"/>
  <c r="I157" i="14"/>
  <c r="M149" i="15"/>
  <c r="L149" i="15"/>
  <c r="K149" i="15"/>
  <c r="J149" i="15"/>
  <c r="I149" i="15"/>
  <c r="Y10" i="15"/>
  <c r="X10" i="15"/>
  <c r="W10" i="15"/>
  <c r="Y18" i="15"/>
  <c r="X18" i="15"/>
  <c r="W18" i="15"/>
  <c r="M33" i="15"/>
  <c r="L33" i="15"/>
  <c r="K33" i="15"/>
  <c r="I33" i="15"/>
  <c r="J33" i="15"/>
  <c r="J131" i="14"/>
  <c r="I131" i="14"/>
  <c r="J141" i="14"/>
  <c r="I141" i="14"/>
  <c r="H149" i="14"/>
  <c r="J148" i="14"/>
  <c r="I148" i="14"/>
  <c r="M9" i="15"/>
  <c r="K9" i="15"/>
  <c r="L9" i="15"/>
  <c r="J9" i="15"/>
  <c r="I9" i="15"/>
  <c r="M17" i="15"/>
  <c r="K17" i="15"/>
  <c r="L17" i="15"/>
  <c r="J17" i="15"/>
  <c r="I17" i="15"/>
  <c r="M74" i="15"/>
  <c r="L74" i="15"/>
  <c r="K74" i="15"/>
  <c r="J74" i="15"/>
  <c r="I74" i="15"/>
  <c r="J60" i="14"/>
  <c r="I60" i="14"/>
  <c r="J62" i="14"/>
  <c r="I62" i="14"/>
  <c r="J64" i="14"/>
  <c r="I64" i="14"/>
  <c r="J67" i="14"/>
  <c r="I67" i="14"/>
  <c r="J69" i="14"/>
  <c r="I69" i="14"/>
  <c r="J71" i="14"/>
  <c r="I71" i="14"/>
  <c r="H79" i="14"/>
  <c r="J73" i="14"/>
  <c r="I73" i="14"/>
  <c r="J75" i="14"/>
  <c r="I75" i="14"/>
  <c r="J77" i="14"/>
  <c r="I77" i="14"/>
  <c r="J82" i="14"/>
  <c r="I82" i="14"/>
  <c r="J84" i="14"/>
  <c r="I84" i="14"/>
  <c r="J86" i="14"/>
  <c r="I86" i="14"/>
  <c r="J88" i="14"/>
  <c r="I88" i="14"/>
  <c r="J90" i="14"/>
  <c r="I90" i="14"/>
  <c r="J92" i="14"/>
  <c r="I92" i="14"/>
  <c r="J95" i="14"/>
  <c r="I95" i="14"/>
  <c r="J97" i="14"/>
  <c r="I97" i="14"/>
  <c r="J99" i="14"/>
  <c r="I99" i="14"/>
  <c r="H107" i="14"/>
  <c r="J101" i="14"/>
  <c r="I101" i="14"/>
  <c r="J103" i="14"/>
  <c r="I103" i="14"/>
  <c r="J105" i="14"/>
  <c r="I105" i="14"/>
  <c r="J110" i="14"/>
  <c r="I110" i="14"/>
  <c r="J112" i="14"/>
  <c r="I112" i="14"/>
  <c r="J114" i="14"/>
  <c r="I114" i="14"/>
  <c r="J116" i="14"/>
  <c r="I116" i="14"/>
  <c r="J118" i="14"/>
  <c r="I118" i="14"/>
  <c r="J120" i="14"/>
  <c r="I120" i="14"/>
  <c r="J123" i="14"/>
  <c r="I123" i="14"/>
  <c r="J125" i="14"/>
  <c r="I125" i="14"/>
  <c r="H135" i="14"/>
  <c r="J127" i="14"/>
  <c r="I127" i="14"/>
  <c r="J129" i="14"/>
  <c r="I129" i="14"/>
  <c r="M51" i="15"/>
  <c r="L51" i="15"/>
  <c r="K51" i="15"/>
  <c r="I51" i="15"/>
  <c r="J51" i="15"/>
  <c r="H77" i="15"/>
  <c r="L69" i="15"/>
  <c r="K69" i="15"/>
  <c r="I69" i="15"/>
  <c r="M69" i="15"/>
  <c r="J69" i="15"/>
  <c r="M100" i="15"/>
  <c r="L100" i="15"/>
  <c r="K100" i="15"/>
  <c r="J100" i="15"/>
  <c r="I100" i="15"/>
  <c r="M126" i="15"/>
  <c r="L126" i="15"/>
  <c r="K126" i="15"/>
  <c r="J126" i="15"/>
  <c r="I126" i="15"/>
  <c r="M135" i="15"/>
  <c r="L135" i="15"/>
  <c r="K135" i="15"/>
  <c r="J135" i="15"/>
  <c r="I135" i="15"/>
  <c r="H23" i="14"/>
  <c r="J15" i="14"/>
  <c r="I15" i="14"/>
  <c r="J139" i="14"/>
  <c r="I139" i="14"/>
  <c r="J146" i="14"/>
  <c r="I146" i="14"/>
  <c r="M23" i="15"/>
  <c r="L23" i="15"/>
  <c r="K23" i="15"/>
  <c r="J23" i="15"/>
  <c r="I23" i="15"/>
  <c r="L34" i="15"/>
  <c r="I34" i="15"/>
  <c r="M34" i="15"/>
  <c r="K34" i="15"/>
  <c r="J34" i="15"/>
  <c r="K81" i="17"/>
  <c r="J81" i="17"/>
  <c r="I81" i="17"/>
  <c r="I14" i="14"/>
  <c r="J14" i="14"/>
  <c r="M14" i="15"/>
  <c r="L14" i="15"/>
  <c r="K14" i="15"/>
  <c r="J14" i="15"/>
  <c r="I14" i="15"/>
  <c r="I13" i="14"/>
  <c r="J13" i="14"/>
  <c r="J137" i="14"/>
  <c r="I137" i="14"/>
  <c r="J144" i="14"/>
  <c r="I144" i="14"/>
  <c r="M16" i="15"/>
  <c r="L16" i="15"/>
  <c r="K16" i="15"/>
  <c r="J16" i="15"/>
  <c r="I16" i="15"/>
  <c r="H35" i="15"/>
  <c r="M27" i="15"/>
  <c r="K27" i="15"/>
  <c r="L27" i="15"/>
  <c r="J27" i="15"/>
  <c r="I27" i="15"/>
  <c r="L52" i="15"/>
  <c r="I52" i="15"/>
  <c r="M52" i="15"/>
  <c r="K52" i="15"/>
  <c r="J52" i="15"/>
  <c r="L24" i="15"/>
  <c r="M24" i="15"/>
  <c r="K24" i="15"/>
  <c r="J24" i="15"/>
  <c r="I24" i="15"/>
  <c r="M31" i="15"/>
  <c r="J31" i="15"/>
  <c r="L31" i="15"/>
  <c r="K31" i="15"/>
  <c r="I31" i="15"/>
  <c r="M83" i="15"/>
  <c r="L83" i="15"/>
  <c r="K83" i="15"/>
  <c r="J83" i="15"/>
  <c r="H91" i="15"/>
  <c r="I83" i="15"/>
  <c r="J134" i="14"/>
  <c r="I134" i="14"/>
  <c r="J142" i="14"/>
  <c r="I142" i="14"/>
  <c r="J152" i="14"/>
  <c r="I152" i="14"/>
  <c r="J155" i="14"/>
  <c r="I155" i="14"/>
  <c r="H163" i="14"/>
  <c r="J159" i="14"/>
  <c r="I159" i="14"/>
  <c r="M66" i="15"/>
  <c r="L66" i="15"/>
  <c r="J66" i="15"/>
  <c r="K66" i="15"/>
  <c r="I66" i="15"/>
  <c r="L121" i="15"/>
  <c r="K121" i="15"/>
  <c r="J121" i="15"/>
  <c r="I121" i="15"/>
  <c r="M121" i="15"/>
  <c r="Y14" i="15"/>
  <c r="X14" i="15"/>
  <c r="W14" i="15"/>
  <c r="M48" i="15"/>
  <c r="J48" i="15"/>
  <c r="L48" i="15"/>
  <c r="K48" i="15"/>
  <c r="I48" i="15"/>
  <c r="M102" i="15"/>
  <c r="L102" i="15"/>
  <c r="K102" i="15"/>
  <c r="I102" i="15"/>
  <c r="J102" i="15"/>
  <c r="J132" i="14"/>
  <c r="I132" i="14"/>
  <c r="J140" i="14"/>
  <c r="I140" i="14"/>
  <c r="M13" i="15"/>
  <c r="K13" i="15"/>
  <c r="L13" i="15"/>
  <c r="J13" i="15"/>
  <c r="I13" i="15"/>
  <c r="H21" i="15"/>
  <c r="M40" i="15"/>
  <c r="L40" i="15"/>
  <c r="K40" i="15"/>
  <c r="J40" i="15"/>
  <c r="I40" i="15"/>
  <c r="M44" i="15"/>
  <c r="K44" i="15"/>
  <c r="I44" i="15"/>
  <c r="L44" i="15"/>
  <c r="J44" i="15"/>
  <c r="M109" i="15"/>
  <c r="L109" i="15"/>
  <c r="K109" i="15"/>
  <c r="J109" i="15"/>
  <c r="I109" i="15"/>
  <c r="M138" i="15"/>
  <c r="L138" i="15"/>
  <c r="K138" i="15"/>
  <c r="J138" i="15"/>
  <c r="I138" i="15"/>
  <c r="J111" i="14"/>
  <c r="I111" i="14"/>
  <c r="J113" i="14"/>
  <c r="I113" i="14"/>
  <c r="H121" i="14"/>
  <c r="J115" i="14"/>
  <c r="I115" i="14"/>
  <c r="J117" i="14"/>
  <c r="I117" i="14"/>
  <c r="J119" i="14"/>
  <c r="I119" i="14"/>
  <c r="J124" i="14"/>
  <c r="I124" i="14"/>
  <c r="J126" i="14"/>
  <c r="I126" i="14"/>
  <c r="J128" i="14"/>
  <c r="I128" i="14"/>
  <c r="J130" i="14"/>
  <c r="I130" i="14"/>
  <c r="M152" i="15"/>
  <c r="L152" i="15"/>
  <c r="K152" i="15"/>
  <c r="J152" i="15"/>
  <c r="I152" i="15"/>
  <c r="J138" i="14"/>
  <c r="I138" i="14"/>
  <c r="J147" i="14"/>
  <c r="I147" i="14"/>
  <c r="Y17" i="15"/>
  <c r="X17" i="15"/>
  <c r="W17" i="15"/>
  <c r="M57" i="15"/>
  <c r="L57" i="15"/>
  <c r="K57" i="15"/>
  <c r="J57" i="15"/>
  <c r="I57" i="15"/>
  <c r="L103" i="15"/>
  <c r="K103" i="15"/>
  <c r="J103" i="15"/>
  <c r="I103" i="15"/>
  <c r="M103" i="15"/>
  <c r="I22" i="14"/>
  <c r="J22" i="14"/>
  <c r="M10" i="15"/>
  <c r="L10" i="15"/>
  <c r="K10" i="15"/>
  <c r="J10" i="15"/>
  <c r="I10" i="15"/>
  <c r="M18" i="15"/>
  <c r="L18" i="15"/>
  <c r="K18" i="15"/>
  <c r="J18" i="15"/>
  <c r="I18" i="15"/>
  <c r="H49" i="15"/>
  <c r="L41" i="15"/>
  <c r="J41" i="15"/>
  <c r="K41" i="15"/>
  <c r="I41" i="15"/>
  <c r="M41" i="15"/>
  <c r="M85" i="15"/>
  <c r="L85" i="15"/>
  <c r="K85" i="15"/>
  <c r="I85" i="15"/>
  <c r="J85" i="15"/>
  <c r="Q16" i="18"/>
  <c r="J21" i="14"/>
  <c r="I21" i="14"/>
  <c r="J145" i="14"/>
  <c r="I145" i="14"/>
  <c r="I153" i="14"/>
  <c r="J153" i="14"/>
  <c r="I12" i="15"/>
  <c r="M12" i="15"/>
  <c r="L12" i="15"/>
  <c r="K12" i="15"/>
  <c r="J12" i="15"/>
  <c r="I20" i="15"/>
  <c r="M20" i="15"/>
  <c r="L20" i="15"/>
  <c r="K20" i="15"/>
  <c r="J20" i="15"/>
  <c r="L58" i="15"/>
  <c r="J58" i="15"/>
  <c r="M58" i="15"/>
  <c r="K58" i="15"/>
  <c r="I58" i="15"/>
  <c r="M117" i="15"/>
  <c r="L117" i="15"/>
  <c r="K117" i="15"/>
  <c r="J117" i="15"/>
  <c r="I117" i="15"/>
  <c r="V12" i="16"/>
  <c r="U12" i="16"/>
  <c r="U16" i="16"/>
  <c r="V16" i="16"/>
  <c r="V20" i="17"/>
  <c r="U20" i="17"/>
  <c r="V13" i="17"/>
  <c r="U13" i="17"/>
  <c r="T21" i="17"/>
  <c r="L75" i="15"/>
  <c r="J75" i="15"/>
  <c r="I75" i="15"/>
  <c r="M75" i="15"/>
  <c r="K75" i="15"/>
  <c r="J98" i="17"/>
  <c r="I98" i="17"/>
  <c r="M61" i="15"/>
  <c r="K61" i="15"/>
  <c r="I61" i="15"/>
  <c r="L61" i="15"/>
  <c r="J61" i="15"/>
  <c r="T21" i="16"/>
  <c r="V13" i="16"/>
  <c r="U13" i="16"/>
  <c r="M30" i="15"/>
  <c r="L30" i="15"/>
  <c r="J30" i="15"/>
  <c r="K30" i="15"/>
  <c r="I30" i="15"/>
  <c r="V14" i="16"/>
  <c r="U14" i="16"/>
  <c r="J39" i="17"/>
  <c r="I39" i="17"/>
  <c r="Y11" i="15"/>
  <c r="X11" i="15"/>
  <c r="W11" i="15"/>
  <c r="M143" i="15"/>
  <c r="L143" i="15"/>
  <c r="K143" i="15"/>
  <c r="J143" i="15"/>
  <c r="I143" i="15"/>
  <c r="V15" i="16"/>
  <c r="U15" i="16"/>
  <c r="K56" i="17"/>
  <c r="J56" i="17"/>
  <c r="I56" i="17"/>
  <c r="X89" i="18"/>
  <c r="K17" i="17"/>
  <c r="J17" i="17"/>
  <c r="I17" i="17"/>
  <c r="J73" i="17"/>
  <c r="I73" i="17"/>
  <c r="J146" i="17"/>
  <c r="I146" i="17"/>
  <c r="J29" i="17"/>
  <c r="I29" i="17"/>
  <c r="Q114" i="18"/>
  <c r="J90" i="17"/>
  <c r="I90" i="17"/>
  <c r="J154" i="14"/>
  <c r="I154" i="14"/>
  <c r="J156" i="14"/>
  <c r="I156" i="14"/>
  <c r="J158" i="14"/>
  <c r="I158" i="14"/>
  <c r="J160" i="14"/>
  <c r="I160" i="14"/>
  <c r="J162" i="14"/>
  <c r="I162" i="14"/>
  <c r="K46" i="17"/>
  <c r="J46" i="17"/>
  <c r="I46" i="17"/>
  <c r="J137" i="17"/>
  <c r="I137" i="17"/>
  <c r="K110" i="17"/>
  <c r="J110" i="17"/>
  <c r="I110" i="17"/>
  <c r="J10" i="17"/>
  <c r="I10" i="17"/>
  <c r="H9" i="17"/>
  <c r="K39" i="17" s="1"/>
  <c r="J18" i="17"/>
  <c r="I18" i="17"/>
  <c r="J17" i="18"/>
  <c r="I17" i="18"/>
  <c r="H23" i="17"/>
  <c r="J24" i="17"/>
  <c r="I24" i="17"/>
  <c r="H49" i="17"/>
  <c r="K41" i="17"/>
  <c r="J41" i="17"/>
  <c r="I41" i="17"/>
  <c r="J58" i="17"/>
  <c r="I58" i="17"/>
  <c r="I59" i="18"/>
  <c r="J31" i="19"/>
  <c r="I31" i="19"/>
  <c r="H31" i="19"/>
  <c r="J11" i="17"/>
  <c r="I11" i="17"/>
  <c r="K19" i="17"/>
  <c r="J19" i="17"/>
  <c r="I19" i="17"/>
  <c r="I89" i="18"/>
  <c r="X59" i="18"/>
  <c r="Q158" i="18"/>
  <c r="J26" i="17"/>
  <c r="I26" i="17"/>
  <c r="J42" i="18"/>
  <c r="I42" i="18"/>
  <c r="H120" i="18"/>
  <c r="I121" i="18"/>
  <c r="K12" i="17"/>
  <c r="J12" i="17"/>
  <c r="I12" i="17"/>
  <c r="J20" i="17"/>
  <c r="I20" i="17"/>
  <c r="K53" i="17"/>
  <c r="J53" i="17"/>
  <c r="I53" i="17"/>
  <c r="P8" i="18"/>
  <c r="R114" i="18" s="1"/>
  <c r="Q9" i="18"/>
  <c r="X42" i="18"/>
  <c r="Q60" i="18"/>
  <c r="I25" i="18"/>
  <c r="X84" i="18"/>
  <c r="J13" i="17"/>
  <c r="I13" i="17"/>
  <c r="H21" i="17"/>
  <c r="H37" i="17"/>
  <c r="K38" i="17"/>
  <c r="J38" i="17"/>
  <c r="I38" i="17"/>
  <c r="J55" i="17"/>
  <c r="I55" i="17"/>
  <c r="H63" i="17"/>
  <c r="K72" i="17"/>
  <c r="J72" i="17"/>
  <c r="I72" i="17"/>
  <c r="X25" i="18"/>
  <c r="Q43" i="18"/>
  <c r="I107" i="18"/>
  <c r="H106" i="18"/>
  <c r="X67" i="18"/>
  <c r="Q85" i="18"/>
  <c r="P106" i="18"/>
  <c r="Q107" i="18"/>
  <c r="P34" i="18"/>
  <c r="Q26" i="18"/>
  <c r="I86" i="18"/>
  <c r="P76" i="18"/>
  <c r="Q68" i="18"/>
  <c r="R129" i="18"/>
  <c r="Q129" i="18"/>
  <c r="J69" i="18"/>
  <c r="I69" i="18"/>
  <c r="X32" i="18"/>
  <c r="P50" i="18"/>
  <c r="Q51" i="18"/>
  <c r="Q87" i="18"/>
  <c r="Y89" i="19"/>
  <c r="X89" i="19"/>
  <c r="I11" i="18"/>
  <c r="I52" i="18"/>
  <c r="X140" i="18"/>
  <c r="X86" i="18"/>
  <c r="X15" i="18"/>
  <c r="Q33" i="18"/>
  <c r="X88" i="18"/>
  <c r="I46" i="19"/>
  <c r="H46" i="19"/>
  <c r="I87" i="19"/>
  <c r="H87" i="19"/>
  <c r="X13" i="18"/>
  <c r="I13" i="18"/>
  <c r="Y48" i="19"/>
  <c r="X48" i="19"/>
  <c r="X11" i="18"/>
  <c r="Y10" i="19"/>
  <c r="W9" i="19"/>
  <c r="X10" i="19"/>
  <c r="X18" i="18"/>
  <c r="O51" i="19"/>
  <c r="Q52" i="19"/>
  <c r="P52" i="19"/>
  <c r="R26" i="19"/>
  <c r="Q26" i="19"/>
  <c r="P26" i="19"/>
  <c r="J9" i="18"/>
  <c r="I9" i="18"/>
  <c r="H8" i="18"/>
  <c r="J13" i="18" s="1"/>
  <c r="I24" i="19"/>
  <c r="H24" i="19"/>
  <c r="G23" i="19"/>
  <c r="G21" i="19"/>
  <c r="I13" i="19"/>
  <c r="H13" i="19"/>
  <c r="Q130" i="19"/>
  <c r="R130" i="19"/>
  <c r="P130" i="19"/>
  <c r="I10" i="19"/>
  <c r="G9" i="19"/>
  <c r="J10" i="19" s="1"/>
  <c r="H10" i="19"/>
  <c r="R12" i="19"/>
  <c r="Q12" i="19"/>
  <c r="P12" i="19"/>
  <c r="Q17" i="19"/>
  <c r="P17" i="19"/>
  <c r="Q18" i="19"/>
  <c r="P18" i="19"/>
  <c r="J20" i="19"/>
  <c r="I20" i="19"/>
  <c r="H20" i="19"/>
  <c r="Q32" i="19"/>
  <c r="P32" i="19"/>
  <c r="R88" i="19"/>
  <c r="Q88" i="19"/>
  <c r="P88" i="19"/>
  <c r="I11" i="19"/>
  <c r="H11" i="19"/>
  <c r="I14" i="19"/>
  <c r="H14" i="19"/>
  <c r="Q19" i="19"/>
  <c r="P19" i="19"/>
  <c r="R20" i="19"/>
  <c r="Q20" i="19"/>
  <c r="P20" i="19"/>
  <c r="R10" i="19"/>
  <c r="Q10" i="19"/>
  <c r="P10" i="19"/>
  <c r="O9" i="19"/>
  <c r="R32" i="19" s="1"/>
  <c r="Q13" i="19"/>
  <c r="O21" i="19"/>
  <c r="P13" i="19"/>
  <c r="Q30" i="19"/>
  <c r="P30" i="19"/>
  <c r="R14" i="19"/>
  <c r="Q14" i="19"/>
  <c r="P14" i="19"/>
  <c r="H118" i="21"/>
  <c r="I118" i="21"/>
  <c r="G92" i="21"/>
  <c r="H84" i="21"/>
  <c r="I84" i="21"/>
  <c r="H49" i="21"/>
  <c r="I49" i="21"/>
  <c r="I21" i="21"/>
  <c r="H21" i="21"/>
  <c r="I94" i="21"/>
  <c r="H94" i="21"/>
  <c r="I59" i="21"/>
  <c r="H59" i="21"/>
  <c r="H32" i="21"/>
  <c r="I32" i="21"/>
  <c r="W10" i="22"/>
  <c r="X10" i="22"/>
  <c r="V10" i="22"/>
  <c r="I13" i="21"/>
  <c r="H13" i="21"/>
  <c r="H19" i="21"/>
  <c r="I19" i="21"/>
  <c r="I46" i="21"/>
  <c r="H46" i="21"/>
  <c r="I99" i="21"/>
  <c r="H99" i="21"/>
  <c r="I136" i="21"/>
  <c r="H136" i="21"/>
  <c r="H11" i="21"/>
  <c r="I11" i="21"/>
  <c r="I29" i="21"/>
  <c r="H29" i="21"/>
  <c r="I56" i="21"/>
  <c r="H56" i="21"/>
  <c r="G64" i="21"/>
  <c r="I90" i="21"/>
  <c r="H90" i="21"/>
  <c r="I125" i="21"/>
  <c r="H125" i="21"/>
  <c r="I130" i="21"/>
  <c r="H130" i="21"/>
  <c r="I159" i="21"/>
  <c r="H159" i="21"/>
  <c r="G50" i="21"/>
  <c r="I42" i="21"/>
  <c r="H42" i="21"/>
  <c r="I81" i="21"/>
  <c r="H81" i="21"/>
  <c r="I115" i="21"/>
  <c r="H115" i="21"/>
  <c r="I25" i="21"/>
  <c r="H25" i="21"/>
  <c r="I71" i="21"/>
  <c r="H71" i="21"/>
  <c r="I105" i="21"/>
  <c r="H105" i="21"/>
  <c r="R15" i="21"/>
  <c r="Q15" i="21"/>
  <c r="I39" i="21"/>
  <c r="H39" i="21"/>
  <c r="I61" i="21"/>
  <c r="H61" i="21"/>
  <c r="I96" i="21"/>
  <c r="H96" i="21"/>
  <c r="I147" i="21"/>
  <c r="H147" i="21"/>
  <c r="I52" i="21"/>
  <c r="H52" i="21"/>
  <c r="I86" i="21"/>
  <c r="H86" i="21"/>
  <c r="I14" i="21"/>
  <c r="H14" i="21"/>
  <c r="G22" i="21"/>
  <c r="I34" i="21"/>
  <c r="H34" i="21"/>
  <c r="I47" i="21"/>
  <c r="H47" i="21"/>
  <c r="I76" i="21"/>
  <c r="H76" i="21"/>
  <c r="I111" i="21"/>
  <c r="H111" i="21"/>
  <c r="H150" i="21"/>
  <c r="I150" i="21"/>
  <c r="I20" i="21"/>
  <c r="H20" i="21"/>
  <c r="I30" i="21"/>
  <c r="H30" i="21"/>
  <c r="H67" i="21"/>
  <c r="I67" i="21"/>
  <c r="H101" i="21"/>
  <c r="I101" i="21"/>
  <c r="H132" i="21"/>
  <c r="I132" i="21"/>
  <c r="X15" i="22"/>
  <c r="W15" i="22"/>
  <c r="V15" i="22"/>
  <c r="I12" i="21"/>
  <c r="H12" i="21"/>
  <c r="I18" i="21"/>
  <c r="H18" i="21"/>
  <c r="I82" i="21"/>
  <c r="H82" i="21"/>
  <c r="I116" i="21"/>
  <c r="H116" i="21"/>
  <c r="I10" i="21"/>
  <c r="H10" i="21"/>
  <c r="I44" i="21"/>
  <c r="H44" i="21"/>
  <c r="I73" i="21"/>
  <c r="H73" i="21"/>
  <c r="I108" i="21"/>
  <c r="H108" i="21"/>
  <c r="I27" i="21"/>
  <c r="H27" i="21"/>
  <c r="I35" i="21"/>
  <c r="H35" i="21"/>
  <c r="I63" i="21"/>
  <c r="H63" i="21"/>
  <c r="G106" i="21"/>
  <c r="I98" i="21"/>
  <c r="H98" i="21"/>
  <c r="I54" i="21"/>
  <c r="H54" i="21"/>
  <c r="I88" i="21"/>
  <c r="H88" i="21"/>
  <c r="I123" i="21"/>
  <c r="H123" i="21"/>
  <c r="I142" i="21"/>
  <c r="H142" i="21"/>
  <c r="I152" i="21"/>
  <c r="H152" i="21"/>
  <c r="H113" i="21"/>
  <c r="I113" i="21"/>
  <c r="I128" i="21"/>
  <c r="H128" i="21"/>
  <c r="I69" i="21"/>
  <c r="H69" i="21"/>
  <c r="I103" i="21"/>
  <c r="H103" i="21"/>
  <c r="G148" i="21"/>
  <c r="I140" i="21"/>
  <c r="H140" i="21"/>
  <c r="I157" i="21"/>
  <c r="H157" i="21"/>
  <c r="X16" i="22"/>
  <c r="W16" i="22"/>
  <c r="V16" i="22"/>
  <c r="X11" i="22"/>
  <c r="W11" i="22"/>
  <c r="V11" i="22"/>
  <c r="I138" i="21"/>
  <c r="H138" i="21"/>
  <c r="I155" i="21"/>
  <c r="H155" i="21"/>
  <c r="I145" i="21"/>
  <c r="H145" i="21"/>
  <c r="X17" i="22"/>
  <c r="W17" i="22"/>
  <c r="V17" i="22"/>
  <c r="I153" i="21"/>
  <c r="H153" i="21"/>
  <c r="X12" i="22"/>
  <c r="W12" i="22"/>
  <c r="V12" i="22"/>
  <c r="I133" i="21"/>
  <c r="H133" i="21"/>
  <c r="I151" i="21"/>
  <c r="H151" i="21"/>
  <c r="X18" i="22"/>
  <c r="W18" i="22"/>
  <c r="V18" i="22"/>
  <c r="I53" i="21"/>
  <c r="H53" i="21"/>
  <c r="I70" i="21"/>
  <c r="H70" i="21"/>
  <c r="G78" i="21"/>
  <c r="I87" i="21"/>
  <c r="H87" i="21"/>
  <c r="I104" i="21"/>
  <c r="H104" i="21"/>
  <c r="X19" i="22"/>
  <c r="W19" i="22"/>
  <c r="V19" i="22"/>
  <c r="K112" i="27"/>
  <c r="J112" i="27"/>
  <c r="I112" i="27"/>
  <c r="J27" i="26"/>
  <c r="K27" i="26"/>
  <c r="I27" i="26"/>
  <c r="K88" i="26"/>
  <c r="I88" i="26"/>
  <c r="J88" i="26"/>
  <c r="H62" i="26"/>
  <c r="I54" i="26"/>
  <c r="J54" i="26"/>
  <c r="K54" i="26"/>
  <c r="K13" i="26"/>
  <c r="J13" i="26"/>
  <c r="I13" i="26"/>
  <c r="I19" i="26"/>
  <c r="K19" i="26"/>
  <c r="J19" i="26"/>
  <c r="J117" i="26"/>
  <c r="I117" i="26"/>
  <c r="K117" i="26"/>
  <c r="K39" i="26"/>
  <c r="J39" i="26"/>
  <c r="I39" i="26"/>
  <c r="K31" i="26"/>
  <c r="J31" i="26"/>
  <c r="I31" i="26"/>
  <c r="K73" i="26"/>
  <c r="J73" i="26"/>
  <c r="I73" i="26"/>
  <c r="J79" i="26"/>
  <c r="K79" i="26"/>
  <c r="I79" i="26"/>
  <c r="J10" i="26"/>
  <c r="K10" i="26"/>
  <c r="I10" i="26"/>
  <c r="K47" i="26"/>
  <c r="J47" i="26"/>
  <c r="I47" i="26"/>
  <c r="K65" i="26"/>
  <c r="J65" i="26"/>
  <c r="I65" i="26"/>
  <c r="K69" i="26"/>
  <c r="J69" i="26"/>
  <c r="I69" i="26"/>
  <c r="K152" i="26"/>
  <c r="J152" i="26"/>
  <c r="I152" i="26"/>
  <c r="H160" i="26"/>
  <c r="J40" i="26"/>
  <c r="H48" i="26"/>
  <c r="K40" i="26"/>
  <c r="I40" i="26"/>
  <c r="K52" i="26"/>
  <c r="J52" i="26"/>
  <c r="I52" i="26"/>
  <c r="J74" i="26"/>
  <c r="I74" i="26"/>
  <c r="K74" i="26"/>
  <c r="K103" i="26"/>
  <c r="I103" i="26"/>
  <c r="J103" i="26"/>
  <c r="J39" i="27"/>
  <c r="K39" i="27"/>
  <c r="I39" i="27"/>
  <c r="I32" i="26"/>
  <c r="K32" i="26"/>
  <c r="J32" i="26"/>
  <c r="K56" i="26"/>
  <c r="J56" i="26"/>
  <c r="I56" i="26"/>
  <c r="J92" i="26"/>
  <c r="I92" i="26"/>
  <c r="K92" i="26"/>
  <c r="K129" i="27"/>
  <c r="J129" i="27"/>
  <c r="I129" i="27"/>
  <c r="K17" i="26"/>
  <c r="J17" i="26"/>
  <c r="I17" i="26"/>
  <c r="K112" i="26"/>
  <c r="J112" i="26"/>
  <c r="I112" i="26"/>
  <c r="J44" i="26"/>
  <c r="K44" i="26"/>
  <c r="I44" i="26"/>
  <c r="K86" i="26"/>
  <c r="I86" i="26"/>
  <c r="J86" i="26"/>
  <c r="M95" i="28"/>
  <c r="L95" i="28"/>
  <c r="K95" i="28"/>
  <c r="J95" i="28"/>
  <c r="I95" i="28"/>
  <c r="K8" i="26"/>
  <c r="J8" i="26"/>
  <c r="I8" i="26"/>
  <c r="K14" i="26"/>
  <c r="J14" i="26"/>
  <c r="I14" i="26"/>
  <c r="I37" i="26"/>
  <c r="K37" i="26"/>
  <c r="J37" i="26"/>
  <c r="J57" i="26"/>
  <c r="I57" i="26"/>
  <c r="K57" i="26"/>
  <c r="J61" i="26"/>
  <c r="K61" i="26"/>
  <c r="I61" i="26"/>
  <c r="K99" i="26"/>
  <c r="J99" i="26"/>
  <c r="I99" i="26"/>
  <c r="K22" i="26"/>
  <c r="J22" i="26"/>
  <c r="I22" i="26"/>
  <c r="K66" i="26"/>
  <c r="J66" i="26"/>
  <c r="I66" i="26"/>
  <c r="K106" i="26"/>
  <c r="I106" i="26"/>
  <c r="J106" i="26"/>
  <c r="K113" i="26"/>
  <c r="J113" i="26"/>
  <c r="I113" i="26"/>
  <c r="I15" i="26"/>
  <c r="K15" i="26"/>
  <c r="J15" i="26"/>
  <c r="K30" i="26"/>
  <c r="I30" i="26"/>
  <c r="J30" i="26"/>
  <c r="K71" i="26"/>
  <c r="I71" i="26"/>
  <c r="J71" i="26"/>
  <c r="K82" i="26"/>
  <c r="J82" i="26"/>
  <c r="I82" i="26"/>
  <c r="H90" i="26"/>
  <c r="K148" i="26"/>
  <c r="J148" i="26"/>
  <c r="I148" i="26"/>
  <c r="J23" i="26"/>
  <c r="K23" i="26"/>
  <c r="I23" i="26"/>
  <c r="H34" i="27"/>
  <c r="K26" i="27"/>
  <c r="J26" i="27"/>
  <c r="I26" i="27"/>
  <c r="K8" i="27"/>
  <c r="J8" i="27"/>
  <c r="I8" i="27"/>
  <c r="J13" i="27"/>
  <c r="K13" i="27"/>
  <c r="I13" i="27"/>
  <c r="K18" i="27"/>
  <c r="J18" i="27"/>
  <c r="I18" i="27"/>
  <c r="K11" i="27"/>
  <c r="J11" i="27"/>
  <c r="I11" i="27"/>
  <c r="K22" i="27"/>
  <c r="J22" i="27"/>
  <c r="I22" i="27"/>
  <c r="K55" i="27"/>
  <c r="I55" i="27"/>
  <c r="J55" i="27"/>
  <c r="M136" i="28"/>
  <c r="L136" i="28"/>
  <c r="K136" i="28"/>
  <c r="J136" i="28"/>
  <c r="I136" i="28"/>
  <c r="L47" i="28"/>
  <c r="J47" i="28"/>
  <c r="K47" i="28"/>
  <c r="I47" i="28"/>
  <c r="M47" i="28"/>
  <c r="K9" i="27"/>
  <c r="J9" i="27"/>
  <c r="I9" i="27"/>
  <c r="J56" i="27"/>
  <c r="K56" i="27"/>
  <c r="I56" i="27"/>
  <c r="K14" i="27"/>
  <c r="J14" i="27"/>
  <c r="I14" i="27"/>
  <c r="K30" i="27"/>
  <c r="J30" i="27"/>
  <c r="I30" i="27"/>
  <c r="K88" i="28"/>
  <c r="I88" i="28"/>
  <c r="M88" i="28"/>
  <c r="L88" i="28"/>
  <c r="J88" i="28"/>
  <c r="M8" i="28"/>
  <c r="L8" i="28"/>
  <c r="K8" i="28"/>
  <c r="I8" i="28"/>
  <c r="J8" i="28"/>
  <c r="M10" i="28"/>
  <c r="L10" i="28"/>
  <c r="K10" i="28"/>
  <c r="I10" i="28"/>
  <c r="J10" i="28"/>
  <c r="M70" i="28"/>
  <c r="L70" i="28"/>
  <c r="J70" i="28"/>
  <c r="I70" i="28"/>
  <c r="K70" i="28"/>
  <c r="M75" i="28"/>
  <c r="L75" i="28"/>
  <c r="K75" i="28"/>
  <c r="J75" i="28"/>
  <c r="I75" i="28"/>
  <c r="M27" i="28"/>
  <c r="I27" i="28"/>
  <c r="L27" i="28"/>
  <c r="K27" i="28"/>
  <c r="J27" i="28"/>
  <c r="H90" i="28"/>
  <c r="M82" i="28"/>
  <c r="L82" i="28"/>
  <c r="I82" i="28"/>
  <c r="K82" i="28"/>
  <c r="J82" i="28"/>
  <c r="M13" i="28"/>
  <c r="L13" i="28"/>
  <c r="K13" i="28"/>
  <c r="J13" i="28"/>
  <c r="I13" i="28"/>
  <c r="M23" i="28"/>
  <c r="I23" i="28"/>
  <c r="L23" i="28"/>
  <c r="K23" i="28"/>
  <c r="J23" i="28"/>
  <c r="M43" i="28"/>
  <c r="L43" i="28"/>
  <c r="J43" i="28"/>
  <c r="K43" i="28"/>
  <c r="I43" i="28"/>
  <c r="M38" i="28"/>
  <c r="L38" i="28"/>
  <c r="K38" i="28"/>
  <c r="J38" i="28"/>
  <c r="I38" i="28"/>
  <c r="H132" i="28"/>
  <c r="M124" i="28"/>
  <c r="K124" i="28"/>
  <c r="I124" i="28"/>
  <c r="L124" i="28"/>
  <c r="J124" i="28"/>
  <c r="I11" i="28"/>
  <c r="M11" i="28"/>
  <c r="L11" i="28"/>
  <c r="K11" i="28"/>
  <c r="J11" i="28"/>
  <c r="M71" i="28"/>
  <c r="L71" i="28"/>
  <c r="K71" i="28"/>
  <c r="J71" i="28"/>
  <c r="I71" i="28"/>
  <c r="M134" i="28"/>
  <c r="L134" i="28"/>
  <c r="J134" i="28"/>
  <c r="K134" i="28"/>
  <c r="I134" i="28"/>
  <c r="W31" i="35"/>
  <c r="V31" i="35"/>
  <c r="M16" i="28"/>
  <c r="L16" i="28"/>
  <c r="K16" i="28"/>
  <c r="J16" i="28"/>
  <c r="I16" i="28"/>
  <c r="M96" i="28"/>
  <c r="L96" i="28"/>
  <c r="K96" i="28"/>
  <c r="J96" i="28"/>
  <c r="H104" i="28"/>
  <c r="I96" i="28"/>
  <c r="M109" i="28"/>
  <c r="K109" i="28"/>
  <c r="I109" i="28"/>
  <c r="L109" i="28"/>
  <c r="J109" i="28"/>
  <c r="M33" i="28"/>
  <c r="L33" i="28"/>
  <c r="K33" i="28"/>
  <c r="J33" i="28"/>
  <c r="I33" i="28"/>
  <c r="M78" i="28"/>
  <c r="L78" i="28"/>
  <c r="K78" i="28"/>
  <c r="J78" i="28"/>
  <c r="I78" i="28"/>
  <c r="M102" i="28"/>
  <c r="L102" i="28"/>
  <c r="I102" i="28"/>
  <c r="K102" i="28"/>
  <c r="J102" i="28"/>
  <c r="M154" i="28"/>
  <c r="L154" i="28"/>
  <c r="K154" i="28"/>
  <c r="J154" i="28"/>
  <c r="I154" i="28"/>
  <c r="L29" i="28"/>
  <c r="K29" i="28"/>
  <c r="M29" i="28"/>
  <c r="J29" i="28"/>
  <c r="I29" i="28"/>
  <c r="J45" i="28"/>
  <c r="I45" i="28"/>
  <c r="L45" i="28"/>
  <c r="M45" i="28"/>
  <c r="K45" i="28"/>
  <c r="M67" i="28"/>
  <c r="K67" i="28"/>
  <c r="J67" i="28"/>
  <c r="L67" i="28"/>
  <c r="I67" i="28"/>
  <c r="M126" i="28"/>
  <c r="L126" i="28"/>
  <c r="K126" i="28"/>
  <c r="I126" i="28"/>
  <c r="J126" i="28"/>
  <c r="K17" i="28"/>
  <c r="J17" i="28"/>
  <c r="I17" i="28"/>
  <c r="M17" i="28"/>
  <c r="L17" i="28"/>
  <c r="I40" i="35"/>
  <c r="H40" i="35"/>
  <c r="H32" i="30"/>
  <c r="L33" i="30"/>
  <c r="H36" i="30"/>
  <c r="L37" i="30"/>
  <c r="H39" i="30"/>
  <c r="J42" i="30"/>
  <c r="J75" i="30"/>
  <c r="N76" i="30"/>
  <c r="F81" i="30"/>
  <c r="J84" i="30"/>
  <c r="F97" i="30"/>
  <c r="N98" i="30"/>
  <c r="L100" i="30"/>
  <c r="H102" i="30"/>
  <c r="J106" i="30"/>
  <c r="J108" i="30"/>
  <c r="J144" i="30"/>
  <c r="H150" i="30"/>
  <c r="N185" i="30"/>
  <c r="F188" i="30"/>
  <c r="J192" i="30"/>
  <c r="H195" i="30"/>
  <c r="L197" i="30"/>
  <c r="F231" i="30"/>
  <c r="J238" i="30"/>
  <c r="F257" i="30"/>
  <c r="J15" i="31"/>
  <c r="F10" i="30"/>
  <c r="J11" i="30"/>
  <c r="N12" i="30"/>
  <c r="F14" i="30"/>
  <c r="J15" i="30"/>
  <c r="F17" i="30"/>
  <c r="L18" i="30"/>
  <c r="H20" i="30"/>
  <c r="H53" i="30"/>
  <c r="L54" i="30"/>
  <c r="H57" i="30"/>
  <c r="L58" i="30"/>
  <c r="F60" i="30"/>
  <c r="L61" i="30"/>
  <c r="H63" i="30"/>
  <c r="N79" i="30"/>
  <c r="H86" i="30"/>
  <c r="H97" i="30"/>
  <c r="H104" i="30"/>
  <c r="F141" i="30"/>
  <c r="N142" i="30"/>
  <c r="L144" i="30"/>
  <c r="J146" i="30"/>
  <c r="H148" i="30"/>
  <c r="J150" i="30"/>
  <c r="L152" i="30"/>
  <c r="F190" i="30"/>
  <c r="L207" i="30"/>
  <c r="F210" i="30"/>
  <c r="F212" i="30"/>
  <c r="F215" i="30"/>
  <c r="H218" i="30"/>
  <c r="F253" i="30"/>
  <c r="L15" i="31"/>
  <c r="H31" i="31"/>
  <c r="J76" i="31"/>
  <c r="F31" i="30"/>
  <c r="J32" i="30"/>
  <c r="N33" i="30"/>
  <c r="F35" i="30"/>
  <c r="J36" i="30"/>
  <c r="J39" i="30"/>
  <c r="F41" i="30"/>
  <c r="L42" i="30"/>
  <c r="F84" i="30"/>
  <c r="N100" i="30"/>
  <c r="J102" i="30"/>
  <c r="J104" i="30"/>
  <c r="L106" i="30"/>
  <c r="L108" i="30"/>
  <c r="N144" i="30"/>
  <c r="H188" i="30"/>
  <c r="L190" i="30"/>
  <c r="L192" i="30"/>
  <c r="J195" i="30"/>
  <c r="H231" i="30"/>
  <c r="F235" i="30"/>
  <c r="L239" i="30"/>
  <c r="J263" i="30"/>
  <c r="J31" i="31"/>
  <c r="F78" i="31"/>
  <c r="H10" i="30"/>
  <c r="L11" i="30"/>
  <c r="H14" i="30"/>
  <c r="L15" i="30"/>
  <c r="H17" i="30"/>
  <c r="J20" i="30"/>
  <c r="N54" i="30"/>
  <c r="N58" i="30"/>
  <c r="J97" i="30"/>
  <c r="F99" i="30"/>
  <c r="L102" i="30"/>
  <c r="L104" i="30"/>
  <c r="H141" i="30"/>
  <c r="F186" i="30"/>
  <c r="N207" i="30"/>
  <c r="H210" i="30"/>
  <c r="N212" i="30"/>
  <c r="F219" i="30"/>
  <c r="J257" i="30"/>
  <c r="J17" i="31"/>
  <c r="H31" i="30"/>
  <c r="L32" i="30"/>
  <c r="H35" i="30"/>
  <c r="L36" i="30"/>
  <c r="F38" i="30"/>
  <c r="L39" i="30"/>
  <c r="H41" i="30"/>
  <c r="J82" i="30"/>
  <c r="N75" i="30"/>
  <c r="L78" i="30"/>
  <c r="L97" i="30"/>
  <c r="H99" i="30"/>
  <c r="F143" i="30"/>
  <c r="L148" i="30"/>
  <c r="L186" i="30"/>
  <c r="J188" i="30"/>
  <c r="N190" i="30"/>
  <c r="L195" i="30"/>
  <c r="H232" i="30"/>
  <c r="H235" i="30"/>
  <c r="J253" i="30"/>
  <c r="H275" i="30"/>
  <c r="J283" i="30"/>
  <c r="L17" i="31"/>
  <c r="H33" i="31"/>
  <c r="F9" i="30"/>
  <c r="J10" i="30"/>
  <c r="N11" i="30"/>
  <c r="F13" i="30"/>
  <c r="J14" i="30"/>
  <c r="J17" i="30"/>
  <c r="F19" i="30"/>
  <c r="L20" i="30"/>
  <c r="N102" i="30"/>
  <c r="F109" i="30"/>
  <c r="L188" i="30"/>
  <c r="F193" i="30"/>
  <c r="J210" i="30"/>
  <c r="F216" i="30"/>
  <c r="H219" i="30"/>
  <c r="L258" i="30"/>
  <c r="L283" i="30"/>
  <c r="J33" i="31"/>
  <c r="J64" i="31"/>
  <c r="H16" i="35"/>
  <c r="J31" i="30"/>
  <c r="N32" i="30"/>
  <c r="F34" i="30"/>
  <c r="J35" i="30"/>
  <c r="N36" i="30"/>
  <c r="H38" i="30"/>
  <c r="J41" i="30"/>
  <c r="F43" i="30"/>
  <c r="N97" i="30"/>
  <c r="J99" i="30"/>
  <c r="F101" i="30"/>
  <c r="F105" i="30"/>
  <c r="F107" i="30"/>
  <c r="H109" i="30"/>
  <c r="N186" i="30"/>
  <c r="L193" i="30"/>
  <c r="F208" i="30"/>
  <c r="J232" i="30"/>
  <c r="J236" i="30"/>
  <c r="F240" i="30"/>
  <c r="J254" i="30"/>
  <c r="H253" i="30"/>
  <c r="L254" i="30"/>
  <c r="F274" i="30"/>
  <c r="J275" i="30"/>
  <c r="N276" i="30"/>
  <c r="L54" i="31"/>
  <c r="H56" i="31"/>
  <c r="H58" i="31"/>
  <c r="H78" i="31"/>
  <c r="J80" i="31"/>
  <c r="J84" i="31"/>
  <c r="N9" i="33"/>
  <c r="W32" i="35"/>
  <c r="V32" i="35"/>
  <c r="Q35" i="36"/>
  <c r="P35" i="36"/>
  <c r="F39" i="31"/>
  <c r="F41" i="31"/>
  <c r="F43" i="31"/>
  <c r="L64" i="31"/>
  <c r="L76" i="31"/>
  <c r="J82" i="31"/>
  <c r="F85" i="31"/>
  <c r="AB15" i="35"/>
  <c r="L260" i="30"/>
  <c r="H262" i="30"/>
  <c r="H274" i="30"/>
  <c r="L275" i="30"/>
  <c r="F53" i="31"/>
  <c r="N54" i="31"/>
  <c r="J56" i="31"/>
  <c r="J58" i="31"/>
  <c r="H60" i="31"/>
  <c r="H62" i="31"/>
  <c r="J78" i="31"/>
  <c r="L80" i="31"/>
  <c r="H280" i="30"/>
  <c r="F282" i="30"/>
  <c r="L285" i="30"/>
  <c r="J10" i="31"/>
  <c r="J12" i="31"/>
  <c r="F14" i="31"/>
  <c r="H18" i="31"/>
  <c r="H20" i="31"/>
  <c r="L33" i="31"/>
  <c r="H35" i="31"/>
  <c r="H37" i="31"/>
  <c r="H39" i="31"/>
  <c r="H41" i="31"/>
  <c r="L43" i="31"/>
  <c r="L82" i="31"/>
  <c r="N17" i="35"/>
  <c r="H213" i="30"/>
  <c r="J216" i="30"/>
  <c r="F218" i="30"/>
  <c r="L219" i="30"/>
  <c r="F230" i="30"/>
  <c r="J231" i="30"/>
  <c r="N232" i="30"/>
  <c r="F234" i="30"/>
  <c r="J235" i="30"/>
  <c r="F237" i="30"/>
  <c r="L238" i="30"/>
  <c r="H240" i="30"/>
  <c r="L58" i="31"/>
  <c r="J60" i="31"/>
  <c r="L78" i="31"/>
  <c r="N13" i="35"/>
  <c r="J14" i="36"/>
  <c r="I14" i="36"/>
  <c r="L10" i="31"/>
  <c r="L12" i="31"/>
  <c r="H14" i="31"/>
  <c r="F16" i="31"/>
  <c r="J18" i="31"/>
  <c r="J20" i="31"/>
  <c r="V13" i="35"/>
  <c r="H230" i="30"/>
  <c r="L231" i="30"/>
  <c r="H234" i="30"/>
  <c r="L235" i="30"/>
  <c r="H237" i="30"/>
  <c r="J240" i="30"/>
  <c r="H273" i="30"/>
  <c r="L274" i="30"/>
  <c r="F9" i="31"/>
  <c r="J53" i="31"/>
  <c r="L60" i="31"/>
  <c r="L87" i="31"/>
  <c r="AV13" i="35"/>
  <c r="AU13" i="35"/>
  <c r="AT13" i="35"/>
  <c r="AS13" i="35"/>
  <c r="AR13" i="35"/>
  <c r="J277" i="30"/>
  <c r="L280" i="30"/>
  <c r="J282" i="30"/>
  <c r="H284" i="30"/>
  <c r="F11" i="31"/>
  <c r="N12" i="31"/>
  <c r="J14" i="31"/>
  <c r="L16" i="31"/>
  <c r="L18" i="31"/>
  <c r="L20" i="31"/>
  <c r="H32" i="31"/>
  <c r="L37" i="31"/>
  <c r="L39" i="31"/>
  <c r="L85" i="31"/>
  <c r="N16" i="35"/>
  <c r="H196" i="30"/>
  <c r="H208" i="30"/>
  <c r="L209" i="30"/>
  <c r="H212" i="30"/>
  <c r="L213" i="30"/>
  <c r="H215" i="30"/>
  <c r="J218" i="30"/>
  <c r="F229" i="30"/>
  <c r="J230" i="30"/>
  <c r="H9" i="31"/>
  <c r="L53" i="31"/>
  <c r="L55" i="31"/>
  <c r="L83" i="31"/>
  <c r="V10" i="35"/>
  <c r="L9" i="31"/>
  <c r="H11" i="31"/>
  <c r="L14" i="31"/>
  <c r="V14" i="35"/>
  <c r="AV18" i="35"/>
  <c r="AU18" i="35"/>
  <c r="AT18" i="35"/>
  <c r="AS18" i="35"/>
  <c r="AR18" i="35"/>
  <c r="H186" i="30"/>
  <c r="L187" i="30"/>
  <c r="H190" i="30"/>
  <c r="L191" i="30"/>
  <c r="H193" i="30"/>
  <c r="J196" i="30"/>
  <c r="F207" i="30"/>
  <c r="L75" i="31"/>
  <c r="N9" i="31"/>
  <c r="J11" i="31"/>
  <c r="F13" i="31"/>
  <c r="F15" i="31"/>
  <c r="F17" i="31"/>
  <c r="F19" i="31"/>
  <c r="J21" i="31"/>
  <c r="L32" i="31"/>
  <c r="L34" i="31"/>
  <c r="L79" i="31"/>
  <c r="AV10" i="35"/>
  <c r="AU10" i="35"/>
  <c r="AT10" i="35"/>
  <c r="AS10" i="35"/>
  <c r="AR10" i="35"/>
  <c r="Q11" i="36"/>
  <c r="P11" i="36"/>
  <c r="F185" i="30"/>
  <c r="J186" i="30"/>
  <c r="N187" i="30"/>
  <c r="F189" i="30"/>
  <c r="J190" i="30"/>
  <c r="J193" i="30"/>
  <c r="F195" i="30"/>
  <c r="L196" i="30"/>
  <c r="L57" i="31"/>
  <c r="L59" i="31"/>
  <c r="L61" i="31"/>
  <c r="L63" i="31"/>
  <c r="L86" i="31"/>
  <c r="V15" i="35"/>
  <c r="AL39" i="35"/>
  <c r="AK39" i="35"/>
  <c r="L11" i="31"/>
  <c r="H13" i="31"/>
  <c r="H15" i="31"/>
  <c r="H17" i="31"/>
  <c r="H19" i="31"/>
  <c r="L21" i="31"/>
  <c r="L40" i="31"/>
  <c r="L42" i="31"/>
  <c r="V18" i="35"/>
  <c r="Q19" i="36"/>
  <c r="P19" i="36"/>
  <c r="J23" i="36"/>
  <c r="I23" i="36"/>
  <c r="V11" i="35"/>
  <c r="AL15" i="35"/>
  <c r="AK15" i="35"/>
  <c r="AJ15" i="35"/>
  <c r="AL16" i="35"/>
  <c r="AK16" i="35"/>
  <c r="AJ16" i="35"/>
  <c r="AL33" i="35"/>
  <c r="AK33" i="35"/>
  <c r="AL34" i="35"/>
  <c r="AK34" i="35"/>
  <c r="N8" i="41"/>
  <c r="L8" i="41"/>
  <c r="AL8" i="35"/>
  <c r="AK8" i="35"/>
  <c r="AJ8" i="35"/>
  <c r="V12" i="35"/>
  <c r="I37" i="35"/>
  <c r="H37" i="35"/>
  <c r="I36" i="35"/>
  <c r="H36" i="35"/>
  <c r="Q6" i="36"/>
  <c r="P6" i="36"/>
  <c r="Q8" i="36"/>
  <c r="P8" i="36"/>
  <c r="Q10" i="36"/>
  <c r="P10" i="36"/>
  <c r="J15" i="36"/>
  <c r="I15" i="36"/>
  <c r="J28" i="36"/>
  <c r="I28" i="36"/>
  <c r="V17" i="35"/>
  <c r="I6" i="36"/>
  <c r="J6" i="36"/>
  <c r="V8" i="35"/>
  <c r="AL9" i="35"/>
  <c r="AK9" i="35"/>
  <c r="AJ9" i="35"/>
  <c r="AL14" i="35"/>
  <c r="AK14" i="35"/>
  <c r="AJ14" i="35"/>
  <c r="AK32" i="35"/>
  <c r="AL32" i="35"/>
  <c r="AL30" i="35"/>
  <c r="AK30" i="35"/>
  <c r="AL31" i="35"/>
  <c r="AK31" i="35"/>
  <c r="J29" i="36"/>
  <c r="I29" i="36"/>
  <c r="J13" i="36"/>
  <c r="I13" i="36"/>
  <c r="Q30" i="36"/>
  <c r="P30" i="36"/>
  <c r="J44" i="36"/>
  <c r="I44" i="36"/>
  <c r="J11" i="36"/>
  <c r="I11" i="36"/>
  <c r="J9" i="31"/>
  <c r="N10" i="31"/>
  <c r="F12" i="31"/>
  <c r="J13" i="31"/>
  <c r="N14" i="31"/>
  <c r="H16" i="31"/>
  <c r="J19" i="31"/>
  <c r="F21" i="31"/>
  <c r="AL36" i="35"/>
  <c r="AK36" i="35"/>
  <c r="L38" i="31"/>
  <c r="V16" i="35"/>
  <c r="I16" i="36"/>
  <c r="J16" i="36"/>
  <c r="H12" i="31"/>
  <c r="L13" i="31"/>
  <c r="J16" i="31"/>
  <c r="F18" i="31"/>
  <c r="L19" i="31"/>
  <c r="H21" i="31"/>
  <c r="AK40" i="35"/>
  <c r="AL40" i="35"/>
  <c r="J39" i="36"/>
  <c r="I39" i="36"/>
  <c r="J48" i="36"/>
  <c r="I48" i="36"/>
  <c r="J10" i="37"/>
  <c r="I10" i="37"/>
  <c r="T7" i="43"/>
  <c r="R7" i="43"/>
  <c r="S7" i="43"/>
  <c r="Q7" i="43"/>
  <c r="P7" i="43"/>
  <c r="J46" i="36"/>
  <c r="I46" i="36"/>
  <c r="J16" i="37"/>
  <c r="I16" i="37"/>
  <c r="J47" i="37"/>
  <c r="I47" i="37"/>
  <c r="Q7" i="37"/>
  <c r="P7" i="37"/>
  <c r="Q45" i="37"/>
  <c r="P45" i="37"/>
  <c r="O137" i="40"/>
  <c r="K137" i="40"/>
  <c r="N137" i="40"/>
  <c r="M137" i="40"/>
  <c r="L137" i="40"/>
  <c r="T7" i="42"/>
  <c r="R7" i="42"/>
  <c r="AA19" i="42"/>
  <c r="S7" i="42"/>
  <c r="Q7" i="42"/>
  <c r="P7" i="42"/>
  <c r="J22" i="36"/>
  <c r="I22" i="36"/>
  <c r="J31" i="36"/>
  <c r="I31" i="36"/>
  <c r="Q37" i="37"/>
  <c r="P37" i="37"/>
  <c r="J46" i="37"/>
  <c r="I46" i="37"/>
  <c r="J27" i="36"/>
  <c r="I27" i="36"/>
  <c r="J36" i="36"/>
  <c r="I36" i="36"/>
  <c r="P25" i="37"/>
  <c r="Q25" i="37"/>
  <c r="AL37" i="35"/>
  <c r="AK37" i="35"/>
  <c r="I12" i="36"/>
  <c r="J12" i="36"/>
  <c r="J21" i="36"/>
  <c r="I21" i="36"/>
  <c r="J31" i="37"/>
  <c r="I31" i="37"/>
  <c r="J43" i="36"/>
  <c r="I43" i="36"/>
  <c r="J20" i="36"/>
  <c r="I20" i="36"/>
  <c r="J26" i="36"/>
  <c r="I26" i="36"/>
  <c r="I38" i="36"/>
  <c r="J38" i="36"/>
  <c r="Q50" i="37"/>
  <c r="P50" i="37"/>
  <c r="Q8" i="37"/>
  <c r="P8" i="37"/>
  <c r="Q17" i="37"/>
  <c r="P17" i="37"/>
  <c r="J26" i="37"/>
  <c r="I26" i="37"/>
  <c r="I32" i="37"/>
  <c r="J32" i="37"/>
  <c r="H6" i="39"/>
  <c r="G6" i="39"/>
  <c r="F10" i="40"/>
  <c r="G10" i="40" s="1"/>
  <c r="H10" i="40" s="1"/>
  <c r="I10" i="40" s="1"/>
  <c r="J10" i="40" s="1"/>
  <c r="K10" i="40" s="1"/>
  <c r="L10" i="40" s="1"/>
  <c r="M10" i="40" s="1"/>
  <c r="N10" i="40" s="1"/>
  <c r="O10" i="40" s="1"/>
  <c r="P10" i="40" s="1"/>
  <c r="Q10" i="40" s="1"/>
  <c r="R10" i="40" s="1"/>
  <c r="S10" i="40" s="1"/>
  <c r="T10" i="40" s="1"/>
  <c r="J10" i="36"/>
  <c r="I10" i="36"/>
  <c r="I18" i="37"/>
  <c r="J18" i="37"/>
  <c r="I7" i="39"/>
  <c r="H7" i="39"/>
  <c r="G7" i="39"/>
  <c r="Q18" i="37"/>
  <c r="P18" i="37"/>
  <c r="L8" i="39"/>
  <c r="K8" i="39"/>
  <c r="M8" i="39"/>
  <c r="J9" i="37"/>
  <c r="I9" i="37"/>
  <c r="F11" i="39"/>
  <c r="I9" i="39"/>
  <c r="H9" i="39"/>
  <c r="G9" i="39"/>
  <c r="P9" i="37"/>
  <c r="Q9" i="37"/>
  <c r="J15" i="37"/>
  <c r="I15" i="37"/>
  <c r="J34" i="37"/>
  <c r="I34" i="37"/>
  <c r="Q6" i="37"/>
  <c r="P6" i="37"/>
  <c r="Q23" i="37"/>
  <c r="P23" i="37"/>
  <c r="J19" i="37"/>
  <c r="I19" i="37"/>
  <c r="E11" i="39"/>
  <c r="F12" i="40"/>
  <c r="N6" i="41"/>
  <c r="M6" i="41"/>
  <c r="L6" i="41"/>
  <c r="J17" i="37"/>
  <c r="I17" i="37"/>
  <c r="I134" i="42"/>
  <c r="G134" i="42"/>
  <c r="H134" i="42"/>
  <c r="Q43" i="37"/>
  <c r="P43" i="37"/>
  <c r="F6" i="40"/>
  <c r="R8" i="42"/>
  <c r="P8" i="42"/>
  <c r="T8" i="42"/>
  <c r="S8" i="42"/>
  <c r="Q8" i="42"/>
  <c r="O145" i="44"/>
  <c r="N145" i="44"/>
  <c r="M145" i="44"/>
  <c r="L145" i="44"/>
  <c r="L6" i="39"/>
  <c r="K6" i="39"/>
  <c r="M9" i="41"/>
  <c r="J9" i="41"/>
  <c r="H9" i="41"/>
  <c r="I9" i="41"/>
  <c r="J13" i="37"/>
  <c r="I13" i="37"/>
  <c r="I8" i="39"/>
  <c r="H8" i="39"/>
  <c r="G8" i="39"/>
  <c r="H10" i="43"/>
  <c r="J10" i="43"/>
  <c r="I10" i="43"/>
  <c r="F129" i="39"/>
  <c r="I127" i="39"/>
  <c r="H127" i="39"/>
  <c r="G127" i="39"/>
  <c r="H125" i="39"/>
  <c r="I125" i="39"/>
  <c r="G125" i="39"/>
  <c r="I135" i="40"/>
  <c r="H135" i="40"/>
  <c r="G135" i="40"/>
  <c r="J27" i="37"/>
  <c r="I27" i="37"/>
  <c r="S6" i="41"/>
  <c r="R6" i="41"/>
  <c r="P6" i="41"/>
  <c r="T6" i="41"/>
  <c r="Q6" i="41"/>
  <c r="F10" i="41"/>
  <c r="J7" i="44"/>
  <c r="H7" i="44"/>
  <c r="I7" i="44"/>
  <c r="J8" i="37"/>
  <c r="I8" i="37"/>
  <c r="M9" i="40"/>
  <c r="I9" i="40"/>
  <c r="J9" i="40"/>
  <c r="H9" i="40"/>
  <c r="J11" i="40"/>
  <c r="I11" i="40"/>
  <c r="H11" i="40"/>
  <c r="H136" i="40"/>
  <c r="I136" i="40"/>
  <c r="G136" i="40"/>
  <c r="H10" i="42"/>
  <c r="J10" i="42"/>
  <c r="I10" i="42"/>
  <c r="F14" i="43"/>
  <c r="N10" i="44"/>
  <c r="M10" i="44"/>
  <c r="L10" i="44"/>
  <c r="J6" i="37"/>
  <c r="I6" i="37"/>
  <c r="I126" i="39"/>
  <c r="H126" i="39"/>
  <c r="G126" i="39"/>
  <c r="M7" i="40"/>
  <c r="N7" i="40"/>
  <c r="L7" i="40"/>
  <c r="N11" i="40"/>
  <c r="M11" i="40"/>
  <c r="L11" i="40"/>
  <c r="F9" i="41"/>
  <c r="N7" i="41"/>
  <c r="L7" i="41"/>
  <c r="M7" i="41"/>
  <c r="J14" i="43"/>
  <c r="I14" i="43"/>
  <c r="H14" i="43"/>
  <c r="I139" i="45"/>
  <c r="H139" i="45"/>
  <c r="G139" i="45"/>
  <c r="M7" i="39"/>
  <c r="L7" i="39"/>
  <c r="K7" i="39"/>
  <c r="H10" i="39"/>
  <c r="G10" i="39"/>
  <c r="I10" i="39"/>
  <c r="N9" i="40"/>
  <c r="L9" i="40"/>
  <c r="O136" i="40"/>
  <c r="M136" i="40"/>
  <c r="L136" i="40"/>
  <c r="N136" i="40"/>
  <c r="K136" i="40"/>
  <c r="O135" i="41"/>
  <c r="N135" i="41"/>
  <c r="M135" i="41"/>
  <c r="L135" i="41"/>
  <c r="K135" i="41"/>
  <c r="F14" i="44"/>
  <c r="C11" i="39"/>
  <c r="M8" i="41"/>
  <c r="J8" i="41"/>
  <c r="H8" i="41"/>
  <c r="I8" i="41"/>
  <c r="T14" i="43"/>
  <c r="P14" i="43"/>
  <c r="S14" i="43"/>
  <c r="R14" i="43"/>
  <c r="Q14" i="43"/>
  <c r="N15" i="43"/>
  <c r="L15" i="43"/>
  <c r="M15" i="43"/>
  <c r="I142" i="43"/>
  <c r="H142" i="43"/>
  <c r="G142" i="43"/>
  <c r="D11" i="39"/>
  <c r="T10" i="39"/>
  <c r="S10" i="39"/>
  <c r="R10" i="39"/>
  <c r="Q10" i="39"/>
  <c r="O10" i="39"/>
  <c r="P10" i="39"/>
  <c r="I136" i="41"/>
  <c r="H136" i="41"/>
  <c r="G136" i="41"/>
  <c r="N8" i="40"/>
  <c r="L8" i="40"/>
  <c r="F11" i="40"/>
  <c r="O137" i="41"/>
  <c r="N137" i="41"/>
  <c r="M137" i="41"/>
  <c r="L137" i="41"/>
  <c r="K137" i="41"/>
  <c r="F12" i="42"/>
  <c r="J10" i="41"/>
  <c r="I10" i="41"/>
  <c r="H10" i="41"/>
  <c r="F11" i="41"/>
  <c r="N10" i="43"/>
  <c r="L10" i="43"/>
  <c r="M10" i="43"/>
  <c r="I137" i="43"/>
  <c r="H137" i="43"/>
  <c r="G137" i="43"/>
  <c r="I135" i="41"/>
  <c r="H135" i="41"/>
  <c r="G135" i="41"/>
  <c r="F11" i="42"/>
  <c r="J12" i="42"/>
  <c r="H12" i="42"/>
  <c r="I12" i="42"/>
  <c r="J9" i="43"/>
  <c r="H9" i="43"/>
  <c r="I9" i="43"/>
  <c r="L9" i="41"/>
  <c r="N9" i="41"/>
  <c r="I11" i="41"/>
  <c r="H11" i="41"/>
  <c r="J11" i="41"/>
  <c r="F12" i="41"/>
  <c r="O136" i="41"/>
  <c r="N136" i="41"/>
  <c r="L136" i="41"/>
  <c r="K136" i="41"/>
  <c r="M136" i="41"/>
  <c r="J11" i="42"/>
  <c r="I11" i="42"/>
  <c r="H11" i="42"/>
  <c r="I136" i="42"/>
  <c r="G136" i="42"/>
  <c r="H136" i="42"/>
  <c r="H13" i="43"/>
  <c r="J13" i="43"/>
  <c r="I13" i="43"/>
  <c r="N137" i="43"/>
  <c r="L137" i="43"/>
  <c r="O137" i="43"/>
  <c r="M137" i="43"/>
  <c r="O142" i="43"/>
  <c r="M142" i="43"/>
  <c r="N142" i="43"/>
  <c r="L142" i="43"/>
  <c r="J12" i="40"/>
  <c r="H12" i="40"/>
  <c r="I12" i="40"/>
  <c r="I134" i="40"/>
  <c r="G134" i="40"/>
  <c r="H134" i="40"/>
  <c r="N12" i="42"/>
  <c r="M12" i="42"/>
  <c r="L12" i="42"/>
  <c r="L139" i="43"/>
  <c r="O139" i="43"/>
  <c r="N139" i="43"/>
  <c r="M139" i="43"/>
  <c r="C16" i="44"/>
  <c r="F8" i="44"/>
  <c r="O135" i="40"/>
  <c r="N135" i="40"/>
  <c r="M135" i="40"/>
  <c r="L135" i="40"/>
  <c r="K135" i="40"/>
  <c r="N10" i="41"/>
  <c r="M10" i="41"/>
  <c r="L10" i="41"/>
  <c r="J12" i="41"/>
  <c r="I12" i="41"/>
  <c r="H12" i="41"/>
  <c r="I134" i="41"/>
  <c r="H134" i="41"/>
  <c r="G134" i="41"/>
  <c r="O136" i="42"/>
  <c r="M136" i="42"/>
  <c r="N136" i="42"/>
  <c r="L136" i="42"/>
  <c r="K136" i="42"/>
  <c r="I138" i="42"/>
  <c r="H138" i="42"/>
  <c r="G138" i="42"/>
  <c r="I140" i="43"/>
  <c r="G140" i="43"/>
  <c r="H140" i="43"/>
  <c r="D16" i="44"/>
  <c r="T8" i="44"/>
  <c r="R8" i="44"/>
  <c r="S8" i="44"/>
  <c r="Q8" i="44"/>
  <c r="P8" i="44"/>
  <c r="N11" i="44"/>
  <c r="M11" i="44"/>
  <c r="L11" i="44"/>
  <c r="J6" i="42"/>
  <c r="I6" i="42"/>
  <c r="H6" i="42"/>
  <c r="J7" i="42"/>
  <c r="I7" i="42"/>
  <c r="H7" i="42"/>
  <c r="M8" i="42"/>
  <c r="J8" i="42"/>
  <c r="I8" i="42"/>
  <c r="H8" i="42"/>
  <c r="J9" i="42"/>
  <c r="M9" i="42"/>
  <c r="I9" i="42"/>
  <c r="H9" i="42"/>
  <c r="L11" i="42"/>
  <c r="N11" i="42"/>
  <c r="M11" i="42"/>
  <c r="J8" i="43"/>
  <c r="H8" i="43"/>
  <c r="I8" i="43"/>
  <c r="N13" i="43"/>
  <c r="M13" i="43"/>
  <c r="L13" i="43"/>
  <c r="E16" i="44"/>
  <c r="F16" i="44" s="1"/>
  <c r="F6" i="44"/>
  <c r="T11" i="44"/>
  <c r="S11" i="44"/>
  <c r="R11" i="44"/>
  <c r="Q11" i="44"/>
  <c r="P11" i="44"/>
  <c r="N11" i="41"/>
  <c r="M11" i="41"/>
  <c r="L11" i="41"/>
  <c r="N143" i="43"/>
  <c r="O143" i="43"/>
  <c r="M143" i="43"/>
  <c r="L143" i="43"/>
  <c r="G16" i="44"/>
  <c r="J6" i="44"/>
  <c r="H6" i="44"/>
  <c r="I6" i="44"/>
  <c r="J12" i="44"/>
  <c r="I12" i="44"/>
  <c r="H12" i="44"/>
  <c r="O139" i="44"/>
  <c r="N139" i="44"/>
  <c r="M139" i="44"/>
  <c r="L139" i="44"/>
  <c r="D13" i="46"/>
  <c r="R6" i="39"/>
  <c r="Q6" i="39"/>
  <c r="P6" i="39"/>
  <c r="O6" i="39"/>
  <c r="S7" i="39"/>
  <c r="R7" i="39"/>
  <c r="Q7" i="39"/>
  <c r="P7" i="39"/>
  <c r="O7" i="39"/>
  <c r="T7" i="39"/>
  <c r="J11" i="39"/>
  <c r="M9" i="39"/>
  <c r="L9" i="39"/>
  <c r="K9" i="39"/>
  <c r="N12" i="40"/>
  <c r="M12" i="40"/>
  <c r="L12" i="40"/>
  <c r="I138" i="40"/>
  <c r="H138" i="40"/>
  <c r="G138" i="40"/>
  <c r="T12" i="42"/>
  <c r="S12" i="42"/>
  <c r="R12" i="42"/>
  <c r="Q12" i="42"/>
  <c r="P12" i="42"/>
  <c r="O138" i="43"/>
  <c r="N138" i="43"/>
  <c r="M138" i="43"/>
  <c r="L138" i="43"/>
  <c r="D21" i="46"/>
  <c r="J6" i="41"/>
  <c r="I6" i="41"/>
  <c r="H6" i="41"/>
  <c r="F7" i="41"/>
  <c r="N12" i="41"/>
  <c r="M12" i="41"/>
  <c r="L12" i="41"/>
  <c r="N134" i="41"/>
  <c r="M134" i="41"/>
  <c r="L134" i="41"/>
  <c r="K134" i="41"/>
  <c r="O134" i="41"/>
  <c r="I138" i="41"/>
  <c r="H138" i="41"/>
  <c r="G138" i="41"/>
  <c r="N9" i="42"/>
  <c r="L9" i="42"/>
  <c r="S11" i="42"/>
  <c r="R11" i="42"/>
  <c r="Q11" i="42"/>
  <c r="P11" i="42"/>
  <c r="T11" i="42"/>
  <c r="O138" i="42"/>
  <c r="M138" i="42"/>
  <c r="N138" i="42"/>
  <c r="L138" i="42"/>
  <c r="K138" i="42"/>
  <c r="E146" i="43"/>
  <c r="K16" i="44"/>
  <c r="N6" i="44"/>
  <c r="M6" i="44"/>
  <c r="L6" i="44"/>
  <c r="Q8" i="39"/>
  <c r="P8" i="39"/>
  <c r="O8" i="39"/>
  <c r="T8" i="39"/>
  <c r="S8" i="39"/>
  <c r="R8" i="39"/>
  <c r="M10" i="39"/>
  <c r="L10" i="39"/>
  <c r="K10" i="39"/>
  <c r="C129" i="39"/>
  <c r="R11" i="40"/>
  <c r="Q11" i="40"/>
  <c r="P11" i="40"/>
  <c r="T11" i="40"/>
  <c r="S11" i="40"/>
  <c r="I136" i="43"/>
  <c r="H136" i="43"/>
  <c r="K136" i="43" s="1"/>
  <c r="G136" i="43"/>
  <c r="F146" i="43"/>
  <c r="F13" i="44"/>
  <c r="I145" i="45"/>
  <c r="G145" i="45"/>
  <c r="H145" i="45"/>
  <c r="D14" i="47"/>
  <c r="H137" i="40"/>
  <c r="G137" i="40"/>
  <c r="I137" i="40"/>
  <c r="Q11" i="41"/>
  <c r="P11" i="41"/>
  <c r="T11" i="41"/>
  <c r="S11" i="41"/>
  <c r="R11" i="41"/>
  <c r="H141" i="43"/>
  <c r="K141" i="43" s="1"/>
  <c r="I141" i="43"/>
  <c r="G141" i="43"/>
  <c r="O9" i="39"/>
  <c r="N11" i="39"/>
  <c r="S9" i="39"/>
  <c r="R9" i="39"/>
  <c r="Q9" i="39"/>
  <c r="P9" i="39"/>
  <c r="T9" i="39"/>
  <c r="E129" i="39"/>
  <c r="L6" i="40"/>
  <c r="N6" i="40"/>
  <c r="M6" i="40"/>
  <c r="P12" i="40"/>
  <c r="S12" i="40"/>
  <c r="T12" i="40"/>
  <c r="R12" i="40"/>
  <c r="Q12" i="40"/>
  <c r="K138" i="40"/>
  <c r="N138" i="40"/>
  <c r="O138" i="40"/>
  <c r="M138" i="40"/>
  <c r="L138" i="40"/>
  <c r="G137" i="41"/>
  <c r="I137" i="41"/>
  <c r="H137" i="41"/>
  <c r="G137" i="42"/>
  <c r="I137" i="42"/>
  <c r="H137" i="42"/>
  <c r="T9" i="44"/>
  <c r="R9" i="44"/>
  <c r="P9" i="44"/>
  <c r="Q9" i="44"/>
  <c r="S9" i="44"/>
  <c r="J13" i="44"/>
  <c r="I13" i="44"/>
  <c r="H13" i="44"/>
  <c r="H139" i="44"/>
  <c r="G139" i="44"/>
  <c r="I139" i="44"/>
  <c r="T12" i="41"/>
  <c r="S12" i="41"/>
  <c r="R12" i="41"/>
  <c r="P12" i="41"/>
  <c r="Q12" i="41"/>
  <c r="O138" i="41"/>
  <c r="N138" i="41"/>
  <c r="M138" i="41"/>
  <c r="L138" i="41"/>
  <c r="K138" i="41"/>
  <c r="N136" i="43"/>
  <c r="M136" i="43"/>
  <c r="J146" i="43"/>
  <c r="O136" i="43"/>
  <c r="L136" i="43"/>
  <c r="F7" i="44"/>
  <c r="I143" i="44"/>
  <c r="H143" i="44"/>
  <c r="G143" i="44"/>
  <c r="D15" i="48"/>
  <c r="I138" i="44"/>
  <c r="H138" i="44"/>
  <c r="G138" i="44"/>
  <c r="T6" i="45"/>
  <c r="O16" i="45"/>
  <c r="S6" i="45"/>
  <c r="R6" i="45"/>
  <c r="Q6" i="45"/>
  <c r="P6" i="45"/>
  <c r="N8" i="45"/>
  <c r="M8" i="45"/>
  <c r="L8" i="45"/>
  <c r="J10" i="45"/>
  <c r="I10" i="45"/>
  <c r="H10" i="45"/>
  <c r="F11" i="45"/>
  <c r="T14" i="45"/>
  <c r="S14" i="45"/>
  <c r="R14" i="45"/>
  <c r="Q14" i="45"/>
  <c r="P14" i="45"/>
  <c r="O144" i="44"/>
  <c r="N144" i="44"/>
  <c r="M144" i="44"/>
  <c r="L144" i="44"/>
  <c r="T7" i="45"/>
  <c r="S7" i="45"/>
  <c r="R7" i="45"/>
  <c r="Q7" i="45"/>
  <c r="P7" i="45"/>
  <c r="N9" i="45"/>
  <c r="M9" i="45"/>
  <c r="L9" i="45"/>
  <c r="J11" i="45"/>
  <c r="I11" i="45"/>
  <c r="H11" i="45"/>
  <c r="F12" i="45"/>
  <c r="T15" i="45"/>
  <c r="S15" i="45"/>
  <c r="R15" i="45"/>
  <c r="Q15" i="45"/>
  <c r="P15" i="45"/>
  <c r="I144" i="45"/>
  <c r="H144" i="45"/>
  <c r="G144" i="45"/>
  <c r="I137" i="44"/>
  <c r="H137" i="44"/>
  <c r="G137" i="44"/>
  <c r="D14" i="46"/>
  <c r="D15" i="47"/>
  <c r="D8" i="48"/>
  <c r="D16" i="48"/>
  <c r="T10" i="44"/>
  <c r="S10" i="44"/>
  <c r="R10" i="44"/>
  <c r="P10" i="44"/>
  <c r="Q10" i="44"/>
  <c r="N12" i="44"/>
  <c r="M12" i="44"/>
  <c r="L12" i="44"/>
  <c r="J14" i="44"/>
  <c r="I14" i="44"/>
  <c r="H14" i="44"/>
  <c r="F15" i="44"/>
  <c r="D146" i="44"/>
  <c r="O138" i="44"/>
  <c r="N138" i="44"/>
  <c r="M138" i="44"/>
  <c r="L138" i="44"/>
  <c r="I142" i="44"/>
  <c r="H142" i="44"/>
  <c r="G142" i="44"/>
  <c r="C16" i="45"/>
  <c r="T8" i="45"/>
  <c r="S8" i="45"/>
  <c r="R8" i="45"/>
  <c r="Q8" i="45"/>
  <c r="P8" i="45"/>
  <c r="N10" i="45"/>
  <c r="M10" i="45"/>
  <c r="L10" i="45"/>
  <c r="J12" i="45"/>
  <c r="I12" i="45"/>
  <c r="H12" i="45"/>
  <c r="F13" i="45"/>
  <c r="I138" i="45"/>
  <c r="H138" i="45"/>
  <c r="G138" i="45"/>
  <c r="O143" i="44"/>
  <c r="N143" i="44"/>
  <c r="M143" i="44"/>
  <c r="L143" i="44"/>
  <c r="D16" i="45"/>
  <c r="I143" i="45"/>
  <c r="H143" i="45"/>
  <c r="G143" i="45"/>
  <c r="D15" i="46"/>
  <c r="D8" i="47"/>
  <c r="D16" i="47"/>
  <c r="D9" i="48"/>
  <c r="D17" i="48"/>
  <c r="N13" i="44"/>
  <c r="M13" i="44"/>
  <c r="L13" i="44"/>
  <c r="J15" i="44"/>
  <c r="I15" i="44"/>
  <c r="H15" i="44"/>
  <c r="I136" i="44"/>
  <c r="F146" i="44"/>
  <c r="H136" i="44"/>
  <c r="K136" i="44" s="1"/>
  <c r="G136" i="44"/>
  <c r="E16" i="45"/>
  <c r="F16" i="45" s="1"/>
  <c r="F6" i="45"/>
  <c r="T9" i="45"/>
  <c r="S9" i="45"/>
  <c r="R9" i="45"/>
  <c r="Q9" i="45"/>
  <c r="P9" i="45"/>
  <c r="N11" i="45"/>
  <c r="M11" i="45"/>
  <c r="L11" i="45"/>
  <c r="J13" i="45"/>
  <c r="I13" i="45"/>
  <c r="H13" i="45"/>
  <c r="F14" i="45"/>
  <c r="L137" i="42"/>
  <c r="O137" i="42"/>
  <c r="N137" i="42"/>
  <c r="M137" i="42"/>
  <c r="K137" i="42"/>
  <c r="O141" i="43"/>
  <c r="N141" i="43"/>
  <c r="M141" i="43"/>
  <c r="L141" i="43"/>
  <c r="O137" i="44"/>
  <c r="N137" i="44"/>
  <c r="M137" i="44"/>
  <c r="L137" i="44"/>
  <c r="I141" i="44"/>
  <c r="H141" i="44"/>
  <c r="G141" i="44"/>
  <c r="C146" i="45"/>
  <c r="I137" i="45"/>
  <c r="H137" i="45"/>
  <c r="G137" i="45"/>
  <c r="D8" i="46"/>
  <c r="D16" i="46"/>
  <c r="D9" i="47"/>
  <c r="D17" i="47"/>
  <c r="D10" i="48"/>
  <c r="D18" i="48"/>
  <c r="J8" i="44"/>
  <c r="I8" i="44"/>
  <c r="H8" i="44"/>
  <c r="F9" i="44"/>
  <c r="T12" i="44"/>
  <c r="S12" i="44"/>
  <c r="R12" i="44"/>
  <c r="Q12" i="44"/>
  <c r="P12" i="44"/>
  <c r="N14" i="44"/>
  <c r="M14" i="44"/>
  <c r="L14" i="44"/>
  <c r="O142" i="44"/>
  <c r="N142" i="44"/>
  <c r="M142" i="44"/>
  <c r="L142" i="44"/>
  <c r="G16" i="45"/>
  <c r="J6" i="45"/>
  <c r="I6" i="45"/>
  <c r="H6" i="45"/>
  <c r="F7" i="45"/>
  <c r="T10" i="45"/>
  <c r="S10" i="45"/>
  <c r="R10" i="45"/>
  <c r="Q10" i="45"/>
  <c r="P10" i="45"/>
  <c r="N12" i="45"/>
  <c r="M12" i="45"/>
  <c r="L12" i="45"/>
  <c r="J14" i="45"/>
  <c r="I14" i="45"/>
  <c r="H14" i="45"/>
  <c r="F15" i="45"/>
  <c r="D146" i="45"/>
  <c r="I135" i="42"/>
  <c r="H135" i="42"/>
  <c r="G135" i="42"/>
  <c r="E146" i="45"/>
  <c r="D9" i="46"/>
  <c r="D17" i="46"/>
  <c r="D10" i="47"/>
  <c r="D18" i="47"/>
  <c r="D11" i="48"/>
  <c r="D19" i="48"/>
  <c r="O140" i="43"/>
  <c r="N140" i="43"/>
  <c r="M140" i="43"/>
  <c r="L140" i="43"/>
  <c r="N7" i="44"/>
  <c r="M7" i="44"/>
  <c r="L7" i="44"/>
  <c r="J9" i="44"/>
  <c r="I9" i="44"/>
  <c r="H9" i="44"/>
  <c r="F10" i="44"/>
  <c r="T13" i="44"/>
  <c r="S13" i="44"/>
  <c r="R13" i="44"/>
  <c r="Q13" i="44"/>
  <c r="P13" i="44"/>
  <c r="N15" i="44"/>
  <c r="M15" i="44"/>
  <c r="L15" i="44"/>
  <c r="O136" i="44"/>
  <c r="N136" i="44"/>
  <c r="M136" i="44"/>
  <c r="J146" i="44"/>
  <c r="L136" i="44"/>
  <c r="I140" i="44"/>
  <c r="H140" i="44"/>
  <c r="G140" i="44"/>
  <c r="J7" i="45"/>
  <c r="I7" i="45"/>
  <c r="H7" i="45"/>
  <c r="F8" i="45"/>
  <c r="T11" i="45"/>
  <c r="S11" i="45"/>
  <c r="R11" i="45"/>
  <c r="Q11" i="45"/>
  <c r="P11" i="45"/>
  <c r="N13" i="45"/>
  <c r="M13" i="45"/>
  <c r="L13" i="45"/>
  <c r="J15" i="45"/>
  <c r="I15" i="45"/>
  <c r="H15" i="45"/>
  <c r="D10" i="46"/>
  <c r="D18" i="46"/>
  <c r="D11" i="47"/>
  <c r="D19" i="47"/>
  <c r="D12" i="48"/>
  <c r="D20" i="48"/>
  <c r="R6" i="44"/>
  <c r="Q6" i="44"/>
  <c r="P6" i="44"/>
  <c r="T6" i="44"/>
  <c r="S6" i="44"/>
  <c r="O16" i="44"/>
  <c r="N8" i="44"/>
  <c r="M8" i="44"/>
  <c r="L8" i="44"/>
  <c r="J10" i="44"/>
  <c r="I10" i="44"/>
  <c r="H10" i="44"/>
  <c r="F11" i="44"/>
  <c r="R14" i="44"/>
  <c r="Q14" i="44"/>
  <c r="P14" i="44"/>
  <c r="T14" i="44"/>
  <c r="S14" i="44"/>
  <c r="N6" i="45"/>
  <c r="M6" i="45"/>
  <c r="L6" i="45"/>
  <c r="K16" i="45"/>
  <c r="J8" i="45"/>
  <c r="I8" i="45"/>
  <c r="H8" i="45"/>
  <c r="F9" i="45"/>
  <c r="R12" i="45"/>
  <c r="Q12" i="45"/>
  <c r="P12" i="45"/>
  <c r="S12" i="45"/>
  <c r="T12" i="45"/>
  <c r="N14" i="45"/>
  <c r="M14" i="45"/>
  <c r="L14" i="45"/>
  <c r="L135" i="42"/>
  <c r="M135" i="42"/>
  <c r="K135" i="42"/>
  <c r="O135" i="42"/>
  <c r="N135" i="42"/>
  <c r="D11" i="46"/>
  <c r="D19" i="46"/>
  <c r="D12" i="47"/>
  <c r="D20" i="47"/>
  <c r="D13" i="48"/>
  <c r="D21" i="48"/>
  <c r="L144" i="43"/>
  <c r="O144" i="43"/>
  <c r="M144" i="43"/>
  <c r="N144" i="43"/>
  <c r="P7" i="44"/>
  <c r="T7" i="44"/>
  <c r="S7" i="44"/>
  <c r="R7" i="44"/>
  <c r="Q7" i="44"/>
  <c r="L9" i="44"/>
  <c r="N9" i="44"/>
  <c r="M9" i="44"/>
  <c r="H11" i="44"/>
  <c r="J11" i="44"/>
  <c r="I11" i="44"/>
  <c r="F12" i="44"/>
  <c r="P15" i="44"/>
  <c r="T15" i="44"/>
  <c r="S15" i="44"/>
  <c r="R15" i="44"/>
  <c r="Q15" i="44"/>
  <c r="O140" i="44"/>
  <c r="L140" i="44"/>
  <c r="N140" i="44"/>
  <c r="M140" i="44"/>
  <c r="G144" i="44"/>
  <c r="H144" i="44"/>
  <c r="I144" i="44"/>
  <c r="L7" i="45"/>
  <c r="M7" i="45"/>
  <c r="N7" i="45"/>
  <c r="H9" i="45"/>
  <c r="I9" i="45"/>
  <c r="J9" i="45"/>
  <c r="F10" i="45"/>
  <c r="P13" i="45"/>
  <c r="T13" i="45"/>
  <c r="S13" i="45"/>
  <c r="Q13" i="45"/>
  <c r="R13" i="45"/>
  <c r="L15" i="45"/>
  <c r="M15" i="45"/>
  <c r="N15" i="45"/>
  <c r="D12" i="46"/>
  <c r="D20" i="46"/>
  <c r="D13" i="47"/>
  <c r="D21" i="47"/>
  <c r="D14" i="48"/>
  <c r="E17" i="2"/>
  <c r="F17" i="2"/>
  <c r="G17" i="2"/>
  <c r="J6" i="2"/>
  <c r="I6" i="6"/>
  <c r="K6" i="2"/>
  <c r="J6" i="3"/>
  <c r="J152" i="3"/>
  <c r="J31" i="2"/>
  <c r="F18" i="2"/>
  <c r="K31" i="2"/>
  <c r="K6" i="3"/>
  <c r="K152" i="3"/>
  <c r="E18" i="2"/>
  <c r="G18" i="2"/>
  <c r="L31" i="2"/>
  <c r="L6" i="3"/>
  <c r="J79" i="3"/>
  <c r="L152" i="3"/>
  <c r="L6" i="2"/>
  <c r="H18" i="2"/>
  <c r="K79" i="3"/>
  <c r="M6" i="5"/>
  <c r="K6" i="5"/>
  <c r="J6" i="5"/>
  <c r="I6" i="5"/>
  <c r="J6" i="6"/>
  <c r="Q6" i="6"/>
  <c r="R6" i="6"/>
  <c r="S6" i="5"/>
  <c r="I73" i="10"/>
  <c r="L74" i="10"/>
  <c r="L83" i="10"/>
  <c r="L80" i="10"/>
  <c r="L76" i="10"/>
  <c r="L40" i="10"/>
  <c r="L30" i="10"/>
  <c r="L59" i="10"/>
  <c r="L55" i="10"/>
  <c r="L86" i="10"/>
  <c r="L43" i="10"/>
  <c r="L34" i="10"/>
  <c r="L62" i="10"/>
  <c r="L81" i="10"/>
  <c r="L77" i="10"/>
  <c r="L38" i="10"/>
  <c r="L35" i="10"/>
  <c r="H16" i="10"/>
  <c r="N34" i="10"/>
  <c r="N52" i="10"/>
  <c r="N56" i="10"/>
  <c r="L78" i="10"/>
  <c r="L85" i="10"/>
  <c r="L42" i="10"/>
  <c r="L54" i="10"/>
  <c r="H9" i="10"/>
  <c r="N30" i="10"/>
  <c r="L58" i="10"/>
  <c r="F55" i="12"/>
  <c r="F53" i="12"/>
  <c r="L32" i="10"/>
  <c r="N54" i="10"/>
  <c r="L60" i="10"/>
  <c r="D8" i="10"/>
  <c r="F17" i="10"/>
  <c r="F19" i="10"/>
  <c r="L56" i="10"/>
  <c r="K5" i="12"/>
  <c r="F8" i="10"/>
  <c r="F15" i="10"/>
  <c r="F11" i="10"/>
  <c r="F18" i="10"/>
  <c r="H18" i="10"/>
  <c r="H21" i="10"/>
  <c r="H12" i="10"/>
  <c r="H13" i="10"/>
  <c r="H15" i="10"/>
  <c r="H17" i="10"/>
  <c r="H19" i="10"/>
  <c r="L65" i="10"/>
  <c r="L75" i="10"/>
  <c r="J21" i="10"/>
  <c r="J12" i="10"/>
  <c r="J16" i="10"/>
  <c r="L36" i="10"/>
  <c r="L63" i="10"/>
  <c r="L79" i="10"/>
  <c r="L5" i="12"/>
  <c r="P20" i="13"/>
  <c r="F10" i="10"/>
  <c r="J13" i="10"/>
  <c r="J15" i="10"/>
  <c r="J17" i="10"/>
  <c r="J19" i="10"/>
  <c r="L61" i="10"/>
  <c r="N75" i="10"/>
  <c r="F56" i="12"/>
  <c r="N36" i="10"/>
  <c r="F54" i="12"/>
  <c r="H8" i="10"/>
  <c r="H10" i="10"/>
  <c r="F20" i="10"/>
  <c r="L53" i="10"/>
  <c r="N55" i="10"/>
  <c r="J8" i="10"/>
  <c r="L31" i="10"/>
  <c r="L33" i="10"/>
  <c r="L57" i="10"/>
  <c r="U57" i="12"/>
  <c r="U53" i="12"/>
  <c r="U49" i="12"/>
  <c r="U45" i="12"/>
  <c r="U41" i="12"/>
  <c r="U37" i="12"/>
  <c r="U33" i="12"/>
  <c r="U29" i="12"/>
  <c r="U25" i="12"/>
  <c r="U21" i="12"/>
  <c r="U17" i="12"/>
  <c r="U10" i="12"/>
  <c r="U6" i="12"/>
  <c r="U13" i="12"/>
  <c r="U56" i="12"/>
  <c r="U52" i="12"/>
  <c r="U48" i="12"/>
  <c r="U44" i="12"/>
  <c r="U40" i="12"/>
  <c r="U36" i="12"/>
  <c r="U32" i="12"/>
  <c r="U28" i="12"/>
  <c r="U24" i="12"/>
  <c r="U20" i="12"/>
  <c r="U16" i="12"/>
  <c r="U55" i="12"/>
  <c r="U51" i="12"/>
  <c r="U47" i="12"/>
  <c r="U43" i="12"/>
  <c r="U39" i="12"/>
  <c r="U35" i="12"/>
  <c r="U31" i="12"/>
  <c r="U27" i="12"/>
  <c r="U23" i="12"/>
  <c r="U19" i="12"/>
  <c r="U15" i="12"/>
  <c r="U54" i="12"/>
  <c r="U50" i="12"/>
  <c r="U46" i="12"/>
  <c r="U42" i="12"/>
  <c r="U38" i="12"/>
  <c r="U34" i="12"/>
  <c r="U30" i="12"/>
  <c r="U26" i="12"/>
  <c r="U22" i="12"/>
  <c r="U18" i="12"/>
  <c r="U11" i="12"/>
  <c r="J10" i="10"/>
  <c r="F12" i="10"/>
  <c r="F14" i="10"/>
  <c r="H20" i="10"/>
  <c r="L41" i="10"/>
  <c r="N53" i="10"/>
  <c r="L64" i="10"/>
  <c r="L84" i="10"/>
  <c r="N31" i="10"/>
  <c r="N33" i="10"/>
  <c r="L39" i="10"/>
  <c r="N57" i="10"/>
  <c r="H14" i="10"/>
  <c r="F16" i="10"/>
  <c r="J18" i="10"/>
  <c r="J20" i="10"/>
  <c r="I29" i="10"/>
  <c r="L37" i="10"/>
  <c r="I51" i="10"/>
  <c r="L82" i="10"/>
  <c r="L87" i="10"/>
  <c r="U14" i="12"/>
  <c r="G56" i="12"/>
  <c r="F48" i="13"/>
  <c r="C20" i="13"/>
  <c r="D20" i="13"/>
  <c r="F104" i="13"/>
  <c r="E20" i="13"/>
  <c r="C90" i="13"/>
  <c r="G104" i="13"/>
  <c r="D132" i="13"/>
  <c r="N23" i="14"/>
  <c r="D62" i="13"/>
  <c r="D90" i="13"/>
  <c r="E132" i="13"/>
  <c r="U6" i="13"/>
  <c r="E62" i="13"/>
  <c r="E90" i="13"/>
  <c r="F132" i="13"/>
  <c r="C62" i="13"/>
  <c r="C104" i="13"/>
  <c r="C132" i="13"/>
  <c r="G132" i="13"/>
  <c r="D104" i="13"/>
  <c r="D146" i="13"/>
  <c r="C34" i="13"/>
  <c r="E104" i="13"/>
  <c r="E146" i="13"/>
  <c r="D34" i="13"/>
  <c r="T9" i="14"/>
  <c r="F146" i="13"/>
  <c r="F76" i="13"/>
  <c r="F118" i="13"/>
  <c r="E34" i="13"/>
  <c r="L9" i="10"/>
  <c r="L13" i="10"/>
  <c r="L19" i="10"/>
  <c r="G48" i="13"/>
  <c r="G76" i="13"/>
  <c r="G118" i="13"/>
  <c r="G160" i="13"/>
  <c r="O20" i="13"/>
  <c r="F34" i="13"/>
  <c r="C118" i="13"/>
  <c r="C135" i="14"/>
  <c r="C107" i="14"/>
  <c r="C79" i="14"/>
  <c r="C51" i="14"/>
  <c r="C149" i="14"/>
  <c r="C121" i="14"/>
  <c r="C93" i="14"/>
  <c r="C65" i="14"/>
  <c r="C37" i="14"/>
  <c r="C163" i="14"/>
  <c r="S5" i="12"/>
  <c r="G55" i="12"/>
  <c r="C56" i="12"/>
  <c r="G34" i="13"/>
  <c r="D118" i="13"/>
  <c r="N9" i="10"/>
  <c r="T5" i="12"/>
  <c r="D56" i="12"/>
  <c r="A15" i="12"/>
  <c r="I6" i="13"/>
  <c r="C48" i="13"/>
  <c r="C76" i="13"/>
  <c r="E118" i="13"/>
  <c r="K7" i="16"/>
  <c r="J7" i="16"/>
  <c r="I7" i="16"/>
  <c r="U5" i="12"/>
  <c r="J6" i="13"/>
  <c r="D48" i="13"/>
  <c r="D76" i="13"/>
  <c r="C146" i="13"/>
  <c r="Q21" i="15"/>
  <c r="R21" i="15"/>
  <c r="T21" i="15"/>
  <c r="G49" i="15"/>
  <c r="S21" i="16"/>
  <c r="C147" i="16"/>
  <c r="C161" i="15"/>
  <c r="D147" i="16"/>
  <c r="C147" i="17"/>
  <c r="C121" i="17"/>
  <c r="C133" i="17"/>
  <c r="C107" i="17"/>
  <c r="C49" i="17"/>
  <c r="C23" i="17"/>
  <c r="C91" i="17"/>
  <c r="C65" i="17"/>
  <c r="C9" i="17"/>
  <c r="C135" i="17"/>
  <c r="C35" i="17"/>
  <c r="C149" i="17"/>
  <c r="C77" i="17"/>
  <c r="C51" i="17"/>
  <c r="C93" i="17"/>
  <c r="C119" i="17"/>
  <c r="C161" i="17"/>
  <c r="C63" i="17"/>
  <c r="C37" i="17"/>
  <c r="C21" i="17"/>
  <c r="C105" i="17"/>
  <c r="C79" i="17"/>
  <c r="C147" i="15"/>
  <c r="D161" i="15"/>
  <c r="D21" i="16"/>
  <c r="D63" i="16"/>
  <c r="F147" i="16"/>
  <c r="E161" i="15"/>
  <c r="C119" i="15"/>
  <c r="D133" i="15"/>
  <c r="E147" i="15"/>
  <c r="F161" i="15"/>
  <c r="O9" i="16"/>
  <c r="F63" i="16"/>
  <c r="E105" i="16"/>
  <c r="D121" i="16"/>
  <c r="C105" i="15"/>
  <c r="D119" i="15"/>
  <c r="E133" i="15"/>
  <c r="F147" i="15"/>
  <c r="G161" i="15"/>
  <c r="U7" i="16"/>
  <c r="P9" i="16"/>
  <c r="G63" i="16"/>
  <c r="F121" i="16"/>
  <c r="W7" i="15"/>
  <c r="C91" i="15"/>
  <c r="D105" i="15"/>
  <c r="E119" i="15"/>
  <c r="F133" i="15"/>
  <c r="G147" i="15"/>
  <c r="C49" i="16"/>
  <c r="C23" i="16"/>
  <c r="C91" i="16"/>
  <c r="C65" i="16"/>
  <c r="C133" i="16"/>
  <c r="C107" i="16"/>
  <c r="C149" i="16"/>
  <c r="C77" i="16"/>
  <c r="C51" i="16"/>
  <c r="C161" i="16"/>
  <c r="C135" i="16"/>
  <c r="V7" i="16"/>
  <c r="Q9" i="16"/>
  <c r="D51" i="16"/>
  <c r="C79" i="16"/>
  <c r="D146" i="18"/>
  <c r="D120" i="18"/>
  <c r="D104" i="18"/>
  <c r="D160" i="18"/>
  <c r="D134" i="18"/>
  <c r="D118" i="18"/>
  <c r="D92" i="18"/>
  <c r="D148" i="18"/>
  <c r="D132" i="18"/>
  <c r="D106" i="18"/>
  <c r="D48" i="18"/>
  <c r="D22" i="18"/>
  <c r="D78" i="18"/>
  <c r="D62" i="18"/>
  <c r="D36" i="18"/>
  <c r="D20" i="18"/>
  <c r="D76" i="18"/>
  <c r="D50" i="18"/>
  <c r="D34" i="18"/>
  <c r="D8" i="18"/>
  <c r="D90" i="18"/>
  <c r="X7" i="15"/>
  <c r="S21" i="15"/>
  <c r="C77" i="15"/>
  <c r="D91" i="15"/>
  <c r="E105" i="15"/>
  <c r="F119" i="15"/>
  <c r="G133" i="15"/>
  <c r="D49" i="16"/>
  <c r="D23" i="16"/>
  <c r="D91" i="16"/>
  <c r="D65" i="16"/>
  <c r="D133" i="16"/>
  <c r="D107" i="16"/>
  <c r="D149" i="16"/>
  <c r="D35" i="16"/>
  <c r="D119" i="16"/>
  <c r="D93" i="16"/>
  <c r="D105" i="16"/>
  <c r="D79" i="16"/>
  <c r="R9" i="16"/>
  <c r="F49" i="16"/>
  <c r="F161" i="16"/>
  <c r="Y7" i="15"/>
  <c r="C63" i="15"/>
  <c r="D77" i="15"/>
  <c r="E91" i="15"/>
  <c r="F105" i="15"/>
  <c r="G119" i="15"/>
  <c r="E49" i="16"/>
  <c r="E23" i="16"/>
  <c r="E91" i="16"/>
  <c r="E65" i="16"/>
  <c r="E133" i="16"/>
  <c r="E107" i="16"/>
  <c r="E149" i="16"/>
  <c r="E35" i="16"/>
  <c r="E77" i="16"/>
  <c r="E51" i="16"/>
  <c r="E161" i="16"/>
  <c r="E135" i="16"/>
  <c r="E147" i="16"/>
  <c r="E121" i="16"/>
  <c r="S9" i="16"/>
  <c r="C119" i="16"/>
  <c r="O21" i="17"/>
  <c r="O9" i="17"/>
  <c r="U21" i="15"/>
  <c r="C49" i="15"/>
  <c r="D63" i="15"/>
  <c r="E77" i="15"/>
  <c r="F91" i="15"/>
  <c r="G105" i="15"/>
  <c r="F91" i="16"/>
  <c r="F65" i="16"/>
  <c r="F133" i="16"/>
  <c r="F107" i="16"/>
  <c r="F149" i="16"/>
  <c r="F35" i="16"/>
  <c r="F77" i="16"/>
  <c r="F51" i="16"/>
  <c r="F119" i="16"/>
  <c r="F93" i="16"/>
  <c r="F105" i="16"/>
  <c r="F79" i="16"/>
  <c r="C37" i="16"/>
  <c r="E119" i="16"/>
  <c r="D135" i="16"/>
  <c r="C21" i="15"/>
  <c r="C35" i="15"/>
  <c r="D49" i="15"/>
  <c r="E63" i="15"/>
  <c r="F77" i="15"/>
  <c r="G91" i="15"/>
  <c r="G133" i="16"/>
  <c r="G107" i="16"/>
  <c r="G149" i="16"/>
  <c r="G35" i="16"/>
  <c r="G77" i="16"/>
  <c r="G51" i="16"/>
  <c r="G119" i="16"/>
  <c r="G93" i="16"/>
  <c r="G161" i="16"/>
  <c r="G135" i="16"/>
  <c r="G105" i="16"/>
  <c r="G79" i="16"/>
  <c r="G147" i="16"/>
  <c r="G121" i="16"/>
  <c r="O21" i="16"/>
  <c r="D37" i="16"/>
  <c r="F135" i="16"/>
  <c r="D64" i="18"/>
  <c r="G49" i="17"/>
  <c r="F160" i="18"/>
  <c r="F134" i="18"/>
  <c r="F118" i="18"/>
  <c r="F92" i="18"/>
  <c r="F148" i="18"/>
  <c r="F106" i="18"/>
  <c r="F78" i="18"/>
  <c r="F62" i="18"/>
  <c r="F36" i="18"/>
  <c r="F20" i="18"/>
  <c r="F146" i="18"/>
  <c r="F76" i="18"/>
  <c r="F50" i="18"/>
  <c r="F34" i="18"/>
  <c r="F132" i="18"/>
  <c r="F104" i="18"/>
  <c r="F90" i="18"/>
  <c r="F64" i="18"/>
  <c r="T64" i="18"/>
  <c r="D79" i="17"/>
  <c r="D105" i="17"/>
  <c r="D37" i="17"/>
  <c r="D63" i="17"/>
  <c r="E79" i="17"/>
  <c r="E105" i="17"/>
  <c r="E161" i="17"/>
  <c r="F120" i="18"/>
  <c r="E37" i="17"/>
  <c r="E63" i="17"/>
  <c r="F79" i="17"/>
  <c r="F105" i="17"/>
  <c r="F161" i="17"/>
  <c r="G79" i="17"/>
  <c r="G105" i="17"/>
  <c r="D119" i="17"/>
  <c r="U7" i="17"/>
  <c r="P9" i="17"/>
  <c r="G21" i="17"/>
  <c r="G37" i="17"/>
  <c r="G63" i="17"/>
  <c r="G107" i="17"/>
  <c r="E119" i="17"/>
  <c r="E121" i="17"/>
  <c r="G119" i="17"/>
  <c r="F121" i="17"/>
  <c r="G133" i="17"/>
  <c r="E147" i="17"/>
  <c r="N148" i="18"/>
  <c r="N132" i="18"/>
  <c r="N106" i="18"/>
  <c r="N146" i="18"/>
  <c r="N120" i="18"/>
  <c r="N160" i="18"/>
  <c r="N134" i="18"/>
  <c r="N76" i="18"/>
  <c r="N50" i="18"/>
  <c r="N34" i="18"/>
  <c r="N8" i="18"/>
  <c r="N104" i="18"/>
  <c r="N90" i="18"/>
  <c r="N64" i="18"/>
  <c r="N48" i="18"/>
  <c r="N22" i="18"/>
  <c r="N78" i="18"/>
  <c r="N62" i="18"/>
  <c r="N36" i="18"/>
  <c r="N118" i="18"/>
  <c r="N20" i="18"/>
  <c r="D147" i="17"/>
  <c r="D121" i="17"/>
  <c r="D133" i="17"/>
  <c r="D107" i="17"/>
  <c r="D149" i="17"/>
  <c r="D161" i="17"/>
  <c r="W7" i="17"/>
  <c r="R9" i="17"/>
  <c r="D51" i="17"/>
  <c r="D77" i="17"/>
  <c r="G121" i="17"/>
  <c r="F147" i="17"/>
  <c r="O132" i="18"/>
  <c r="O106" i="18"/>
  <c r="O146" i="18"/>
  <c r="O120" i="18"/>
  <c r="O104" i="18"/>
  <c r="O160" i="18"/>
  <c r="O134" i="18"/>
  <c r="O118" i="18"/>
  <c r="O34" i="18"/>
  <c r="O8" i="18"/>
  <c r="O90" i="18"/>
  <c r="O64" i="18"/>
  <c r="O48" i="18"/>
  <c r="O22" i="18"/>
  <c r="O148" i="18"/>
  <c r="O78" i="18"/>
  <c r="O62" i="18"/>
  <c r="O36" i="18"/>
  <c r="O20" i="18"/>
  <c r="Q6" i="18"/>
  <c r="O92" i="18"/>
  <c r="E133" i="17"/>
  <c r="E107" i="17"/>
  <c r="E149" i="17"/>
  <c r="S9" i="17"/>
  <c r="D35" i="17"/>
  <c r="E51" i="17"/>
  <c r="E77" i="17"/>
  <c r="F93" i="17"/>
  <c r="D135" i="17"/>
  <c r="G147" i="17"/>
  <c r="O76" i="18"/>
  <c r="F133" i="17"/>
  <c r="F107" i="17"/>
  <c r="F149" i="17"/>
  <c r="F119" i="17"/>
  <c r="E35" i="17"/>
  <c r="F51" i="17"/>
  <c r="F77" i="17"/>
  <c r="G93" i="17"/>
  <c r="E135" i="17"/>
  <c r="G149" i="17"/>
  <c r="G161" i="17"/>
  <c r="G135" i="17"/>
  <c r="F35" i="17"/>
  <c r="G51" i="17"/>
  <c r="G77" i="17"/>
  <c r="F135" i="17"/>
  <c r="T146" i="18"/>
  <c r="T120" i="18"/>
  <c r="T104" i="18"/>
  <c r="T160" i="18"/>
  <c r="T134" i="18"/>
  <c r="T118" i="18"/>
  <c r="T92" i="18"/>
  <c r="T148" i="18"/>
  <c r="T132" i="18"/>
  <c r="T106" i="18"/>
  <c r="T48" i="18"/>
  <c r="T22" i="18"/>
  <c r="T78" i="18"/>
  <c r="T62" i="18"/>
  <c r="T36" i="18"/>
  <c r="T20" i="18"/>
  <c r="T76" i="18"/>
  <c r="T50" i="18"/>
  <c r="T34" i="18"/>
  <c r="T8" i="18"/>
  <c r="O50" i="18"/>
  <c r="P21" i="17"/>
  <c r="G35" i="17"/>
  <c r="I7" i="17"/>
  <c r="D9" i="17"/>
  <c r="D65" i="17"/>
  <c r="D91" i="17"/>
  <c r="J7" i="17"/>
  <c r="E9" i="17"/>
  <c r="D23" i="17"/>
  <c r="D49" i="17"/>
  <c r="E65" i="17"/>
  <c r="E91" i="17"/>
  <c r="F48" i="18"/>
  <c r="G22" i="18"/>
  <c r="L36" i="18"/>
  <c r="G48" i="18"/>
  <c r="L62" i="18"/>
  <c r="V64" i="18"/>
  <c r="K78" i="18"/>
  <c r="V90" i="18"/>
  <c r="M118" i="18"/>
  <c r="K120" i="18"/>
  <c r="C8" i="18"/>
  <c r="S8" i="18"/>
  <c r="C34" i="18"/>
  <c r="S34" i="18"/>
  <c r="M36" i="18"/>
  <c r="M62" i="18"/>
  <c r="G64" i="18"/>
  <c r="L78" i="18"/>
  <c r="G90" i="18"/>
  <c r="G104" i="18"/>
  <c r="U120" i="18"/>
  <c r="R6" i="18"/>
  <c r="C50" i="18"/>
  <c r="S50" i="18"/>
  <c r="C76" i="18"/>
  <c r="S76" i="18"/>
  <c r="M78" i="18"/>
  <c r="S106" i="18"/>
  <c r="V120" i="18"/>
  <c r="C146" i="18"/>
  <c r="C120" i="18"/>
  <c r="C104" i="18"/>
  <c r="C160" i="18"/>
  <c r="C134" i="18"/>
  <c r="C148" i="18"/>
  <c r="S146" i="18"/>
  <c r="S120" i="18"/>
  <c r="S104" i="18"/>
  <c r="S160" i="18"/>
  <c r="S134" i="18"/>
  <c r="S148" i="18"/>
  <c r="E34" i="18"/>
  <c r="U34" i="18"/>
  <c r="U106" i="18"/>
  <c r="S132" i="18"/>
  <c r="K22" i="18"/>
  <c r="V34" i="18"/>
  <c r="K48" i="18"/>
  <c r="E50" i="18"/>
  <c r="U50" i="18"/>
  <c r="E76" i="18"/>
  <c r="U76" i="18"/>
  <c r="S92" i="18"/>
  <c r="V106" i="18"/>
  <c r="S118" i="18"/>
  <c r="V132" i="18"/>
  <c r="E104" i="18"/>
  <c r="E160" i="18"/>
  <c r="E134" i="18"/>
  <c r="E118" i="18"/>
  <c r="E92" i="18"/>
  <c r="E148" i="18"/>
  <c r="E132" i="18"/>
  <c r="U104" i="18"/>
  <c r="U160" i="18"/>
  <c r="U134" i="18"/>
  <c r="U118" i="18"/>
  <c r="U92" i="18"/>
  <c r="U148" i="18"/>
  <c r="U132" i="18"/>
  <c r="G8" i="18"/>
  <c r="L22" i="18"/>
  <c r="G34" i="18"/>
  <c r="L48" i="18"/>
  <c r="V50" i="18"/>
  <c r="K64" i="18"/>
  <c r="V76" i="18"/>
  <c r="K90" i="18"/>
  <c r="K104" i="18"/>
  <c r="V160" i="18"/>
  <c r="V134" i="18"/>
  <c r="V118" i="18"/>
  <c r="V92" i="18"/>
  <c r="V148" i="18"/>
  <c r="C20" i="18"/>
  <c r="S20" i="18"/>
  <c r="M22" i="18"/>
  <c r="M48" i="18"/>
  <c r="G50" i="18"/>
  <c r="L64" i="18"/>
  <c r="G76" i="18"/>
  <c r="L90" i="18"/>
  <c r="L104" i="18"/>
  <c r="E146" i="18"/>
  <c r="G160" i="18"/>
  <c r="G134" i="18"/>
  <c r="G118" i="18"/>
  <c r="G92" i="18"/>
  <c r="G148" i="18"/>
  <c r="G132" i="18"/>
  <c r="G146" i="18"/>
  <c r="G120" i="18"/>
  <c r="C36" i="18"/>
  <c r="S36" i="18"/>
  <c r="C62" i="18"/>
  <c r="S62" i="18"/>
  <c r="M64" i="18"/>
  <c r="M90" i="18"/>
  <c r="M104" i="18"/>
  <c r="D161" i="19"/>
  <c r="D135" i="19"/>
  <c r="D121" i="19"/>
  <c r="D119" i="19"/>
  <c r="D93" i="19"/>
  <c r="D91" i="19"/>
  <c r="D149" i="19"/>
  <c r="D133" i="19"/>
  <c r="D107" i="19"/>
  <c r="D105" i="19"/>
  <c r="D65" i="19"/>
  <c r="D77" i="19"/>
  <c r="D79" i="19"/>
  <c r="D63" i="19"/>
  <c r="D9" i="19"/>
  <c r="D51" i="19"/>
  <c r="D21" i="19"/>
  <c r="D37" i="19"/>
  <c r="D49" i="19"/>
  <c r="D35" i="19"/>
  <c r="D23" i="19"/>
  <c r="C7" i="19"/>
  <c r="X6" i="18"/>
  <c r="E20" i="18"/>
  <c r="U20" i="18"/>
  <c r="C78" i="18"/>
  <c r="S78" i="18"/>
  <c r="U146" i="18"/>
  <c r="I6" i="18"/>
  <c r="Y6" i="18"/>
  <c r="K8" i="18"/>
  <c r="V20" i="18"/>
  <c r="K34" i="18"/>
  <c r="E36" i="18"/>
  <c r="U36" i="18"/>
  <c r="E62" i="18"/>
  <c r="U62" i="18"/>
  <c r="V104" i="18"/>
  <c r="V146" i="18"/>
  <c r="J6" i="18"/>
  <c r="L8" i="18"/>
  <c r="G20" i="18"/>
  <c r="L34" i="18"/>
  <c r="V36" i="18"/>
  <c r="K50" i="18"/>
  <c r="V62" i="18"/>
  <c r="K76" i="18"/>
  <c r="E78" i="18"/>
  <c r="U78" i="18"/>
  <c r="C106" i="18"/>
  <c r="K148" i="18"/>
  <c r="K132" i="18"/>
  <c r="K106" i="18"/>
  <c r="K146" i="18"/>
  <c r="M8" i="18"/>
  <c r="M34" i="18"/>
  <c r="G36" i="18"/>
  <c r="L50" i="18"/>
  <c r="G62" i="18"/>
  <c r="L76" i="18"/>
  <c r="V78" i="18"/>
  <c r="C92" i="18"/>
  <c r="E106" i="18"/>
  <c r="L148" i="18"/>
  <c r="L132" i="18"/>
  <c r="L106" i="18"/>
  <c r="L146" i="18"/>
  <c r="L120" i="18"/>
  <c r="L160" i="18"/>
  <c r="L134" i="18"/>
  <c r="C22" i="18"/>
  <c r="S22" i="18"/>
  <c r="C48" i="18"/>
  <c r="S48" i="18"/>
  <c r="M50" i="18"/>
  <c r="M76" i="18"/>
  <c r="G78" i="18"/>
  <c r="K92" i="18"/>
  <c r="M148" i="18"/>
  <c r="M132" i="18"/>
  <c r="M106" i="18"/>
  <c r="M146" i="18"/>
  <c r="M120" i="18"/>
  <c r="M160" i="18"/>
  <c r="M134" i="18"/>
  <c r="C64" i="18"/>
  <c r="S64" i="18"/>
  <c r="C90" i="18"/>
  <c r="S90" i="18"/>
  <c r="L92" i="18"/>
  <c r="G106" i="18"/>
  <c r="C118" i="18"/>
  <c r="E120" i="18"/>
  <c r="K160" i="18"/>
  <c r="V7" i="19"/>
  <c r="X7" i="19" s="1"/>
  <c r="E161" i="19"/>
  <c r="E149" i="19"/>
  <c r="E133" i="19"/>
  <c r="E135" i="19"/>
  <c r="E93" i="19"/>
  <c r="E51" i="19"/>
  <c r="E49" i="19"/>
  <c r="E23" i="19"/>
  <c r="E119" i="19"/>
  <c r="E147" i="19"/>
  <c r="E77" i="19"/>
  <c r="E91" i="19"/>
  <c r="E79" i="19"/>
  <c r="E63" i="19"/>
  <c r="E107" i="19"/>
  <c r="E105" i="19"/>
  <c r="E65" i="19"/>
  <c r="F161" i="19"/>
  <c r="F149" i="19"/>
  <c r="F133" i="19"/>
  <c r="F107" i="19"/>
  <c r="F105" i="19"/>
  <c r="F79" i="19"/>
  <c r="F147" i="19"/>
  <c r="F93" i="19"/>
  <c r="F51" i="19"/>
  <c r="F49" i="19"/>
  <c r="F23" i="19"/>
  <c r="F119" i="19"/>
  <c r="F121" i="19"/>
  <c r="F91" i="19"/>
  <c r="F63" i="19"/>
  <c r="F65" i="19"/>
  <c r="F135" i="19"/>
  <c r="E121" i="19"/>
  <c r="J7" i="19"/>
  <c r="I7" i="19"/>
  <c r="E35" i="19"/>
  <c r="H7" i="19"/>
  <c r="F35" i="19"/>
  <c r="N133" i="19"/>
  <c r="M7" i="19"/>
  <c r="N149" i="19"/>
  <c r="N147" i="19"/>
  <c r="N135" i="19"/>
  <c r="N121" i="19"/>
  <c r="N119" i="19"/>
  <c r="N93" i="19"/>
  <c r="N91" i="19"/>
  <c r="N161" i="19"/>
  <c r="N37" i="19"/>
  <c r="N35" i="19"/>
  <c r="N63" i="19"/>
  <c r="N77" i="19"/>
  <c r="N65" i="19"/>
  <c r="N79" i="19"/>
  <c r="N107" i="19"/>
  <c r="N105" i="19"/>
  <c r="E37" i="19"/>
  <c r="N49" i="19"/>
  <c r="F77" i="19"/>
  <c r="E21" i="19"/>
  <c r="N23" i="19"/>
  <c r="F37" i="19"/>
  <c r="P7" i="19"/>
  <c r="F21" i="19"/>
  <c r="K7" i="22"/>
  <c r="L7" i="22"/>
  <c r="J7" i="22"/>
  <c r="Q8" i="21"/>
  <c r="C134" i="21"/>
  <c r="D134" i="21"/>
  <c r="F134" i="21"/>
  <c r="F148" i="21"/>
  <c r="C148" i="21"/>
  <c r="C106" i="21"/>
  <c r="C64" i="21"/>
  <c r="C22" i="21"/>
  <c r="C162" i="21"/>
  <c r="C78" i="21"/>
  <c r="C120" i="21"/>
  <c r="D148" i="21"/>
  <c r="D106" i="21"/>
  <c r="D64" i="21"/>
  <c r="D22" i="21"/>
  <c r="D162" i="21"/>
  <c r="D120" i="21"/>
  <c r="D36" i="21"/>
  <c r="L22" i="21"/>
  <c r="F106" i="21"/>
  <c r="M22" i="21"/>
  <c r="F64" i="21"/>
  <c r="F22" i="21"/>
  <c r="F162" i="21"/>
  <c r="F120" i="21"/>
  <c r="F78" i="21"/>
  <c r="F36" i="21"/>
  <c r="N22" i="21"/>
  <c r="C92" i="21"/>
  <c r="O22" i="21"/>
  <c r="D92" i="21"/>
  <c r="C36" i="21"/>
  <c r="P21" i="22"/>
  <c r="D119" i="22"/>
  <c r="Q21" i="22"/>
  <c r="E119" i="22"/>
  <c r="R21" i="22"/>
  <c r="C133" i="22"/>
  <c r="S21" i="22"/>
  <c r="T21" i="22"/>
  <c r="E78" i="21"/>
  <c r="D35" i="22"/>
  <c r="H8" i="21"/>
  <c r="E120" i="21"/>
  <c r="C119" i="22"/>
  <c r="C105" i="22"/>
  <c r="C91" i="22"/>
  <c r="C77" i="22"/>
  <c r="C161" i="22"/>
  <c r="C147" i="22"/>
  <c r="V7" i="22"/>
  <c r="C21" i="22"/>
  <c r="E35" i="22"/>
  <c r="C49" i="22"/>
  <c r="E162" i="21"/>
  <c r="D105" i="22"/>
  <c r="D91" i="22"/>
  <c r="D77" i="22"/>
  <c r="D161" i="22"/>
  <c r="D147" i="22"/>
  <c r="D133" i="22"/>
  <c r="W7" i="22"/>
  <c r="D21" i="22"/>
  <c r="D49" i="22"/>
  <c r="E105" i="22"/>
  <c r="E91" i="22"/>
  <c r="E77" i="22"/>
  <c r="E63" i="22"/>
  <c r="E161" i="22"/>
  <c r="E147" i="22"/>
  <c r="E133" i="22"/>
  <c r="X7" i="22"/>
  <c r="E21" i="22"/>
  <c r="G35" i="22"/>
  <c r="E49" i="22"/>
  <c r="C63" i="22"/>
  <c r="F91" i="22"/>
  <c r="F77" i="22"/>
  <c r="F63" i="22"/>
  <c r="F161" i="22"/>
  <c r="F147" i="22"/>
  <c r="F133" i="22"/>
  <c r="F119" i="22"/>
  <c r="F21" i="22"/>
  <c r="H35" i="22"/>
  <c r="F49" i="22"/>
  <c r="D63" i="22"/>
  <c r="E22" i="21"/>
  <c r="E64" i="21"/>
  <c r="G91" i="22"/>
  <c r="G77" i="22"/>
  <c r="G63" i="22"/>
  <c r="G161" i="22"/>
  <c r="G49" i="22"/>
  <c r="G147" i="22"/>
  <c r="G133" i="22"/>
  <c r="G119" i="22"/>
  <c r="G21" i="22"/>
  <c r="H63" i="22"/>
  <c r="E106" i="21"/>
  <c r="H77" i="22"/>
  <c r="H161" i="22"/>
  <c r="H49" i="22"/>
  <c r="H147" i="22"/>
  <c r="H133" i="22"/>
  <c r="H119" i="22"/>
  <c r="H105" i="22"/>
  <c r="H21" i="22"/>
  <c r="C146" i="26"/>
  <c r="C48" i="26"/>
  <c r="C90" i="26"/>
  <c r="C160" i="26"/>
  <c r="C34" i="26"/>
  <c r="C132" i="26"/>
  <c r="C62" i="26"/>
  <c r="C20" i="26"/>
  <c r="C118" i="26"/>
  <c r="C104" i="26"/>
  <c r="C76" i="26"/>
  <c r="D118" i="26"/>
  <c r="D48" i="26"/>
  <c r="D90" i="26"/>
  <c r="D160" i="26"/>
  <c r="D132" i="26"/>
  <c r="D76" i="26"/>
  <c r="D62" i="26"/>
  <c r="F76" i="26"/>
  <c r="G104" i="26"/>
  <c r="F118" i="26"/>
  <c r="F160" i="26"/>
  <c r="F48" i="26"/>
  <c r="F90" i="26"/>
  <c r="F34" i="26"/>
  <c r="F132" i="26"/>
  <c r="F104" i="26"/>
  <c r="F146" i="26"/>
  <c r="G160" i="26"/>
  <c r="G146" i="26"/>
  <c r="G90" i="26"/>
  <c r="G34" i="26"/>
  <c r="G132" i="26"/>
  <c r="G76" i="26"/>
  <c r="G48" i="26"/>
  <c r="D146" i="26"/>
  <c r="D34" i="26"/>
  <c r="D20" i="26"/>
  <c r="F62" i="26"/>
  <c r="F20" i="26"/>
  <c r="G62" i="26"/>
  <c r="E104" i="26"/>
  <c r="G118" i="27"/>
  <c r="E62" i="26"/>
  <c r="F76" i="27"/>
  <c r="F48" i="27"/>
  <c r="E118" i="26"/>
  <c r="E160" i="26"/>
  <c r="E132" i="26"/>
  <c r="F146" i="27"/>
  <c r="F20" i="27"/>
  <c r="F62" i="27"/>
  <c r="F104" i="27"/>
  <c r="F160" i="27"/>
  <c r="F90" i="27"/>
  <c r="F132" i="27"/>
  <c r="G146" i="27"/>
  <c r="G20" i="27"/>
  <c r="G62" i="27"/>
  <c r="G104" i="27"/>
  <c r="G160" i="27"/>
  <c r="G48" i="27"/>
  <c r="G132" i="27"/>
  <c r="G76" i="27"/>
  <c r="I6" i="26"/>
  <c r="I6" i="27"/>
  <c r="J6" i="26"/>
  <c r="J6" i="27"/>
  <c r="K6" i="26"/>
  <c r="E90" i="26"/>
  <c r="K6" i="27"/>
  <c r="N206" i="30"/>
  <c r="L206" i="30"/>
  <c r="E48" i="26"/>
  <c r="F34" i="27"/>
  <c r="G34" i="27"/>
  <c r="C132" i="27"/>
  <c r="F90" i="28"/>
  <c r="D132" i="27"/>
  <c r="F62" i="28"/>
  <c r="D160" i="27"/>
  <c r="J8" i="30"/>
  <c r="H8" i="30"/>
  <c r="E160" i="27"/>
  <c r="F104" i="28"/>
  <c r="C104" i="27"/>
  <c r="C76" i="28"/>
  <c r="C90" i="28"/>
  <c r="C104" i="28"/>
  <c r="C118" i="28"/>
  <c r="C132" i="28"/>
  <c r="C146" i="28"/>
  <c r="C62" i="28"/>
  <c r="C160" i="28"/>
  <c r="C48" i="28"/>
  <c r="D90" i="28"/>
  <c r="D104" i="28"/>
  <c r="D118" i="28"/>
  <c r="D132" i="28"/>
  <c r="D146" i="28"/>
  <c r="D160" i="28"/>
  <c r="D62" i="28"/>
  <c r="D76" i="28"/>
  <c r="D34" i="28"/>
  <c r="C20" i="27"/>
  <c r="D62" i="27"/>
  <c r="E104" i="27"/>
  <c r="E104" i="28"/>
  <c r="E118" i="28"/>
  <c r="E132" i="28"/>
  <c r="E146" i="28"/>
  <c r="E160" i="28"/>
  <c r="E76" i="28"/>
  <c r="E34" i="28"/>
  <c r="E20" i="28"/>
  <c r="E48" i="28"/>
  <c r="N30" i="30"/>
  <c r="L30" i="30"/>
  <c r="F118" i="28"/>
  <c r="F132" i="28"/>
  <c r="F146" i="28"/>
  <c r="F160" i="28"/>
  <c r="F76" i="28"/>
  <c r="F34" i="28"/>
  <c r="F20" i="28"/>
  <c r="D48" i="28"/>
  <c r="G132" i="28"/>
  <c r="G146" i="28"/>
  <c r="G160" i="28"/>
  <c r="G76" i="28"/>
  <c r="G34" i="28"/>
  <c r="G20" i="28"/>
  <c r="G118" i="28"/>
  <c r="G104" i="28"/>
  <c r="G90" i="28"/>
  <c r="C20" i="28"/>
  <c r="F48" i="28"/>
  <c r="C160" i="27"/>
  <c r="C146" i="27"/>
  <c r="C118" i="27"/>
  <c r="M6" i="28"/>
  <c r="L6" i="28"/>
  <c r="D20" i="28"/>
  <c r="G48" i="28"/>
  <c r="D146" i="27"/>
  <c r="C76" i="27"/>
  <c r="D118" i="27"/>
  <c r="I6" i="28"/>
  <c r="E146" i="27"/>
  <c r="C34" i="27"/>
  <c r="D76" i="27"/>
  <c r="E118" i="27"/>
  <c r="J6" i="28"/>
  <c r="C34" i="28"/>
  <c r="N164" i="30"/>
  <c r="F173" i="30"/>
  <c r="N8" i="30"/>
  <c r="J173" i="30"/>
  <c r="J140" i="30"/>
  <c r="H140" i="30"/>
  <c r="J174" i="30"/>
  <c r="H171" i="30"/>
  <c r="L169" i="30"/>
  <c r="H168" i="30"/>
  <c r="J172" i="30"/>
  <c r="H170" i="30"/>
  <c r="F168" i="30"/>
  <c r="H166" i="30"/>
  <c r="L164" i="30"/>
  <c r="H172" i="30"/>
  <c r="F170" i="30"/>
  <c r="F166" i="30"/>
  <c r="J164" i="30"/>
  <c r="L174" i="30"/>
  <c r="F172" i="30"/>
  <c r="N167" i="30"/>
  <c r="H164" i="30"/>
  <c r="H174" i="30"/>
  <c r="L167" i="30"/>
  <c r="F164" i="30"/>
  <c r="F174" i="30"/>
  <c r="J169" i="30"/>
  <c r="H169" i="30"/>
  <c r="J167" i="30"/>
  <c r="N165" i="30"/>
  <c r="L171" i="30"/>
  <c r="L165" i="30"/>
  <c r="N163" i="30"/>
  <c r="L173" i="30"/>
  <c r="F169" i="30"/>
  <c r="H167" i="30"/>
  <c r="J165" i="30"/>
  <c r="L163" i="30"/>
  <c r="J171" i="30"/>
  <c r="H165" i="30"/>
  <c r="J175" i="30"/>
  <c r="H173" i="30"/>
  <c r="N166" i="30"/>
  <c r="H163" i="30"/>
  <c r="H175" i="30"/>
  <c r="L170" i="30"/>
  <c r="L168" i="30"/>
  <c r="L166" i="30"/>
  <c r="F167" i="30"/>
  <c r="L175" i="30"/>
  <c r="J168" i="30"/>
  <c r="N168" i="30"/>
  <c r="N96" i="30"/>
  <c r="F163" i="30"/>
  <c r="J170" i="30"/>
  <c r="N120" i="30"/>
  <c r="L122" i="30"/>
  <c r="H126" i="30"/>
  <c r="J119" i="30"/>
  <c r="H121" i="30"/>
  <c r="N124" i="30"/>
  <c r="F131" i="30"/>
  <c r="J121" i="30"/>
  <c r="F123" i="30"/>
  <c r="F127" i="30"/>
  <c r="F129" i="30"/>
  <c r="N119" i="30"/>
  <c r="L121" i="30"/>
  <c r="H123" i="30"/>
  <c r="F125" i="30"/>
  <c r="H127" i="30"/>
  <c r="H129" i="30"/>
  <c r="J131" i="30"/>
  <c r="J162" i="30"/>
  <c r="J118" i="30"/>
  <c r="J123" i="30"/>
  <c r="H125" i="30"/>
  <c r="J129" i="30"/>
  <c r="L131" i="30"/>
  <c r="F184" i="30"/>
  <c r="N228" i="30"/>
  <c r="L75" i="30"/>
  <c r="J78" i="30"/>
  <c r="F120" i="30"/>
  <c r="N121" i="30"/>
  <c r="J125" i="30"/>
  <c r="J127" i="30"/>
  <c r="J148" i="30"/>
  <c r="L150" i="30"/>
  <c r="N162" i="30"/>
  <c r="H87" i="30"/>
  <c r="H78" i="30"/>
  <c r="J53" i="30"/>
  <c r="F56" i="30"/>
  <c r="J57" i="30"/>
  <c r="H60" i="30"/>
  <c r="J63" i="30"/>
  <c r="F65" i="30"/>
  <c r="F77" i="30"/>
  <c r="F83" i="30"/>
  <c r="L123" i="30"/>
  <c r="L129" i="30"/>
  <c r="L146" i="30"/>
  <c r="J81" i="30"/>
  <c r="D118" i="30"/>
  <c r="H120" i="30"/>
  <c r="N123" i="30"/>
  <c r="L125" i="30"/>
  <c r="L127" i="30"/>
  <c r="L85" i="30"/>
  <c r="L79" i="30"/>
  <c r="L53" i="30"/>
  <c r="H56" i="30"/>
  <c r="L57" i="30"/>
  <c r="J60" i="30"/>
  <c r="F62" i="30"/>
  <c r="L63" i="30"/>
  <c r="H65" i="30"/>
  <c r="H77" i="30"/>
  <c r="F80" i="30"/>
  <c r="H83" i="30"/>
  <c r="L86" i="30"/>
  <c r="F122" i="30"/>
  <c r="F130" i="30"/>
  <c r="J141" i="30"/>
  <c r="H143" i="30"/>
  <c r="F145" i="30"/>
  <c r="N146" i="30"/>
  <c r="F151" i="30"/>
  <c r="F153" i="30"/>
  <c r="N184" i="30"/>
  <c r="L81" i="30"/>
  <c r="F85" i="30"/>
  <c r="J120" i="30"/>
  <c r="F124" i="30"/>
  <c r="H130" i="30"/>
  <c r="L141" i="30"/>
  <c r="J143" i="30"/>
  <c r="F149" i="30"/>
  <c r="H153" i="30"/>
  <c r="H257" i="30"/>
  <c r="J260" i="30"/>
  <c r="F262" i="30"/>
  <c r="L263" i="30"/>
  <c r="F60" i="31"/>
  <c r="F62" i="31"/>
  <c r="N74" i="31"/>
  <c r="D30" i="31"/>
  <c r="H87" i="31"/>
  <c r="H7" i="35"/>
  <c r="F61" i="31"/>
  <c r="F58" i="31"/>
  <c r="F54" i="31"/>
  <c r="F30" i="31"/>
  <c r="F37" i="31"/>
  <c r="F33" i="31"/>
  <c r="F64" i="31"/>
  <c r="F83" i="31"/>
  <c r="F80" i="31"/>
  <c r="F76" i="31"/>
  <c r="F40" i="31"/>
  <c r="N76" i="31"/>
  <c r="W29" i="35"/>
  <c r="V29" i="35"/>
  <c r="H252" i="30"/>
  <c r="L253" i="30"/>
  <c r="H256" i="30"/>
  <c r="L257" i="30"/>
  <c r="H259" i="30"/>
  <c r="J262" i="30"/>
  <c r="F273" i="30"/>
  <c r="J274" i="30"/>
  <c r="N275" i="30"/>
  <c r="H64" i="31"/>
  <c r="H83" i="31"/>
  <c r="H80" i="31"/>
  <c r="H76" i="31"/>
  <c r="H40" i="31"/>
  <c r="H59" i="31"/>
  <c r="H55" i="31"/>
  <c r="H86" i="31"/>
  <c r="H43" i="31"/>
  <c r="H34" i="31"/>
  <c r="H53" i="31"/>
  <c r="F75" i="31"/>
  <c r="N80" i="31"/>
  <c r="H283" i="30"/>
  <c r="L281" i="30"/>
  <c r="F280" i="30"/>
  <c r="L278" i="30"/>
  <c r="L284" i="30"/>
  <c r="F283" i="30"/>
  <c r="J281" i="30"/>
  <c r="J278" i="30"/>
  <c r="F277" i="30"/>
  <c r="H277" i="30"/>
  <c r="N278" i="30"/>
  <c r="J280" i="30"/>
  <c r="H282" i="30"/>
  <c r="F284" i="30"/>
  <c r="J59" i="31"/>
  <c r="J55" i="31"/>
  <c r="J86" i="31"/>
  <c r="J43" i="31"/>
  <c r="J34" i="31"/>
  <c r="J62" i="31"/>
  <c r="J81" i="31"/>
  <c r="J77" i="31"/>
  <c r="J38" i="31"/>
  <c r="J65" i="31"/>
  <c r="F32" i="31"/>
  <c r="N33" i="31"/>
  <c r="J35" i="31"/>
  <c r="J37" i="31"/>
  <c r="J39" i="31"/>
  <c r="J41" i="31"/>
  <c r="F65" i="31"/>
  <c r="F79" i="31"/>
  <c r="J85" i="31"/>
  <c r="F251" i="30"/>
  <c r="J252" i="30"/>
  <c r="N253" i="30"/>
  <c r="F255" i="30"/>
  <c r="J256" i="30"/>
  <c r="J259" i="30"/>
  <c r="F261" i="30"/>
  <c r="L262" i="30"/>
  <c r="F55" i="31"/>
  <c r="F57" i="31"/>
  <c r="N58" i="31"/>
  <c r="F63" i="31"/>
  <c r="H75" i="31"/>
  <c r="J83" i="31"/>
  <c r="N14" i="33"/>
  <c r="N10" i="33"/>
  <c r="M29" i="33"/>
  <c r="M51" i="33"/>
  <c r="N11" i="33"/>
  <c r="N8" i="33"/>
  <c r="M73" i="33"/>
  <c r="H30" i="31"/>
  <c r="F42" i="31"/>
  <c r="H65" i="31"/>
  <c r="F77" i="31"/>
  <c r="H79" i="31"/>
  <c r="N231" i="30"/>
  <c r="F233" i="30"/>
  <c r="J234" i="30"/>
  <c r="J237" i="30"/>
  <c r="F239" i="30"/>
  <c r="L240" i="30"/>
  <c r="H251" i="30"/>
  <c r="L252" i="30"/>
  <c r="H255" i="30"/>
  <c r="L256" i="30"/>
  <c r="F258" i="30"/>
  <c r="L259" i="30"/>
  <c r="H261" i="30"/>
  <c r="J273" i="30"/>
  <c r="N274" i="30"/>
  <c r="F276" i="30"/>
  <c r="J30" i="31"/>
  <c r="H57" i="31"/>
  <c r="H61" i="31"/>
  <c r="H63" i="31"/>
  <c r="J75" i="31"/>
  <c r="F81" i="31"/>
  <c r="L277" i="30"/>
  <c r="F279" i="30"/>
  <c r="L282" i="30"/>
  <c r="J284" i="30"/>
  <c r="L30" i="31"/>
  <c r="J32" i="31"/>
  <c r="F34" i="31"/>
  <c r="F36" i="31"/>
  <c r="H42" i="31"/>
  <c r="F52" i="31"/>
  <c r="H77" i="31"/>
  <c r="J79" i="31"/>
  <c r="N13" i="33"/>
  <c r="J208" i="30"/>
  <c r="N209" i="30"/>
  <c r="F211" i="30"/>
  <c r="J212" i="30"/>
  <c r="J215" i="30"/>
  <c r="F217" i="30"/>
  <c r="L218" i="30"/>
  <c r="H229" i="30"/>
  <c r="L230" i="30"/>
  <c r="H233" i="30"/>
  <c r="L234" i="30"/>
  <c r="F236" i="30"/>
  <c r="L237" i="30"/>
  <c r="H239" i="30"/>
  <c r="J251" i="30"/>
  <c r="N252" i="30"/>
  <c r="F254" i="30"/>
  <c r="J255" i="30"/>
  <c r="N256" i="30"/>
  <c r="H258" i="30"/>
  <c r="J261" i="30"/>
  <c r="F263" i="30"/>
  <c r="L273" i="30"/>
  <c r="H276" i="30"/>
  <c r="N30" i="31"/>
  <c r="H52" i="31"/>
  <c r="N53" i="31"/>
  <c r="N55" i="31"/>
  <c r="J57" i="31"/>
  <c r="F59" i="31"/>
  <c r="J61" i="31"/>
  <c r="J63" i="31"/>
  <c r="N77" i="31"/>
  <c r="H81" i="31"/>
  <c r="AS7" i="35"/>
  <c r="N277" i="30"/>
  <c r="H279" i="30"/>
  <c r="F281" i="30"/>
  <c r="H36" i="31"/>
  <c r="F38" i="31"/>
  <c r="J40" i="31"/>
  <c r="J42" i="31"/>
  <c r="J52" i="31"/>
  <c r="F86" i="31"/>
  <c r="H207" i="30"/>
  <c r="L208" i="30"/>
  <c r="H211" i="30"/>
  <c r="L212" i="30"/>
  <c r="F214" i="30"/>
  <c r="L215" i="30"/>
  <c r="H217" i="30"/>
  <c r="J229" i="30"/>
  <c r="N230" i="30"/>
  <c r="F232" i="30"/>
  <c r="J233" i="30"/>
  <c r="N234" i="30"/>
  <c r="H236" i="30"/>
  <c r="J239" i="30"/>
  <c r="F241" i="30"/>
  <c r="L251" i="30"/>
  <c r="H254" i="30"/>
  <c r="L255" i="30"/>
  <c r="J258" i="30"/>
  <c r="F260" i="30"/>
  <c r="L261" i="30"/>
  <c r="H263" i="30"/>
  <c r="N273" i="30"/>
  <c r="F275" i="30"/>
  <c r="J276" i="30"/>
  <c r="H54" i="31"/>
  <c r="F84" i="31"/>
  <c r="AR7" i="35"/>
  <c r="J279" i="30"/>
  <c r="H281" i="30"/>
  <c r="F285" i="30"/>
  <c r="N56" i="31"/>
  <c r="N35" i="31"/>
  <c r="N31" i="31"/>
  <c r="N78" i="31"/>
  <c r="F31" i="31"/>
  <c r="N32" i="31"/>
  <c r="N34" i="31"/>
  <c r="J36" i="31"/>
  <c r="H38" i="31"/>
  <c r="M51" i="31"/>
  <c r="N52" i="31" s="1"/>
  <c r="N79" i="31"/>
  <c r="F82" i="31"/>
  <c r="H14" i="35"/>
  <c r="H17" i="35"/>
  <c r="N8" i="35"/>
  <c r="AB14" i="35"/>
  <c r="AB17" i="35"/>
  <c r="AB9" i="35"/>
  <c r="AB7" i="35"/>
  <c r="AT7" i="35"/>
  <c r="H9" i="35"/>
  <c r="H15" i="35"/>
  <c r="AU7" i="35"/>
  <c r="AB10" i="35"/>
  <c r="AV7" i="35"/>
  <c r="H10" i="35"/>
  <c r="AB11" i="35"/>
  <c r="AB13" i="35"/>
  <c r="N15" i="35"/>
  <c r="N18" i="35"/>
  <c r="H11" i="35"/>
  <c r="AB18" i="35"/>
  <c r="N7" i="35"/>
  <c r="N9" i="35"/>
  <c r="AB12" i="35"/>
  <c r="H13" i="35"/>
  <c r="AJ7" i="35"/>
  <c r="N14" i="35"/>
  <c r="H18" i="35"/>
  <c r="H29" i="35"/>
  <c r="L31" i="31"/>
  <c r="L35" i="31"/>
  <c r="L41" i="31"/>
  <c r="L84" i="31"/>
  <c r="AK7" i="35"/>
  <c r="H8" i="35"/>
  <c r="N10" i="35"/>
  <c r="H12" i="35"/>
  <c r="I29" i="35"/>
  <c r="L56" i="31"/>
  <c r="L65" i="31"/>
  <c r="AL7" i="35"/>
  <c r="AB16" i="35"/>
  <c r="L77" i="31"/>
  <c r="L81" i="31"/>
  <c r="AB8" i="35"/>
  <c r="N11" i="35"/>
  <c r="N12" i="35"/>
  <c r="P5" i="36"/>
  <c r="L62" i="31"/>
  <c r="V7" i="35"/>
  <c r="V9" i="35"/>
  <c r="Q5" i="36"/>
  <c r="P5" i="37"/>
  <c r="O123" i="39"/>
  <c r="N123" i="39"/>
  <c r="M123" i="39"/>
  <c r="L123" i="39"/>
  <c r="K123" i="39"/>
  <c r="D146" i="43"/>
  <c r="T5" i="41"/>
  <c r="R5" i="41"/>
  <c r="P5" i="41"/>
  <c r="O133" i="41"/>
  <c r="N133" i="41"/>
  <c r="G5" i="39"/>
  <c r="D129" i="39"/>
  <c r="S5" i="41"/>
  <c r="H5" i="39"/>
  <c r="J5" i="44"/>
  <c r="H5" i="44"/>
  <c r="I5" i="44"/>
  <c r="Q5" i="37"/>
  <c r="I5" i="39"/>
  <c r="D16" i="43"/>
  <c r="F9" i="40"/>
  <c r="F8" i="40"/>
  <c r="F7" i="40"/>
  <c r="F5" i="40"/>
  <c r="F5" i="43"/>
  <c r="F10" i="43"/>
  <c r="F15" i="43"/>
  <c r="F11" i="43"/>
  <c r="F7" i="43"/>
  <c r="F12" i="43"/>
  <c r="F8" i="43"/>
  <c r="F13" i="43"/>
  <c r="F9" i="43"/>
  <c r="I5" i="43"/>
  <c r="M5" i="40"/>
  <c r="I5" i="40"/>
  <c r="H5" i="40"/>
  <c r="T5" i="42"/>
  <c r="S5" i="42"/>
  <c r="R5" i="42"/>
  <c r="Q5" i="42"/>
  <c r="I5" i="37"/>
  <c r="Q5" i="40"/>
  <c r="J5" i="37"/>
  <c r="P5" i="40"/>
  <c r="C146" i="43"/>
  <c r="O135" i="43"/>
  <c r="H5" i="43"/>
  <c r="N5" i="44"/>
  <c r="L5" i="44"/>
  <c r="M5" i="44"/>
  <c r="F10" i="42"/>
  <c r="G133" i="42"/>
  <c r="F7" i="42"/>
  <c r="F8" i="42"/>
  <c r="F9" i="42"/>
  <c r="H133" i="42"/>
  <c r="L5" i="43"/>
  <c r="F6" i="42"/>
  <c r="M5" i="43"/>
  <c r="R5" i="43"/>
  <c r="P5" i="43"/>
  <c r="F6" i="41"/>
  <c r="H5" i="42"/>
  <c r="K133" i="42"/>
  <c r="Q5" i="43"/>
  <c r="G133" i="40"/>
  <c r="H5" i="41"/>
  <c r="I5" i="42"/>
  <c r="L133" i="42"/>
  <c r="S5" i="43"/>
  <c r="M133" i="42"/>
  <c r="T5" i="43"/>
  <c r="P5" i="39"/>
  <c r="J5" i="41"/>
  <c r="N133" i="42"/>
  <c r="C16" i="43"/>
  <c r="Q5" i="39"/>
  <c r="L5" i="40"/>
  <c r="F8" i="41"/>
  <c r="L5" i="42"/>
  <c r="L5" i="41"/>
  <c r="M5" i="42"/>
  <c r="O135" i="45"/>
  <c r="N135" i="45"/>
  <c r="M135" i="45"/>
  <c r="L135" i="45"/>
  <c r="K135" i="45"/>
  <c r="H123" i="39"/>
  <c r="M5" i="41"/>
  <c r="C146" i="44"/>
  <c r="E146" i="44"/>
  <c r="H135" i="43"/>
  <c r="H5" i="45"/>
  <c r="I5" i="45"/>
  <c r="G135" i="44"/>
  <c r="P5" i="44"/>
  <c r="H135" i="44"/>
  <c r="L5" i="45"/>
  <c r="Q5" i="44"/>
  <c r="M5" i="45"/>
  <c r="N135" i="43"/>
  <c r="R5" i="44"/>
  <c r="S5" i="44"/>
  <c r="G135" i="45"/>
  <c r="L135" i="44"/>
  <c r="H135" i="45"/>
  <c r="I227" i="51" l="1"/>
  <c r="I117" i="51"/>
  <c r="I95" i="51"/>
  <c r="I29" i="51"/>
  <c r="G7" i="51"/>
  <c r="I51" i="51"/>
  <c r="I73" i="51"/>
  <c r="G7" i="52"/>
  <c r="J8" i="52" s="1"/>
  <c r="I73" i="52"/>
  <c r="I51" i="52"/>
  <c r="I29" i="52"/>
  <c r="J8" i="50"/>
  <c r="G7" i="50"/>
  <c r="I29" i="49"/>
  <c r="J30" i="49" s="1"/>
  <c r="I161" i="49"/>
  <c r="J162" i="49" s="1"/>
  <c r="I249" i="49"/>
  <c r="J250" i="49" s="1"/>
  <c r="J8" i="49"/>
  <c r="G249" i="49"/>
  <c r="H250" i="49" s="1"/>
  <c r="G161" i="49"/>
  <c r="H162" i="49" s="1"/>
  <c r="H8" i="49"/>
  <c r="G205" i="49"/>
  <c r="H206" i="49" s="1"/>
  <c r="G117" i="49"/>
  <c r="H118" i="49" s="1"/>
  <c r="G29" i="49"/>
  <c r="H30" i="49" s="1"/>
  <c r="G51" i="49"/>
  <c r="H52" i="49" s="1"/>
  <c r="G271" i="49"/>
  <c r="H272" i="49" s="1"/>
  <c r="G183" i="49"/>
  <c r="H184" i="49" s="1"/>
  <c r="G95" i="49"/>
  <c r="H96" i="49" s="1"/>
  <c r="G227" i="49"/>
  <c r="H228" i="49" s="1"/>
  <c r="G139" i="49"/>
  <c r="H140" i="49" s="1"/>
  <c r="E7" i="49"/>
  <c r="G73" i="49"/>
  <c r="H74" i="49" s="1"/>
  <c r="K140" i="44"/>
  <c r="R9" i="18"/>
  <c r="R16" i="18"/>
  <c r="K141" i="44"/>
  <c r="K142" i="43"/>
  <c r="K144" i="44"/>
  <c r="K140" i="43"/>
  <c r="R19" i="19"/>
  <c r="R52" i="19"/>
  <c r="J52" i="18"/>
  <c r="K26" i="17"/>
  <c r="K29" i="17"/>
  <c r="K98" i="17"/>
  <c r="F57" i="12"/>
  <c r="K139" i="44"/>
  <c r="J87" i="19"/>
  <c r="R68" i="18"/>
  <c r="J107" i="18"/>
  <c r="J59" i="18"/>
  <c r="K18" i="17"/>
  <c r="K137" i="43"/>
  <c r="K139" i="45"/>
  <c r="R30" i="19"/>
  <c r="R18" i="19"/>
  <c r="J13" i="19"/>
  <c r="J11" i="18"/>
  <c r="R158" i="18"/>
  <c r="K146" i="17"/>
  <c r="J14" i="19"/>
  <c r="R43" i="18"/>
  <c r="K142" i="44"/>
  <c r="J46" i="19"/>
  <c r="J86" i="18"/>
  <c r="K13" i="17"/>
  <c r="K58" i="17"/>
  <c r="R17" i="19"/>
  <c r="K20" i="17"/>
  <c r="K10" i="17"/>
  <c r="R13" i="19"/>
  <c r="J11" i="19"/>
  <c r="R87" i="18"/>
  <c r="R26" i="18"/>
  <c r="J89" i="18"/>
  <c r="K73" i="17"/>
  <c r="J24" i="19"/>
  <c r="R33" i="18"/>
  <c r="R51" i="18"/>
  <c r="J25" i="18"/>
  <c r="K138" i="44"/>
  <c r="R107" i="18"/>
  <c r="R60" i="18"/>
  <c r="J121" i="18"/>
  <c r="K137" i="45"/>
  <c r="K24" i="17"/>
  <c r="K137" i="17"/>
  <c r="K90" i="17"/>
  <c r="K137" i="44"/>
  <c r="R85" i="18"/>
  <c r="K55" i="17"/>
  <c r="K11" i="17"/>
  <c r="K143" i="44"/>
  <c r="G140" i="45"/>
  <c r="H140" i="45"/>
  <c r="K140" i="45" s="1"/>
  <c r="I140" i="45"/>
  <c r="H143" i="43"/>
  <c r="K143" i="43" s="1"/>
  <c r="G143" i="43"/>
  <c r="I143" i="43"/>
  <c r="I138" i="43"/>
  <c r="H138" i="43"/>
  <c r="K138" i="43" s="1"/>
  <c r="G138" i="43"/>
  <c r="I141" i="45"/>
  <c r="H141" i="45"/>
  <c r="K141" i="45" s="1"/>
  <c r="G141" i="45"/>
  <c r="I145" i="44"/>
  <c r="H145" i="44"/>
  <c r="K145" i="44" s="1"/>
  <c r="G145" i="44"/>
  <c r="N141" i="44"/>
  <c r="M141" i="44"/>
  <c r="L141" i="44"/>
  <c r="O141" i="44"/>
  <c r="N145" i="43"/>
  <c r="M145" i="43"/>
  <c r="L145" i="43"/>
  <c r="O145" i="43"/>
  <c r="I136" i="45"/>
  <c r="F146" i="45"/>
  <c r="H136" i="45"/>
  <c r="K136" i="45" s="1"/>
  <c r="G136" i="45"/>
  <c r="I144" i="43"/>
  <c r="H144" i="43"/>
  <c r="K144" i="43" s="1"/>
  <c r="G144" i="43"/>
  <c r="I139" i="43"/>
  <c r="G139" i="43"/>
  <c r="H139" i="43"/>
  <c r="K139" i="43" s="1"/>
  <c r="I142" i="45"/>
  <c r="H142" i="45"/>
  <c r="K142" i="45" s="1"/>
  <c r="G142" i="45"/>
  <c r="I145" i="43"/>
  <c r="H145" i="43"/>
  <c r="K145" i="43" s="1"/>
  <c r="G145" i="43"/>
  <c r="T12" i="43"/>
  <c r="R12" i="43"/>
  <c r="P12" i="43"/>
  <c r="S12" i="43"/>
  <c r="Q12" i="43"/>
  <c r="L11" i="43"/>
  <c r="N11" i="43"/>
  <c r="M11" i="43"/>
  <c r="O140" i="45"/>
  <c r="N140" i="45"/>
  <c r="M140" i="45"/>
  <c r="L140" i="45"/>
  <c r="O145" i="45"/>
  <c r="N145" i="45"/>
  <c r="M145" i="45"/>
  <c r="L145" i="45"/>
  <c r="O139" i="45"/>
  <c r="N139" i="45"/>
  <c r="M139" i="45"/>
  <c r="L139" i="45"/>
  <c r="O144" i="45"/>
  <c r="N144" i="45"/>
  <c r="M144" i="45"/>
  <c r="L144" i="45"/>
  <c r="O138" i="45"/>
  <c r="N138" i="45"/>
  <c r="M138" i="45"/>
  <c r="L138" i="45"/>
  <c r="O143" i="45"/>
  <c r="N143" i="45"/>
  <c r="M143" i="45"/>
  <c r="L143" i="45"/>
  <c r="N137" i="45"/>
  <c r="M137" i="45"/>
  <c r="L137" i="45"/>
  <c r="O137" i="45"/>
  <c r="M142" i="45"/>
  <c r="L142" i="45"/>
  <c r="N142" i="45"/>
  <c r="O142" i="45"/>
  <c r="O136" i="45"/>
  <c r="N136" i="45"/>
  <c r="J146" i="45"/>
  <c r="L136" i="45"/>
  <c r="M136" i="45"/>
  <c r="O141" i="45"/>
  <c r="N141" i="45"/>
  <c r="M141" i="45"/>
  <c r="L141" i="45"/>
  <c r="J15" i="43"/>
  <c r="H15" i="43"/>
  <c r="I15" i="43"/>
  <c r="N7" i="43"/>
  <c r="L7" i="43"/>
  <c r="M7" i="43"/>
  <c r="H6" i="43"/>
  <c r="G16" i="43"/>
  <c r="I6" i="43"/>
  <c r="J6" i="43"/>
  <c r="R8" i="43"/>
  <c r="P8" i="43"/>
  <c r="S8" i="43"/>
  <c r="Q8" i="43"/>
  <c r="T8" i="43"/>
  <c r="I7" i="41"/>
  <c r="H7" i="41"/>
  <c r="J7" i="41"/>
  <c r="J11" i="43"/>
  <c r="I11" i="43"/>
  <c r="H11" i="43"/>
  <c r="N8" i="42"/>
  <c r="L8" i="42"/>
  <c r="N7" i="42"/>
  <c r="M7" i="42"/>
  <c r="L7" i="42"/>
  <c r="N6" i="42"/>
  <c r="M6" i="42"/>
  <c r="L6" i="42"/>
  <c r="I128" i="39"/>
  <c r="H128" i="39"/>
  <c r="G128" i="39"/>
  <c r="R13" i="43"/>
  <c r="P13" i="43"/>
  <c r="T13" i="43"/>
  <c r="S13" i="43"/>
  <c r="Q13" i="43"/>
  <c r="N12" i="43"/>
  <c r="M12" i="43"/>
  <c r="L12" i="43"/>
  <c r="J7" i="43"/>
  <c r="I7" i="43"/>
  <c r="H7" i="43"/>
  <c r="L8" i="43"/>
  <c r="N8" i="43"/>
  <c r="M8" i="43"/>
  <c r="N10" i="42"/>
  <c r="L10" i="42"/>
  <c r="M10" i="42"/>
  <c r="O134" i="40"/>
  <c r="N134" i="40"/>
  <c r="M134" i="40"/>
  <c r="L134" i="40"/>
  <c r="K134" i="40"/>
  <c r="H124" i="39"/>
  <c r="G124" i="39"/>
  <c r="J12" i="43"/>
  <c r="H12" i="43"/>
  <c r="I12" i="43"/>
  <c r="P9" i="43"/>
  <c r="T9" i="43"/>
  <c r="S9" i="43"/>
  <c r="R9" i="43"/>
  <c r="Q9" i="43"/>
  <c r="N9" i="43"/>
  <c r="M9" i="43"/>
  <c r="L9" i="43"/>
  <c r="N14" i="43"/>
  <c r="L14" i="43"/>
  <c r="M14" i="43"/>
  <c r="T10" i="43"/>
  <c r="S10" i="43"/>
  <c r="R10" i="43"/>
  <c r="Q10" i="43"/>
  <c r="P10" i="43"/>
  <c r="T6" i="43"/>
  <c r="O16" i="43"/>
  <c r="P6" i="43"/>
  <c r="S6" i="43"/>
  <c r="R6" i="43"/>
  <c r="Q6" i="43"/>
  <c r="T15" i="43"/>
  <c r="S15" i="43"/>
  <c r="R15" i="43"/>
  <c r="Q15" i="43"/>
  <c r="P15" i="43"/>
  <c r="T11" i="43"/>
  <c r="R11" i="43"/>
  <c r="S11" i="43"/>
  <c r="Q11" i="43"/>
  <c r="P11" i="43"/>
  <c r="N6" i="43"/>
  <c r="L6" i="43"/>
  <c r="K16" i="43"/>
  <c r="M6" i="43"/>
  <c r="O134" i="42"/>
  <c r="N134" i="42"/>
  <c r="M134" i="42"/>
  <c r="L134" i="42"/>
  <c r="K134" i="42"/>
  <c r="T6" i="42"/>
  <c r="S6" i="42"/>
  <c r="R6" i="42"/>
  <c r="Q6" i="42"/>
  <c r="P6" i="42"/>
  <c r="T9" i="40"/>
  <c r="S9" i="40"/>
  <c r="Q9" i="40"/>
  <c r="P9" i="40"/>
  <c r="R9" i="40"/>
  <c r="T7" i="40"/>
  <c r="AA19" i="40" s="1"/>
  <c r="R7" i="40"/>
  <c r="Q7" i="40"/>
  <c r="P7" i="40"/>
  <c r="S7" i="40"/>
  <c r="J43" i="37"/>
  <c r="I43" i="37"/>
  <c r="I36" i="37"/>
  <c r="J36" i="37"/>
  <c r="Q34" i="37"/>
  <c r="P34" i="37"/>
  <c r="P27" i="37"/>
  <c r="Q27" i="37"/>
  <c r="I20" i="37"/>
  <c r="J20" i="37"/>
  <c r="Q10" i="37"/>
  <c r="P10" i="37"/>
  <c r="T6" i="40"/>
  <c r="S6" i="40"/>
  <c r="R6" i="40"/>
  <c r="Q6" i="40"/>
  <c r="P6" i="40"/>
  <c r="S8" i="40"/>
  <c r="R8" i="40"/>
  <c r="P8" i="40"/>
  <c r="T8" i="40"/>
  <c r="Q8" i="40"/>
  <c r="AA20" i="40"/>
  <c r="P44" i="37"/>
  <c r="Q44" i="37"/>
  <c r="I33" i="37"/>
  <c r="J33" i="37"/>
  <c r="P28" i="37"/>
  <c r="Q28" i="37"/>
  <c r="I21" i="37"/>
  <c r="J21" i="37"/>
  <c r="P11" i="37"/>
  <c r="Q11" i="37"/>
  <c r="R10" i="42"/>
  <c r="Q10" i="42"/>
  <c r="P10" i="42"/>
  <c r="T10" i="42"/>
  <c r="AA20" i="42" s="1"/>
  <c r="S10" i="42"/>
  <c r="P9" i="42"/>
  <c r="Q9" i="42"/>
  <c r="T9" i="42"/>
  <c r="S9" i="42"/>
  <c r="R9" i="42"/>
  <c r="J50" i="37"/>
  <c r="I50" i="37"/>
  <c r="Q41" i="37"/>
  <c r="P41" i="37"/>
  <c r="Q29" i="37"/>
  <c r="P29" i="37"/>
  <c r="J22" i="37"/>
  <c r="I22" i="37"/>
  <c r="Q12" i="37"/>
  <c r="P12" i="37"/>
  <c r="J44" i="37"/>
  <c r="I44" i="37"/>
  <c r="I42" i="37"/>
  <c r="J42" i="37"/>
  <c r="J41" i="37"/>
  <c r="I41" i="37"/>
  <c r="J39" i="37"/>
  <c r="I39" i="37"/>
  <c r="I40" i="37"/>
  <c r="J40" i="37"/>
  <c r="Q38" i="37"/>
  <c r="P38" i="37"/>
  <c r="J23" i="37"/>
  <c r="I23" i="37"/>
  <c r="Q13" i="37"/>
  <c r="P13" i="37"/>
  <c r="J6" i="40"/>
  <c r="I6" i="40"/>
  <c r="H6" i="40"/>
  <c r="J7" i="40"/>
  <c r="I7" i="40"/>
  <c r="H7" i="40"/>
  <c r="H8" i="40"/>
  <c r="M8" i="40"/>
  <c r="J8" i="40"/>
  <c r="I8" i="40"/>
  <c r="J24" i="37"/>
  <c r="I24" i="37"/>
  <c r="Q14" i="37"/>
  <c r="P14" i="37"/>
  <c r="J7" i="37"/>
  <c r="I7" i="37"/>
  <c r="F6" i="43"/>
  <c r="E16" i="43"/>
  <c r="F16" i="43" s="1"/>
  <c r="J37" i="37"/>
  <c r="I37" i="37"/>
  <c r="P31" i="37"/>
  <c r="Q31" i="37"/>
  <c r="J25" i="37"/>
  <c r="I25" i="37"/>
  <c r="Q16" i="37"/>
  <c r="P16" i="37"/>
  <c r="Q15" i="37"/>
  <c r="P15" i="37"/>
  <c r="Q42" i="37"/>
  <c r="P42" i="37"/>
  <c r="I51" i="37"/>
  <c r="J51" i="37"/>
  <c r="I48" i="37"/>
  <c r="J48" i="37"/>
  <c r="P39" i="37"/>
  <c r="Q39" i="37"/>
  <c r="I28" i="37"/>
  <c r="J28" i="37"/>
  <c r="Q19" i="37"/>
  <c r="P19" i="37"/>
  <c r="J11" i="37"/>
  <c r="I11" i="37"/>
  <c r="I45" i="37"/>
  <c r="J45" i="37"/>
  <c r="P36" i="37"/>
  <c r="Q36" i="37"/>
  <c r="J29" i="37"/>
  <c r="I29" i="37"/>
  <c r="P20" i="37"/>
  <c r="Q20" i="37"/>
  <c r="I12" i="37"/>
  <c r="J12" i="37"/>
  <c r="J38" i="37"/>
  <c r="I38" i="37"/>
  <c r="J30" i="37"/>
  <c r="I30" i="37"/>
  <c r="Q21" i="37"/>
  <c r="P21" i="37"/>
  <c r="J35" i="37"/>
  <c r="I35" i="37"/>
  <c r="Q22" i="37"/>
  <c r="P22" i="37"/>
  <c r="J14" i="37"/>
  <c r="I14" i="37"/>
  <c r="Q35" i="37"/>
  <c r="P35" i="37"/>
  <c r="Q51" i="37"/>
  <c r="P51" i="37"/>
  <c r="P33" i="37"/>
  <c r="Q33" i="37"/>
  <c r="P49" i="37"/>
  <c r="Q49" i="37"/>
  <c r="Q32" i="37"/>
  <c r="P32" i="37"/>
  <c r="Q48" i="37"/>
  <c r="P48" i="37"/>
  <c r="Q30" i="37"/>
  <c r="P30" i="37"/>
  <c r="Q46" i="37"/>
  <c r="P46" i="37"/>
  <c r="T7" i="41"/>
  <c r="S7" i="41"/>
  <c r="Q7" i="41"/>
  <c r="P7" i="41"/>
  <c r="AA19" i="41"/>
  <c r="R7" i="41"/>
  <c r="T8" i="41"/>
  <c r="S8" i="41"/>
  <c r="R8" i="41"/>
  <c r="Q8" i="41"/>
  <c r="P8" i="41"/>
  <c r="T9" i="41"/>
  <c r="S9" i="41"/>
  <c r="R9" i="41"/>
  <c r="Q9" i="41"/>
  <c r="P9" i="41"/>
  <c r="S10" i="41"/>
  <c r="R10" i="41"/>
  <c r="Q10" i="41"/>
  <c r="P10" i="41"/>
  <c r="AA20" i="41"/>
  <c r="T10" i="41"/>
  <c r="J49" i="37"/>
  <c r="I49" i="37"/>
  <c r="Q40" i="37"/>
  <c r="P40" i="37"/>
  <c r="Q24" i="37"/>
  <c r="P24" i="37"/>
  <c r="P47" i="37"/>
  <c r="Q47" i="37"/>
  <c r="Q26" i="37"/>
  <c r="P26" i="37"/>
  <c r="J32" i="36"/>
  <c r="I32" i="36"/>
  <c r="J24" i="36"/>
  <c r="I24" i="36"/>
  <c r="I42" i="36"/>
  <c r="J42" i="36"/>
  <c r="J41" i="36"/>
  <c r="I41" i="36"/>
  <c r="J37" i="36"/>
  <c r="I37" i="36"/>
  <c r="J35" i="36"/>
  <c r="I35" i="36"/>
  <c r="J51" i="36"/>
  <c r="I51" i="36"/>
  <c r="I34" i="36"/>
  <c r="J34" i="36"/>
  <c r="I50" i="36"/>
  <c r="J50" i="36"/>
  <c r="I17" i="36"/>
  <c r="J17" i="36"/>
  <c r="J33" i="36"/>
  <c r="I33" i="36"/>
  <c r="J49" i="36"/>
  <c r="I49" i="36"/>
  <c r="I18" i="36"/>
  <c r="J18" i="36"/>
  <c r="J7" i="36"/>
  <c r="I7" i="36"/>
  <c r="AL35" i="35"/>
  <c r="AK35" i="35"/>
  <c r="J25" i="36"/>
  <c r="I25" i="36"/>
  <c r="J8" i="36"/>
  <c r="I8" i="36"/>
  <c r="AL38" i="35"/>
  <c r="AK38" i="35"/>
  <c r="J47" i="36"/>
  <c r="I47" i="36"/>
  <c r="J40" i="36"/>
  <c r="I40" i="36"/>
  <c r="J30" i="36"/>
  <c r="I30" i="36"/>
  <c r="J19" i="36"/>
  <c r="I19" i="36"/>
  <c r="J9" i="36"/>
  <c r="I9" i="36"/>
  <c r="J45" i="36"/>
  <c r="I45" i="36"/>
  <c r="N126" i="39"/>
  <c r="M126" i="39"/>
  <c r="K126" i="39"/>
  <c r="O126" i="39"/>
  <c r="L126" i="39"/>
  <c r="J129" i="39"/>
  <c r="N127" i="39"/>
  <c r="O127" i="39"/>
  <c r="M127" i="39"/>
  <c r="L127" i="39"/>
  <c r="K127" i="39"/>
  <c r="M128" i="39"/>
  <c r="L128" i="39"/>
  <c r="K128" i="39"/>
  <c r="N128" i="39"/>
  <c r="O128" i="39"/>
  <c r="O125" i="39"/>
  <c r="N125" i="39"/>
  <c r="M125" i="39"/>
  <c r="K125" i="39"/>
  <c r="L125" i="39"/>
  <c r="M124" i="39"/>
  <c r="L124" i="39"/>
  <c r="O124" i="39"/>
  <c r="N124" i="39"/>
  <c r="Q26" i="36"/>
  <c r="P26" i="36"/>
  <c r="Q18" i="36"/>
  <c r="P18" i="36"/>
  <c r="I30" i="35"/>
  <c r="H30" i="35"/>
  <c r="AT9" i="35"/>
  <c r="AS9" i="35"/>
  <c r="AV9" i="35"/>
  <c r="AU9" i="35"/>
  <c r="AR9" i="35"/>
  <c r="P9" i="36"/>
  <c r="Q9" i="36"/>
  <c r="P7" i="36"/>
  <c r="Q7" i="36"/>
  <c r="Q37" i="36"/>
  <c r="P37" i="36"/>
  <c r="Q17" i="36"/>
  <c r="P17" i="36"/>
  <c r="Q29" i="36"/>
  <c r="P29" i="36"/>
  <c r="Q39" i="36"/>
  <c r="P39" i="36"/>
  <c r="Q50" i="36"/>
  <c r="P50" i="36"/>
  <c r="P16" i="36"/>
  <c r="Q16" i="36"/>
  <c r="Q23" i="36"/>
  <c r="P23" i="36"/>
  <c r="Q46" i="36"/>
  <c r="P46" i="36"/>
  <c r="Q15" i="36"/>
  <c r="P15" i="36"/>
  <c r="Q34" i="36"/>
  <c r="P34" i="36"/>
  <c r="Q14" i="36"/>
  <c r="P14" i="36"/>
  <c r="Q22" i="36"/>
  <c r="P22" i="36"/>
  <c r="Q28" i="36"/>
  <c r="P28" i="36"/>
  <c r="Q31" i="36"/>
  <c r="P31" i="36"/>
  <c r="Q36" i="36"/>
  <c r="P36" i="36"/>
  <c r="Q13" i="36"/>
  <c r="P13" i="36"/>
  <c r="Q38" i="36"/>
  <c r="P38" i="36"/>
  <c r="Q43" i="36"/>
  <c r="P43" i="36"/>
  <c r="Q21" i="36"/>
  <c r="P21" i="36"/>
  <c r="Q27" i="36"/>
  <c r="P27" i="36"/>
  <c r="P12" i="36"/>
  <c r="Q12" i="36"/>
  <c r="Q20" i="36"/>
  <c r="P20" i="36"/>
  <c r="P45" i="36"/>
  <c r="Q45" i="36"/>
  <c r="Q47" i="36"/>
  <c r="P47" i="36"/>
  <c r="Q51" i="36"/>
  <c r="P51" i="36"/>
  <c r="P33" i="36"/>
  <c r="Q33" i="36"/>
  <c r="P49" i="36"/>
  <c r="Q49" i="36"/>
  <c r="Q32" i="36"/>
  <c r="P32" i="36"/>
  <c r="Q48" i="36"/>
  <c r="P48" i="36"/>
  <c r="Q44" i="36"/>
  <c r="P44" i="36"/>
  <c r="Q42" i="36"/>
  <c r="P42" i="36"/>
  <c r="P25" i="36"/>
  <c r="Q25" i="36"/>
  <c r="P41" i="36"/>
  <c r="Q41" i="36"/>
  <c r="Q24" i="36"/>
  <c r="P24" i="36"/>
  <c r="P40" i="36"/>
  <c r="Q40" i="36"/>
  <c r="AJ17" i="35"/>
  <c r="AL17" i="35"/>
  <c r="AK17" i="35"/>
  <c r="AL11" i="35"/>
  <c r="AK11" i="35"/>
  <c r="AJ11" i="35"/>
  <c r="AL12" i="35"/>
  <c r="AK12" i="35"/>
  <c r="AJ12" i="35"/>
  <c r="AV15" i="35"/>
  <c r="AU15" i="35"/>
  <c r="AT15" i="35"/>
  <c r="AS15" i="35"/>
  <c r="AR15" i="35"/>
  <c r="AU8" i="35"/>
  <c r="AT8" i="35"/>
  <c r="AS8" i="35"/>
  <c r="AR8" i="35"/>
  <c r="AV8" i="35"/>
  <c r="I39" i="35"/>
  <c r="H39" i="35"/>
  <c r="I34" i="35"/>
  <c r="H34" i="35"/>
  <c r="I33" i="35"/>
  <c r="H33" i="35"/>
  <c r="I32" i="35"/>
  <c r="H32" i="35"/>
  <c r="I31" i="35"/>
  <c r="H31" i="35"/>
  <c r="H38" i="35"/>
  <c r="I38" i="35"/>
  <c r="I35" i="35"/>
  <c r="H35" i="35"/>
  <c r="AL13" i="35"/>
  <c r="AK13" i="35"/>
  <c r="AJ13" i="35"/>
  <c r="AJ10" i="35"/>
  <c r="AL10" i="35"/>
  <c r="AK10" i="35"/>
  <c r="AJ18" i="35"/>
  <c r="AL18" i="35"/>
  <c r="AK18" i="35"/>
  <c r="AV16" i="35"/>
  <c r="AU16" i="35"/>
  <c r="AT16" i="35"/>
  <c r="AS16" i="35"/>
  <c r="AR16" i="35"/>
  <c r="AV12" i="35"/>
  <c r="AU12" i="35"/>
  <c r="AT12" i="35"/>
  <c r="AR12" i="35"/>
  <c r="AS12" i="35"/>
  <c r="AQ22" i="35"/>
  <c r="AV11" i="35"/>
  <c r="AU11" i="35"/>
  <c r="AT11" i="35"/>
  <c r="AS11" i="35"/>
  <c r="AR11" i="35"/>
  <c r="AT17" i="35"/>
  <c r="AS17" i="35"/>
  <c r="AR17" i="35"/>
  <c r="AV17" i="35"/>
  <c r="AU17" i="35"/>
  <c r="AR14" i="35"/>
  <c r="AU14" i="35"/>
  <c r="AT14" i="35"/>
  <c r="AS14" i="35"/>
  <c r="AV14" i="35"/>
  <c r="N80" i="33"/>
  <c r="N77" i="33"/>
  <c r="N74" i="33"/>
  <c r="N78" i="33"/>
  <c r="N75" i="33"/>
  <c r="N79" i="33"/>
  <c r="N76" i="33"/>
  <c r="N56" i="33"/>
  <c r="N53" i="33"/>
  <c r="N54" i="33"/>
  <c r="N55" i="33"/>
  <c r="N58" i="33"/>
  <c r="N57" i="33"/>
  <c r="N52" i="33"/>
  <c r="N34" i="33"/>
  <c r="N31" i="33"/>
  <c r="N32" i="33"/>
  <c r="N36" i="33"/>
  <c r="N33" i="33"/>
  <c r="N30" i="33"/>
  <c r="N35" i="33"/>
  <c r="W38" i="35"/>
  <c r="V38" i="35"/>
  <c r="W37" i="35"/>
  <c r="V37" i="35"/>
  <c r="W34" i="35"/>
  <c r="V34" i="35"/>
  <c r="W35" i="35"/>
  <c r="V35" i="35"/>
  <c r="W39" i="35"/>
  <c r="V39" i="35"/>
  <c r="W36" i="35"/>
  <c r="V36" i="35"/>
  <c r="W33" i="35"/>
  <c r="V33" i="35"/>
  <c r="W30" i="35"/>
  <c r="V30" i="35"/>
  <c r="W40" i="35"/>
  <c r="V40" i="35"/>
  <c r="M98" i="28"/>
  <c r="L98" i="28"/>
  <c r="K98" i="28"/>
  <c r="J98" i="28"/>
  <c r="I98" i="28"/>
  <c r="M74" i="28"/>
  <c r="K74" i="28"/>
  <c r="I74" i="28"/>
  <c r="L74" i="28"/>
  <c r="J74" i="28"/>
  <c r="M14" i="28"/>
  <c r="L14" i="28"/>
  <c r="K14" i="28"/>
  <c r="J14" i="28"/>
  <c r="I14" i="28"/>
  <c r="M50" i="28"/>
  <c r="K50" i="28"/>
  <c r="J50" i="28"/>
  <c r="L50" i="28"/>
  <c r="I50" i="28"/>
  <c r="M54" i="28"/>
  <c r="H62" i="28"/>
  <c r="J54" i="28"/>
  <c r="L54" i="28"/>
  <c r="K54" i="28"/>
  <c r="I54" i="28"/>
  <c r="M58" i="28"/>
  <c r="J58" i="28"/>
  <c r="L58" i="28"/>
  <c r="K58" i="28"/>
  <c r="I58" i="28"/>
  <c r="M116" i="28"/>
  <c r="L116" i="28"/>
  <c r="J116" i="28"/>
  <c r="K116" i="28"/>
  <c r="I116" i="28"/>
  <c r="M60" i="28"/>
  <c r="L60" i="28"/>
  <c r="K60" i="28"/>
  <c r="J60" i="28"/>
  <c r="I60" i="28"/>
  <c r="M65" i="28"/>
  <c r="L65" i="28"/>
  <c r="K65" i="28"/>
  <c r="J65" i="28"/>
  <c r="I65" i="28"/>
  <c r="M84" i="28"/>
  <c r="L84" i="28"/>
  <c r="K84" i="28"/>
  <c r="J84" i="28"/>
  <c r="I84" i="28"/>
  <c r="M144" i="28"/>
  <c r="L144" i="28"/>
  <c r="K144" i="28"/>
  <c r="J144" i="28"/>
  <c r="I144" i="28"/>
  <c r="M137" i="28"/>
  <c r="L137" i="28"/>
  <c r="K137" i="28"/>
  <c r="J137" i="28"/>
  <c r="I137" i="28"/>
  <c r="M127" i="28"/>
  <c r="L127" i="28"/>
  <c r="K127" i="28"/>
  <c r="J127" i="28"/>
  <c r="I127" i="28"/>
  <c r="M129" i="28"/>
  <c r="L129" i="28"/>
  <c r="K129" i="28"/>
  <c r="J129" i="28"/>
  <c r="I129" i="28"/>
  <c r="M36" i="28"/>
  <c r="L36" i="28"/>
  <c r="J36" i="28"/>
  <c r="I36" i="28"/>
  <c r="K36" i="28"/>
  <c r="H48" i="28"/>
  <c r="M40" i="28"/>
  <c r="L40" i="28"/>
  <c r="K40" i="28"/>
  <c r="J40" i="28"/>
  <c r="I40" i="28"/>
  <c r="M44" i="28"/>
  <c r="L44" i="28"/>
  <c r="K44" i="28"/>
  <c r="J44" i="28"/>
  <c r="I44" i="28"/>
  <c r="M89" i="28"/>
  <c r="L89" i="28"/>
  <c r="K89" i="28"/>
  <c r="J89" i="28"/>
  <c r="I89" i="28"/>
  <c r="M110" i="28"/>
  <c r="L110" i="28"/>
  <c r="K110" i="28"/>
  <c r="J110" i="28"/>
  <c r="I110" i="28"/>
  <c r="H118" i="28"/>
  <c r="M120" i="28"/>
  <c r="L120" i="28"/>
  <c r="K120" i="28"/>
  <c r="J120" i="28"/>
  <c r="I120" i="28"/>
  <c r="M92" i="28"/>
  <c r="L92" i="28"/>
  <c r="K92" i="28"/>
  <c r="J92" i="28"/>
  <c r="I92" i="28"/>
  <c r="M112" i="28"/>
  <c r="L112" i="28"/>
  <c r="K112" i="28"/>
  <c r="J112" i="28"/>
  <c r="I112" i="28"/>
  <c r="M157" i="28"/>
  <c r="J157" i="28"/>
  <c r="L157" i="28"/>
  <c r="K157" i="28"/>
  <c r="I157" i="28"/>
  <c r="M19" i="28"/>
  <c r="L19" i="28"/>
  <c r="K19" i="28"/>
  <c r="J19" i="28"/>
  <c r="I19" i="28"/>
  <c r="L46" i="28"/>
  <c r="K46" i="28"/>
  <c r="M46" i="28"/>
  <c r="J46" i="28"/>
  <c r="I46" i="28"/>
  <c r="M51" i="28"/>
  <c r="L51" i="28"/>
  <c r="K51" i="28"/>
  <c r="J51" i="28"/>
  <c r="I51" i="28"/>
  <c r="M55" i="28"/>
  <c r="L55" i="28"/>
  <c r="K55" i="28"/>
  <c r="J55" i="28"/>
  <c r="I55" i="28"/>
  <c r="M148" i="28"/>
  <c r="L148" i="28"/>
  <c r="K148" i="28"/>
  <c r="J148" i="28"/>
  <c r="I148" i="28"/>
  <c r="M150" i="28"/>
  <c r="L150" i="28"/>
  <c r="K150" i="28"/>
  <c r="J150" i="28"/>
  <c r="I150" i="28"/>
  <c r="L24" i="28"/>
  <c r="K24" i="28"/>
  <c r="J24" i="28"/>
  <c r="I24" i="28"/>
  <c r="M24" i="28"/>
  <c r="L85" i="28"/>
  <c r="K85" i="28"/>
  <c r="J85" i="28"/>
  <c r="I85" i="28"/>
  <c r="M85" i="28"/>
  <c r="L106" i="28"/>
  <c r="K106" i="28"/>
  <c r="J106" i="28"/>
  <c r="I106" i="28"/>
  <c r="M106" i="28"/>
  <c r="M140" i="28"/>
  <c r="L140" i="28"/>
  <c r="K140" i="28"/>
  <c r="J140" i="28"/>
  <c r="I140" i="28"/>
  <c r="K9" i="28"/>
  <c r="J9" i="28"/>
  <c r="I9" i="28"/>
  <c r="M9" i="28"/>
  <c r="L9" i="28"/>
  <c r="M53" i="28"/>
  <c r="L53" i="28"/>
  <c r="J53" i="28"/>
  <c r="I53" i="28"/>
  <c r="K53" i="28"/>
  <c r="M57" i="28"/>
  <c r="K57" i="28"/>
  <c r="J57" i="28"/>
  <c r="I57" i="28"/>
  <c r="L57" i="28"/>
  <c r="K61" i="28"/>
  <c r="J61" i="28"/>
  <c r="I61" i="28"/>
  <c r="M61" i="28"/>
  <c r="L61" i="28"/>
  <c r="M87" i="28"/>
  <c r="L87" i="28"/>
  <c r="K87" i="28"/>
  <c r="J87" i="28"/>
  <c r="I87" i="28"/>
  <c r="K130" i="28"/>
  <c r="J130" i="28"/>
  <c r="I130" i="28"/>
  <c r="M130" i="28"/>
  <c r="L130" i="28"/>
  <c r="J12" i="28"/>
  <c r="I12" i="28"/>
  <c r="L12" i="28"/>
  <c r="K12" i="28"/>
  <c r="H20" i="28"/>
  <c r="M12" i="28"/>
  <c r="H34" i="28"/>
  <c r="M26" i="28"/>
  <c r="L26" i="28"/>
  <c r="J26" i="28"/>
  <c r="I26" i="28"/>
  <c r="K26" i="28"/>
  <c r="J28" i="28"/>
  <c r="I28" i="28"/>
  <c r="L28" i="28"/>
  <c r="K28" i="28"/>
  <c r="M28" i="28"/>
  <c r="J30" i="28"/>
  <c r="I30" i="28"/>
  <c r="L30" i="28"/>
  <c r="K30" i="28"/>
  <c r="M30" i="28"/>
  <c r="J79" i="28"/>
  <c r="I79" i="28"/>
  <c r="M79" i="28"/>
  <c r="L79" i="28"/>
  <c r="K79" i="28"/>
  <c r="J99" i="28"/>
  <c r="I99" i="28"/>
  <c r="M99" i="28"/>
  <c r="L99" i="28"/>
  <c r="K99" i="28"/>
  <c r="M123" i="28"/>
  <c r="J123" i="28"/>
  <c r="I123" i="28"/>
  <c r="L123" i="28"/>
  <c r="K123" i="28"/>
  <c r="J158" i="28"/>
  <c r="I158" i="28"/>
  <c r="L158" i="28"/>
  <c r="K158" i="28"/>
  <c r="M158" i="28"/>
  <c r="I15" i="28"/>
  <c r="M15" i="28"/>
  <c r="L15" i="28"/>
  <c r="K15" i="28"/>
  <c r="J15" i="28"/>
  <c r="L64" i="28"/>
  <c r="K64" i="28"/>
  <c r="I64" i="28"/>
  <c r="J64" i="28"/>
  <c r="M64" i="28"/>
  <c r="H76" i="28"/>
  <c r="I68" i="28"/>
  <c r="M68" i="28"/>
  <c r="L68" i="28"/>
  <c r="K68" i="28"/>
  <c r="J68" i="28"/>
  <c r="I72" i="28"/>
  <c r="M72" i="28"/>
  <c r="L72" i="28"/>
  <c r="K72" i="28"/>
  <c r="J72" i="28"/>
  <c r="M81" i="28"/>
  <c r="L81" i="28"/>
  <c r="K81" i="28"/>
  <c r="I81" i="28"/>
  <c r="J81" i="28"/>
  <c r="M101" i="28"/>
  <c r="L101" i="28"/>
  <c r="K101" i="28"/>
  <c r="J101" i="28"/>
  <c r="I101" i="28"/>
  <c r="I113" i="28"/>
  <c r="M113" i="28"/>
  <c r="L113" i="28"/>
  <c r="K113" i="28"/>
  <c r="J113" i="28"/>
  <c r="M115" i="28"/>
  <c r="L115" i="28"/>
  <c r="K115" i="28"/>
  <c r="J115" i="28"/>
  <c r="I115" i="28"/>
  <c r="L18" i="28"/>
  <c r="M18" i="28"/>
  <c r="J18" i="28"/>
  <c r="I18" i="28"/>
  <c r="K18" i="28"/>
  <c r="M32" i="28"/>
  <c r="K32" i="28"/>
  <c r="J32" i="28"/>
  <c r="L32" i="28"/>
  <c r="I32" i="28"/>
  <c r="L37" i="28"/>
  <c r="M37" i="28"/>
  <c r="J37" i="28"/>
  <c r="I37" i="28"/>
  <c r="K37" i="28"/>
  <c r="L41" i="28"/>
  <c r="J41" i="28"/>
  <c r="I41" i="28"/>
  <c r="M41" i="28"/>
  <c r="K41" i="28"/>
  <c r="L93" i="28"/>
  <c r="J93" i="28"/>
  <c r="I93" i="28"/>
  <c r="M93" i="28"/>
  <c r="K93" i="28"/>
  <c r="L151" i="28"/>
  <c r="M151" i="28"/>
  <c r="J151" i="28"/>
  <c r="I151" i="28"/>
  <c r="K151" i="28"/>
  <c r="M153" i="28"/>
  <c r="L153" i="28"/>
  <c r="K153" i="28"/>
  <c r="J153" i="28"/>
  <c r="I153" i="28"/>
  <c r="M122" i="28"/>
  <c r="L122" i="28"/>
  <c r="K122" i="28"/>
  <c r="J122" i="28"/>
  <c r="I122" i="28"/>
  <c r="M139" i="28"/>
  <c r="L139" i="28"/>
  <c r="K139" i="28"/>
  <c r="J139" i="28"/>
  <c r="I139" i="28"/>
  <c r="M156" i="28"/>
  <c r="L156" i="28"/>
  <c r="K156" i="28"/>
  <c r="J156" i="28"/>
  <c r="I156" i="28"/>
  <c r="L22" i="28"/>
  <c r="K22" i="28"/>
  <c r="I22" i="28"/>
  <c r="M22" i="28"/>
  <c r="J22" i="28"/>
  <c r="L39" i="28"/>
  <c r="K39" i="28"/>
  <c r="I39" i="28"/>
  <c r="M39" i="28"/>
  <c r="J39" i="28"/>
  <c r="L56" i="28"/>
  <c r="K56" i="28"/>
  <c r="I56" i="28"/>
  <c r="J56" i="28"/>
  <c r="M56" i="28"/>
  <c r="L73" i="28"/>
  <c r="K73" i="28"/>
  <c r="I73" i="28"/>
  <c r="M73" i="28"/>
  <c r="J73" i="28"/>
  <c r="L108" i="28"/>
  <c r="K108" i="28"/>
  <c r="J108" i="28"/>
  <c r="I108" i="28"/>
  <c r="M108" i="28"/>
  <c r="L125" i="28"/>
  <c r="K125" i="28"/>
  <c r="J125" i="28"/>
  <c r="I125" i="28"/>
  <c r="M125" i="28"/>
  <c r="L142" i="28"/>
  <c r="K142" i="28"/>
  <c r="J142" i="28"/>
  <c r="I142" i="28"/>
  <c r="M142" i="28"/>
  <c r="L159" i="28"/>
  <c r="K159" i="28"/>
  <c r="J159" i="28"/>
  <c r="I159" i="28"/>
  <c r="M159" i="28"/>
  <c r="K25" i="28"/>
  <c r="J25" i="28"/>
  <c r="I25" i="28"/>
  <c r="M25" i="28"/>
  <c r="L25" i="28"/>
  <c r="K42" i="28"/>
  <c r="J42" i="28"/>
  <c r="M42" i="28"/>
  <c r="L42" i="28"/>
  <c r="I42" i="28"/>
  <c r="K59" i="28"/>
  <c r="J59" i="28"/>
  <c r="M59" i="28"/>
  <c r="L59" i="28"/>
  <c r="I59" i="28"/>
  <c r="K94" i="28"/>
  <c r="J94" i="28"/>
  <c r="I94" i="28"/>
  <c r="M94" i="28"/>
  <c r="L94" i="28"/>
  <c r="K111" i="28"/>
  <c r="J111" i="28"/>
  <c r="I111" i="28"/>
  <c r="M111" i="28"/>
  <c r="L111" i="28"/>
  <c r="K128" i="28"/>
  <c r="J128" i="28"/>
  <c r="I128" i="28"/>
  <c r="M128" i="28"/>
  <c r="L128" i="28"/>
  <c r="K145" i="28"/>
  <c r="J145" i="28"/>
  <c r="I145" i="28"/>
  <c r="M145" i="28"/>
  <c r="L145" i="28"/>
  <c r="J80" i="28"/>
  <c r="I80" i="28"/>
  <c r="M80" i="28"/>
  <c r="L80" i="28"/>
  <c r="K80" i="28"/>
  <c r="J97" i="28"/>
  <c r="I97" i="28"/>
  <c r="K97" i="28"/>
  <c r="M97" i="28"/>
  <c r="L97" i="28"/>
  <c r="J114" i="28"/>
  <c r="I114" i="28"/>
  <c r="M114" i="28"/>
  <c r="L114" i="28"/>
  <c r="K114" i="28"/>
  <c r="J131" i="28"/>
  <c r="I131" i="28"/>
  <c r="M131" i="28"/>
  <c r="L131" i="28"/>
  <c r="K131" i="28"/>
  <c r="J149" i="28"/>
  <c r="I149" i="28"/>
  <c r="L149" i="28"/>
  <c r="M149" i="28"/>
  <c r="K149" i="28"/>
  <c r="I31" i="28"/>
  <c r="M31" i="28"/>
  <c r="K31" i="28"/>
  <c r="J31" i="28"/>
  <c r="L31" i="28"/>
  <c r="I66" i="28"/>
  <c r="K66" i="28"/>
  <c r="J66" i="28"/>
  <c r="M66" i="28"/>
  <c r="L66" i="28"/>
  <c r="I83" i="28"/>
  <c r="M83" i="28"/>
  <c r="L83" i="28"/>
  <c r="K83" i="28"/>
  <c r="J83" i="28"/>
  <c r="I100" i="28"/>
  <c r="M100" i="28"/>
  <c r="J100" i="28"/>
  <c r="L100" i="28"/>
  <c r="K100" i="28"/>
  <c r="I117" i="28"/>
  <c r="M117" i="28"/>
  <c r="L117" i="28"/>
  <c r="K117" i="28"/>
  <c r="J117" i="28"/>
  <c r="I135" i="28"/>
  <c r="M135" i="28"/>
  <c r="L135" i="28"/>
  <c r="K135" i="28"/>
  <c r="J135" i="28"/>
  <c r="I152" i="28"/>
  <c r="H160" i="28"/>
  <c r="M152" i="28"/>
  <c r="L152" i="28"/>
  <c r="K152" i="28"/>
  <c r="J152" i="28"/>
  <c r="L52" i="28"/>
  <c r="J52" i="28"/>
  <c r="K52" i="28"/>
  <c r="I52" i="28"/>
  <c r="M52" i="28"/>
  <c r="M69" i="28"/>
  <c r="L69" i="28"/>
  <c r="K69" i="28"/>
  <c r="J69" i="28"/>
  <c r="I69" i="28"/>
  <c r="L86" i="28"/>
  <c r="J86" i="28"/>
  <c r="K86" i="28"/>
  <c r="I86" i="28"/>
  <c r="M86" i="28"/>
  <c r="M103" i="28"/>
  <c r="L103" i="28"/>
  <c r="K103" i="28"/>
  <c r="J103" i="28"/>
  <c r="I103" i="28"/>
  <c r="J121" i="28"/>
  <c r="I121" i="28"/>
  <c r="K121" i="28"/>
  <c r="M121" i="28"/>
  <c r="L121" i="28"/>
  <c r="L138" i="28"/>
  <c r="K138" i="28"/>
  <c r="J138" i="28"/>
  <c r="I138" i="28"/>
  <c r="H146" i="28"/>
  <c r="M138" i="28"/>
  <c r="M155" i="28"/>
  <c r="L155" i="28"/>
  <c r="K155" i="28"/>
  <c r="J155" i="28"/>
  <c r="I155" i="28"/>
  <c r="M143" i="28"/>
  <c r="L143" i="28"/>
  <c r="K143" i="28"/>
  <c r="J143" i="28"/>
  <c r="I143" i="28"/>
  <c r="M141" i="28"/>
  <c r="K141" i="28"/>
  <c r="L141" i="28"/>
  <c r="I141" i="28"/>
  <c r="J141" i="28"/>
  <c r="L107" i="28"/>
  <c r="J107" i="28"/>
  <c r="M107" i="28"/>
  <c r="I107" i="28"/>
  <c r="K107" i="28"/>
  <c r="J117" i="27"/>
  <c r="I117" i="27"/>
  <c r="K117" i="27"/>
  <c r="K57" i="27"/>
  <c r="J57" i="27"/>
  <c r="I57" i="27"/>
  <c r="K23" i="27"/>
  <c r="I23" i="27"/>
  <c r="J23" i="27"/>
  <c r="K17" i="27"/>
  <c r="J17" i="27"/>
  <c r="I17" i="27"/>
  <c r="K155" i="26"/>
  <c r="J155" i="26"/>
  <c r="I155" i="26"/>
  <c r="K120" i="26"/>
  <c r="J120" i="26"/>
  <c r="I120" i="26"/>
  <c r="K107" i="26"/>
  <c r="I107" i="26"/>
  <c r="J107" i="26"/>
  <c r="K89" i="26"/>
  <c r="J89" i="26"/>
  <c r="I89" i="26"/>
  <c r="K72" i="26"/>
  <c r="J72" i="26"/>
  <c r="I72" i="26"/>
  <c r="K55" i="26"/>
  <c r="J55" i="26"/>
  <c r="I55" i="26"/>
  <c r="J38" i="26"/>
  <c r="I38" i="26"/>
  <c r="K38" i="26"/>
  <c r="K159" i="27"/>
  <c r="J159" i="27"/>
  <c r="I159" i="27"/>
  <c r="J100" i="27"/>
  <c r="I100" i="27"/>
  <c r="K100" i="27"/>
  <c r="I66" i="27"/>
  <c r="J66" i="27"/>
  <c r="K66" i="27"/>
  <c r="I127" i="26"/>
  <c r="K127" i="26"/>
  <c r="J127" i="26"/>
  <c r="I114" i="26"/>
  <c r="K114" i="26"/>
  <c r="J114" i="26"/>
  <c r="I97" i="26"/>
  <c r="K97" i="26"/>
  <c r="J97" i="26"/>
  <c r="I80" i="26"/>
  <c r="K80" i="26"/>
  <c r="J80" i="26"/>
  <c r="I45" i="26"/>
  <c r="K45" i="26"/>
  <c r="J45" i="26"/>
  <c r="I28" i="26"/>
  <c r="K28" i="26"/>
  <c r="J28" i="26"/>
  <c r="I11" i="26"/>
  <c r="K11" i="26"/>
  <c r="J11" i="26"/>
  <c r="K157" i="27"/>
  <c r="J157" i="27"/>
  <c r="I157" i="27"/>
  <c r="K108" i="27"/>
  <c r="J108" i="27"/>
  <c r="I108" i="27"/>
  <c r="J45" i="27"/>
  <c r="K45" i="27"/>
  <c r="I45" i="27"/>
  <c r="K38" i="27"/>
  <c r="J38" i="27"/>
  <c r="I38" i="27"/>
  <c r="J28" i="27"/>
  <c r="I28" i="27"/>
  <c r="K28" i="27"/>
  <c r="J135" i="26"/>
  <c r="I135" i="26"/>
  <c r="K135" i="26"/>
  <c r="J122" i="26"/>
  <c r="I122" i="26"/>
  <c r="K122" i="26"/>
  <c r="J109" i="26"/>
  <c r="K109" i="26"/>
  <c r="I109" i="26"/>
  <c r="J87" i="26"/>
  <c r="I87" i="26"/>
  <c r="K87" i="26"/>
  <c r="J70" i="26"/>
  <c r="I70" i="26"/>
  <c r="K70" i="26"/>
  <c r="J53" i="26"/>
  <c r="I53" i="26"/>
  <c r="K53" i="26"/>
  <c r="J36" i="26"/>
  <c r="I36" i="26"/>
  <c r="K36" i="26"/>
  <c r="J18" i="26"/>
  <c r="I18" i="26"/>
  <c r="K18" i="26"/>
  <c r="K156" i="27"/>
  <c r="J156" i="27"/>
  <c r="I156" i="27"/>
  <c r="K107" i="27"/>
  <c r="J107" i="27"/>
  <c r="I107" i="27"/>
  <c r="K74" i="27"/>
  <c r="J74" i="27"/>
  <c r="I74" i="27"/>
  <c r="K53" i="27"/>
  <c r="J53" i="27"/>
  <c r="I53" i="27"/>
  <c r="K31" i="27"/>
  <c r="J31" i="27"/>
  <c r="I31" i="27"/>
  <c r="K129" i="26"/>
  <c r="J129" i="26"/>
  <c r="I129" i="26"/>
  <c r="K116" i="26"/>
  <c r="J116" i="26"/>
  <c r="I116" i="26"/>
  <c r="K95" i="26"/>
  <c r="J95" i="26"/>
  <c r="I95" i="26"/>
  <c r="K78" i="26"/>
  <c r="J78" i="26"/>
  <c r="I78" i="26"/>
  <c r="K60" i="26"/>
  <c r="J60" i="26"/>
  <c r="I60" i="26"/>
  <c r="K43" i="26"/>
  <c r="J43" i="26"/>
  <c r="I43" i="26"/>
  <c r="K26" i="26"/>
  <c r="J26" i="26"/>
  <c r="I26" i="26"/>
  <c r="H34" i="26"/>
  <c r="K9" i="26"/>
  <c r="J9" i="26"/>
  <c r="I9" i="26"/>
  <c r="K92" i="27"/>
  <c r="J92" i="27"/>
  <c r="I92" i="27"/>
  <c r="J60" i="27"/>
  <c r="K60" i="27"/>
  <c r="I60" i="27"/>
  <c r="K25" i="27"/>
  <c r="J25" i="27"/>
  <c r="I25" i="27"/>
  <c r="K137" i="26"/>
  <c r="J137" i="26"/>
  <c r="I137" i="26"/>
  <c r="H132" i="26"/>
  <c r="K124" i="26"/>
  <c r="J124" i="26"/>
  <c r="I124" i="26"/>
  <c r="K102" i="26"/>
  <c r="J102" i="26"/>
  <c r="I102" i="26"/>
  <c r="K85" i="26"/>
  <c r="J85" i="26"/>
  <c r="I85" i="26"/>
  <c r="K68" i="26"/>
  <c r="J68" i="26"/>
  <c r="I68" i="26"/>
  <c r="H76" i="26"/>
  <c r="K51" i="26"/>
  <c r="J51" i="26"/>
  <c r="I51" i="26"/>
  <c r="K33" i="26"/>
  <c r="J33" i="26"/>
  <c r="I33" i="26"/>
  <c r="K16" i="26"/>
  <c r="J16" i="26"/>
  <c r="I16" i="26"/>
  <c r="K125" i="27"/>
  <c r="J125" i="27"/>
  <c r="I125" i="27"/>
  <c r="K41" i="27"/>
  <c r="J41" i="27"/>
  <c r="I41" i="27"/>
  <c r="K58" i="27"/>
  <c r="J58" i="27"/>
  <c r="I58" i="27"/>
  <c r="K75" i="27"/>
  <c r="I75" i="27"/>
  <c r="J75" i="27"/>
  <c r="K93" i="27"/>
  <c r="I93" i="27"/>
  <c r="J93" i="27"/>
  <c r="H118" i="27"/>
  <c r="K110" i="27"/>
  <c r="I110" i="27"/>
  <c r="J110" i="27"/>
  <c r="K127" i="27"/>
  <c r="I127" i="27"/>
  <c r="J127" i="27"/>
  <c r="K144" i="27"/>
  <c r="I144" i="27"/>
  <c r="J144" i="27"/>
  <c r="K85" i="27"/>
  <c r="J85" i="27"/>
  <c r="I85" i="27"/>
  <c r="K102" i="27"/>
  <c r="J102" i="27"/>
  <c r="I102" i="27"/>
  <c r="K120" i="27"/>
  <c r="J120" i="27"/>
  <c r="I120" i="27"/>
  <c r="K70" i="27"/>
  <c r="I70" i="27"/>
  <c r="J70" i="27"/>
  <c r="K87" i="27"/>
  <c r="I87" i="27"/>
  <c r="J87" i="27"/>
  <c r="K122" i="27"/>
  <c r="J122" i="27"/>
  <c r="I122" i="27"/>
  <c r="K130" i="27"/>
  <c r="J130" i="27"/>
  <c r="I130" i="27"/>
  <c r="K154" i="27"/>
  <c r="J154" i="27"/>
  <c r="I154" i="27"/>
  <c r="J80" i="27"/>
  <c r="K80" i="27"/>
  <c r="I80" i="27"/>
  <c r="K97" i="27"/>
  <c r="J97" i="27"/>
  <c r="I97" i="27"/>
  <c r="K114" i="27"/>
  <c r="J114" i="27"/>
  <c r="I114" i="27"/>
  <c r="K142" i="27"/>
  <c r="J142" i="27"/>
  <c r="I142" i="27"/>
  <c r="K124" i="27"/>
  <c r="J124" i="27"/>
  <c r="I124" i="27"/>
  <c r="H132" i="27"/>
  <c r="K139" i="27"/>
  <c r="J139" i="27"/>
  <c r="I139" i="27"/>
  <c r="K47" i="27"/>
  <c r="J47" i="27"/>
  <c r="I47" i="27"/>
  <c r="K65" i="27"/>
  <c r="J65" i="27"/>
  <c r="I65" i="27"/>
  <c r="K82" i="27"/>
  <c r="J82" i="27"/>
  <c r="H90" i="27"/>
  <c r="I82" i="27"/>
  <c r="K99" i="27"/>
  <c r="J99" i="27"/>
  <c r="I99" i="27"/>
  <c r="K116" i="27"/>
  <c r="J116" i="27"/>
  <c r="I116" i="27"/>
  <c r="K109" i="27"/>
  <c r="J109" i="27"/>
  <c r="I109" i="27"/>
  <c r="K126" i="27"/>
  <c r="J126" i="27"/>
  <c r="I126" i="27"/>
  <c r="H160" i="27"/>
  <c r="K152" i="27"/>
  <c r="J152" i="27"/>
  <c r="I152" i="27"/>
  <c r="K15" i="27"/>
  <c r="J15" i="27"/>
  <c r="I15" i="27"/>
  <c r="K32" i="27"/>
  <c r="J32" i="27"/>
  <c r="I32" i="27"/>
  <c r="K50" i="27"/>
  <c r="J50" i="27"/>
  <c r="I50" i="27"/>
  <c r="K67" i="27"/>
  <c r="J67" i="27"/>
  <c r="I67" i="27"/>
  <c r="K84" i="27"/>
  <c r="J84" i="27"/>
  <c r="I84" i="27"/>
  <c r="K101" i="27"/>
  <c r="J101" i="27"/>
  <c r="I101" i="27"/>
  <c r="K140" i="27"/>
  <c r="J140" i="27"/>
  <c r="I140" i="27"/>
  <c r="K149" i="27"/>
  <c r="J149" i="27"/>
  <c r="I149" i="27"/>
  <c r="K42" i="27"/>
  <c r="J42" i="27"/>
  <c r="I42" i="27"/>
  <c r="K59" i="27"/>
  <c r="J59" i="27"/>
  <c r="I59" i="27"/>
  <c r="K94" i="27"/>
  <c r="J94" i="27"/>
  <c r="I94" i="27"/>
  <c r="K111" i="27"/>
  <c r="J111" i="27"/>
  <c r="I111" i="27"/>
  <c r="K137" i="27"/>
  <c r="J137" i="27"/>
  <c r="I137" i="27"/>
  <c r="K52" i="27"/>
  <c r="J52" i="27"/>
  <c r="I52" i="27"/>
  <c r="K69" i="27"/>
  <c r="J69" i="27"/>
  <c r="I69" i="27"/>
  <c r="K86" i="27"/>
  <c r="J86" i="27"/>
  <c r="I86" i="27"/>
  <c r="K103" i="27"/>
  <c r="J103" i="27"/>
  <c r="I103" i="27"/>
  <c r="K121" i="27"/>
  <c r="J121" i="27"/>
  <c r="I121" i="27"/>
  <c r="J10" i="27"/>
  <c r="I10" i="27"/>
  <c r="K10" i="27"/>
  <c r="J27" i="27"/>
  <c r="I27" i="27"/>
  <c r="K27" i="27"/>
  <c r="J44" i="27"/>
  <c r="I44" i="27"/>
  <c r="K44" i="27"/>
  <c r="J61" i="27"/>
  <c r="I61" i="27"/>
  <c r="K61" i="27"/>
  <c r="J79" i="27"/>
  <c r="I79" i="27"/>
  <c r="K79" i="27"/>
  <c r="J96" i="27"/>
  <c r="I96" i="27"/>
  <c r="H104" i="27"/>
  <c r="K96" i="27"/>
  <c r="J113" i="27"/>
  <c r="I113" i="27"/>
  <c r="K113" i="27"/>
  <c r="J150" i="27"/>
  <c r="I150" i="27"/>
  <c r="K150" i="27"/>
  <c r="I19" i="27"/>
  <c r="K19" i="27"/>
  <c r="J19" i="27"/>
  <c r="I37" i="27"/>
  <c r="K37" i="27"/>
  <c r="J37" i="27"/>
  <c r="I54" i="27"/>
  <c r="H62" i="27"/>
  <c r="J54" i="27"/>
  <c r="K54" i="27"/>
  <c r="I71" i="27"/>
  <c r="K71" i="27"/>
  <c r="J71" i="27"/>
  <c r="I88" i="27"/>
  <c r="K88" i="27"/>
  <c r="J88" i="27"/>
  <c r="I106" i="27"/>
  <c r="K106" i="27"/>
  <c r="J106" i="27"/>
  <c r="I123" i="27"/>
  <c r="K123" i="27"/>
  <c r="J123" i="27"/>
  <c r="J131" i="27"/>
  <c r="I131" i="27"/>
  <c r="K131" i="27"/>
  <c r="K12" i="27"/>
  <c r="J12" i="27"/>
  <c r="I12" i="27"/>
  <c r="H20" i="27"/>
  <c r="K29" i="27"/>
  <c r="J29" i="27"/>
  <c r="I29" i="27"/>
  <c r="K46" i="27"/>
  <c r="J46" i="27"/>
  <c r="I46" i="27"/>
  <c r="K64" i="27"/>
  <c r="J64" i="27"/>
  <c r="I64" i="27"/>
  <c r="K81" i="27"/>
  <c r="J81" i="27"/>
  <c r="I81" i="27"/>
  <c r="K98" i="27"/>
  <c r="J98" i="27"/>
  <c r="I98" i="27"/>
  <c r="K115" i="27"/>
  <c r="J115" i="27"/>
  <c r="I115" i="27"/>
  <c r="K135" i="27"/>
  <c r="J135" i="27"/>
  <c r="I135" i="27"/>
  <c r="K141" i="27"/>
  <c r="J141" i="27"/>
  <c r="I141" i="27"/>
  <c r="K158" i="27"/>
  <c r="J158" i="27"/>
  <c r="I158" i="27"/>
  <c r="K134" i="27"/>
  <c r="J134" i="27"/>
  <c r="I134" i="27"/>
  <c r="K151" i="27"/>
  <c r="J151" i="27"/>
  <c r="I151" i="27"/>
  <c r="K143" i="27"/>
  <c r="J143" i="27"/>
  <c r="I143" i="27"/>
  <c r="J136" i="27"/>
  <c r="I136" i="27"/>
  <c r="K136" i="27"/>
  <c r="J153" i="27"/>
  <c r="I153" i="27"/>
  <c r="K153" i="27"/>
  <c r="I128" i="27"/>
  <c r="K128" i="27"/>
  <c r="J128" i="27"/>
  <c r="I145" i="27"/>
  <c r="K145" i="27"/>
  <c r="J145" i="27"/>
  <c r="I138" i="27"/>
  <c r="H146" i="27"/>
  <c r="K138" i="27"/>
  <c r="J138" i="27"/>
  <c r="K155" i="27"/>
  <c r="J155" i="27"/>
  <c r="I155" i="27"/>
  <c r="K144" i="26"/>
  <c r="J144" i="26"/>
  <c r="I144" i="26"/>
  <c r="K131" i="26"/>
  <c r="J131" i="26"/>
  <c r="I131" i="26"/>
  <c r="K93" i="26"/>
  <c r="J93" i="26"/>
  <c r="I93" i="26"/>
  <c r="K75" i="26"/>
  <c r="J75" i="26"/>
  <c r="I75" i="26"/>
  <c r="K58" i="26"/>
  <c r="J58" i="26"/>
  <c r="I58" i="26"/>
  <c r="K41" i="26"/>
  <c r="J41" i="26"/>
  <c r="I41" i="26"/>
  <c r="K24" i="26"/>
  <c r="J24" i="26"/>
  <c r="I24" i="26"/>
  <c r="K111" i="26"/>
  <c r="J111" i="26"/>
  <c r="I111" i="26"/>
  <c r="K128" i="26"/>
  <c r="J128" i="26"/>
  <c r="I128" i="26"/>
  <c r="K145" i="26"/>
  <c r="J145" i="26"/>
  <c r="I145" i="26"/>
  <c r="J123" i="26"/>
  <c r="I123" i="26"/>
  <c r="K123" i="26"/>
  <c r="J140" i="26"/>
  <c r="I140" i="26"/>
  <c r="K140" i="26"/>
  <c r="J157" i="26"/>
  <c r="I157" i="26"/>
  <c r="K157" i="26"/>
  <c r="I115" i="26"/>
  <c r="K115" i="26"/>
  <c r="J115" i="26"/>
  <c r="I150" i="26"/>
  <c r="K150" i="26"/>
  <c r="J150" i="26"/>
  <c r="K108" i="26"/>
  <c r="I108" i="26"/>
  <c r="J108" i="26"/>
  <c r="K125" i="26"/>
  <c r="J125" i="26"/>
  <c r="I125" i="26"/>
  <c r="K142" i="26"/>
  <c r="J142" i="26"/>
  <c r="I142" i="26"/>
  <c r="K159" i="26"/>
  <c r="J159" i="26"/>
  <c r="I159" i="26"/>
  <c r="K139" i="26"/>
  <c r="J139" i="26"/>
  <c r="I139" i="26"/>
  <c r="J126" i="26"/>
  <c r="K126" i="26"/>
  <c r="I126" i="26"/>
  <c r="K100" i="26"/>
  <c r="J100" i="26"/>
  <c r="I100" i="26"/>
  <c r="K83" i="26"/>
  <c r="J83" i="26"/>
  <c r="I83" i="26"/>
  <c r="K134" i="26"/>
  <c r="J134" i="26"/>
  <c r="I134" i="26"/>
  <c r="J73" i="27"/>
  <c r="K73" i="27"/>
  <c r="I73" i="27"/>
  <c r="K40" i="27"/>
  <c r="J40" i="27"/>
  <c r="I40" i="27"/>
  <c r="H48" i="27"/>
  <c r="K33" i="27"/>
  <c r="J33" i="27"/>
  <c r="I33" i="27"/>
  <c r="K16" i="27"/>
  <c r="J16" i="27"/>
  <c r="I16" i="27"/>
  <c r="K154" i="26"/>
  <c r="J154" i="26"/>
  <c r="I154" i="26"/>
  <c r="K141" i="26"/>
  <c r="J141" i="26"/>
  <c r="I141" i="26"/>
  <c r="K121" i="26"/>
  <c r="J121" i="26"/>
  <c r="I121" i="26"/>
  <c r="K98" i="26"/>
  <c r="J98" i="26"/>
  <c r="I98" i="26"/>
  <c r="K81" i="26"/>
  <c r="J81" i="26"/>
  <c r="I81" i="26"/>
  <c r="K64" i="26"/>
  <c r="J64" i="26"/>
  <c r="I64" i="26"/>
  <c r="K46" i="26"/>
  <c r="J46" i="26"/>
  <c r="I46" i="26"/>
  <c r="K29" i="26"/>
  <c r="J29" i="26"/>
  <c r="I29" i="26"/>
  <c r="H20" i="26"/>
  <c r="K12" i="26"/>
  <c r="I12" i="26"/>
  <c r="J12" i="26"/>
  <c r="J78" i="27"/>
  <c r="I78" i="27"/>
  <c r="K78" i="27"/>
  <c r="H76" i="27"/>
  <c r="K68" i="27"/>
  <c r="J68" i="27"/>
  <c r="I68" i="27"/>
  <c r="K149" i="26"/>
  <c r="J149" i="26"/>
  <c r="I149" i="26"/>
  <c r="I136" i="26"/>
  <c r="K136" i="26"/>
  <c r="J136" i="26"/>
  <c r="K89" i="27"/>
  <c r="I89" i="27"/>
  <c r="J89" i="27"/>
  <c r="K72" i="27"/>
  <c r="I72" i="27"/>
  <c r="J72" i="27"/>
  <c r="K156" i="26"/>
  <c r="J156" i="26"/>
  <c r="I156" i="26"/>
  <c r="J143" i="26"/>
  <c r="K143" i="26"/>
  <c r="I143" i="26"/>
  <c r="H104" i="26"/>
  <c r="J96" i="26"/>
  <c r="K96" i="26"/>
  <c r="I96" i="26"/>
  <c r="J83" i="27"/>
  <c r="I83" i="27"/>
  <c r="K83" i="27"/>
  <c r="K151" i="26"/>
  <c r="J151" i="26"/>
  <c r="I151" i="26"/>
  <c r="K130" i="26"/>
  <c r="J130" i="26"/>
  <c r="I130" i="26"/>
  <c r="J148" i="27"/>
  <c r="I148" i="27"/>
  <c r="K148" i="27"/>
  <c r="J95" i="27"/>
  <c r="I95" i="27"/>
  <c r="K95" i="27"/>
  <c r="K43" i="27"/>
  <c r="J43" i="27"/>
  <c r="I43" i="27"/>
  <c r="K24" i="27"/>
  <c r="J24" i="27"/>
  <c r="I24" i="27"/>
  <c r="K158" i="26"/>
  <c r="J158" i="26"/>
  <c r="I158" i="26"/>
  <c r="K138" i="26"/>
  <c r="J138" i="26"/>
  <c r="H146" i="26"/>
  <c r="I138" i="26"/>
  <c r="J94" i="26"/>
  <c r="K94" i="26"/>
  <c r="I94" i="26"/>
  <c r="K59" i="26"/>
  <c r="J59" i="26"/>
  <c r="I59" i="26"/>
  <c r="K42" i="26"/>
  <c r="I42" i="26"/>
  <c r="J42" i="26"/>
  <c r="K25" i="26"/>
  <c r="J25" i="26"/>
  <c r="I25" i="26"/>
  <c r="K51" i="27"/>
  <c r="J51" i="27"/>
  <c r="I51" i="27"/>
  <c r="K36" i="27"/>
  <c r="J36" i="27"/>
  <c r="I36" i="27"/>
  <c r="I153" i="26"/>
  <c r="K153" i="26"/>
  <c r="J153" i="26"/>
  <c r="H118" i="26"/>
  <c r="K110" i="26"/>
  <c r="I110" i="26"/>
  <c r="J110" i="26"/>
  <c r="K101" i="26"/>
  <c r="I101" i="26"/>
  <c r="J101" i="26"/>
  <c r="K84" i="26"/>
  <c r="I84" i="26"/>
  <c r="J84" i="26"/>
  <c r="I67" i="26"/>
  <c r="J67" i="26"/>
  <c r="K67" i="26"/>
  <c r="I50" i="26"/>
  <c r="K50" i="26"/>
  <c r="J50" i="26"/>
  <c r="I117" i="21"/>
  <c r="H117" i="21"/>
  <c r="I100" i="21"/>
  <c r="H100" i="21"/>
  <c r="I83" i="21"/>
  <c r="H83" i="21"/>
  <c r="I66" i="21"/>
  <c r="H66" i="21"/>
  <c r="I48" i="21"/>
  <c r="H48" i="21"/>
  <c r="I31" i="21"/>
  <c r="H31" i="21"/>
  <c r="V20" i="22"/>
  <c r="X20" i="22"/>
  <c r="W20" i="22"/>
  <c r="H161" i="21"/>
  <c r="I161" i="21"/>
  <c r="H144" i="21"/>
  <c r="I144" i="21"/>
  <c r="H127" i="21"/>
  <c r="I127" i="21"/>
  <c r="H110" i="21"/>
  <c r="I110" i="21"/>
  <c r="H75" i="21"/>
  <c r="I75" i="21"/>
  <c r="H58" i="21"/>
  <c r="I58" i="21"/>
  <c r="H41" i="21"/>
  <c r="I41" i="21"/>
  <c r="H24" i="21"/>
  <c r="I24" i="21"/>
  <c r="H15" i="21"/>
  <c r="I15" i="21"/>
  <c r="W9" i="22"/>
  <c r="V9" i="22"/>
  <c r="X9" i="22"/>
  <c r="I154" i="21"/>
  <c r="H154" i="21"/>
  <c r="G162" i="21"/>
  <c r="I137" i="21"/>
  <c r="H137" i="21"/>
  <c r="I119" i="21"/>
  <c r="H119" i="21"/>
  <c r="I102" i="21"/>
  <c r="H102" i="21"/>
  <c r="I85" i="21"/>
  <c r="H85" i="21"/>
  <c r="I68" i="21"/>
  <c r="H68" i="21"/>
  <c r="I33" i="21"/>
  <c r="H33" i="21"/>
  <c r="X14" i="22"/>
  <c r="W14" i="22"/>
  <c r="V14" i="22"/>
  <c r="I146" i="21"/>
  <c r="H146" i="21"/>
  <c r="I129" i="21"/>
  <c r="H129" i="21"/>
  <c r="I112" i="21"/>
  <c r="H112" i="21"/>
  <c r="G120" i="21"/>
  <c r="I95" i="21"/>
  <c r="H95" i="21"/>
  <c r="I77" i="21"/>
  <c r="H77" i="21"/>
  <c r="I60" i="21"/>
  <c r="H60" i="21"/>
  <c r="I43" i="21"/>
  <c r="H43" i="21"/>
  <c r="I26" i="21"/>
  <c r="H26" i="21"/>
  <c r="I16" i="21"/>
  <c r="H16" i="21"/>
  <c r="I156" i="21"/>
  <c r="H156" i="21"/>
  <c r="I139" i="21"/>
  <c r="H139" i="21"/>
  <c r="I122" i="21"/>
  <c r="H122" i="21"/>
  <c r="I131" i="21"/>
  <c r="H131" i="21"/>
  <c r="I114" i="21"/>
  <c r="H114" i="21"/>
  <c r="I97" i="21"/>
  <c r="H97" i="21"/>
  <c r="I80" i="21"/>
  <c r="H80" i="21"/>
  <c r="I62" i="21"/>
  <c r="H62" i="21"/>
  <c r="I45" i="21"/>
  <c r="H45" i="21"/>
  <c r="I28" i="21"/>
  <c r="G36" i="21"/>
  <c r="H28" i="21"/>
  <c r="I17" i="21"/>
  <c r="H17" i="21"/>
  <c r="X13" i="22"/>
  <c r="W13" i="22"/>
  <c r="V13" i="22"/>
  <c r="U21" i="22"/>
  <c r="I158" i="21"/>
  <c r="H158" i="21"/>
  <c r="I141" i="21"/>
  <c r="H141" i="21"/>
  <c r="I124" i="21"/>
  <c r="H124" i="21"/>
  <c r="I89" i="21"/>
  <c r="H89" i="21"/>
  <c r="I72" i="21"/>
  <c r="H72" i="21"/>
  <c r="I55" i="21"/>
  <c r="H55" i="21"/>
  <c r="H38" i="21"/>
  <c r="I38" i="21"/>
  <c r="I160" i="21"/>
  <c r="H160" i="21"/>
  <c r="I143" i="21"/>
  <c r="H143" i="21"/>
  <c r="G134" i="21"/>
  <c r="I126" i="21"/>
  <c r="H126" i="21"/>
  <c r="I109" i="21"/>
  <c r="H109" i="21"/>
  <c r="I91" i="21"/>
  <c r="H91" i="21"/>
  <c r="I74" i="21"/>
  <c r="H74" i="21"/>
  <c r="I57" i="21"/>
  <c r="H57" i="21"/>
  <c r="I40" i="21"/>
  <c r="H40" i="21"/>
  <c r="R12" i="21"/>
  <c r="Q12" i="21"/>
  <c r="R20" i="21"/>
  <c r="Q20" i="21"/>
  <c r="R16" i="21"/>
  <c r="Q16" i="21"/>
  <c r="R17" i="21"/>
  <c r="Q17" i="21"/>
  <c r="R14" i="21"/>
  <c r="P22" i="21"/>
  <c r="Q14" i="21"/>
  <c r="Q13" i="21"/>
  <c r="R13" i="21"/>
  <c r="Q21" i="21"/>
  <c r="R21" i="21"/>
  <c r="R11" i="21"/>
  <c r="Q11" i="21"/>
  <c r="R19" i="21"/>
  <c r="Q19" i="21"/>
  <c r="R10" i="21"/>
  <c r="Q10" i="21"/>
  <c r="R18" i="21"/>
  <c r="Q18" i="21"/>
  <c r="L30" i="22"/>
  <c r="K30" i="22"/>
  <c r="J30" i="22"/>
  <c r="I21" i="22"/>
  <c r="L13" i="22"/>
  <c r="K13" i="22"/>
  <c r="J13" i="22"/>
  <c r="L160" i="22"/>
  <c r="K160" i="22"/>
  <c r="J160" i="22"/>
  <c r="L83" i="22"/>
  <c r="K83" i="22"/>
  <c r="J83" i="22"/>
  <c r="I91" i="22"/>
  <c r="L19" i="22"/>
  <c r="K19" i="22"/>
  <c r="J19" i="22"/>
  <c r="L28" i="22"/>
  <c r="K28" i="22"/>
  <c r="J28" i="22"/>
  <c r="L33" i="22"/>
  <c r="K33" i="22"/>
  <c r="J33" i="22"/>
  <c r="L39" i="22"/>
  <c r="K39" i="22"/>
  <c r="J39" i="22"/>
  <c r="L109" i="22"/>
  <c r="K109" i="22"/>
  <c r="J109" i="22"/>
  <c r="L135" i="22"/>
  <c r="K135" i="22"/>
  <c r="J135" i="22"/>
  <c r="L14" i="22"/>
  <c r="K14" i="22"/>
  <c r="J14" i="22"/>
  <c r="L80" i="22"/>
  <c r="K80" i="22"/>
  <c r="J80" i="22"/>
  <c r="L100" i="22"/>
  <c r="K100" i="22"/>
  <c r="J100" i="22"/>
  <c r="L9" i="22"/>
  <c r="K9" i="22"/>
  <c r="J9" i="22"/>
  <c r="L31" i="22"/>
  <c r="K31" i="22"/>
  <c r="J31" i="22"/>
  <c r="L37" i="22"/>
  <c r="K37" i="22"/>
  <c r="J37" i="22"/>
  <c r="L42" i="22"/>
  <c r="K42" i="22"/>
  <c r="J42" i="22"/>
  <c r="L47" i="22"/>
  <c r="K47" i="22"/>
  <c r="J47" i="22"/>
  <c r="L20" i="22"/>
  <c r="K20" i="22"/>
  <c r="J20" i="22"/>
  <c r="L24" i="22"/>
  <c r="K24" i="22"/>
  <c r="J24" i="22"/>
  <c r="K76" i="22"/>
  <c r="L76" i="22"/>
  <c r="J76" i="22"/>
  <c r="L15" i="22"/>
  <c r="K15" i="22"/>
  <c r="J15" i="22"/>
  <c r="L40" i="22"/>
  <c r="K40" i="22"/>
  <c r="J40" i="22"/>
  <c r="L45" i="22"/>
  <c r="K45" i="22"/>
  <c r="J45" i="22"/>
  <c r="L51" i="22"/>
  <c r="K51" i="22"/>
  <c r="J51" i="22"/>
  <c r="L56" i="22"/>
  <c r="K56" i="22"/>
  <c r="J56" i="22"/>
  <c r="L152" i="22"/>
  <c r="K152" i="22"/>
  <c r="J152" i="22"/>
  <c r="L10" i="22"/>
  <c r="K10" i="22"/>
  <c r="J10" i="22"/>
  <c r="L48" i="22"/>
  <c r="K48" i="22"/>
  <c r="J48" i="22"/>
  <c r="L54" i="22"/>
  <c r="K54" i="22"/>
  <c r="J54" i="22"/>
  <c r="L59" i="22"/>
  <c r="K59" i="22"/>
  <c r="J59" i="22"/>
  <c r="L65" i="22"/>
  <c r="K65" i="22"/>
  <c r="J65" i="22"/>
  <c r="L126" i="22"/>
  <c r="K126" i="22"/>
  <c r="J126" i="22"/>
  <c r="L16" i="22"/>
  <c r="K16" i="22"/>
  <c r="J16" i="22"/>
  <c r="L74" i="22"/>
  <c r="K74" i="22"/>
  <c r="J74" i="22"/>
  <c r="L11" i="22"/>
  <c r="K11" i="22"/>
  <c r="J11" i="22"/>
  <c r="L57" i="22"/>
  <c r="K57" i="22"/>
  <c r="J57" i="22"/>
  <c r="L62" i="22"/>
  <c r="K62" i="22"/>
  <c r="J62" i="22"/>
  <c r="L68" i="22"/>
  <c r="K68" i="22"/>
  <c r="J68" i="22"/>
  <c r="L71" i="22"/>
  <c r="K71" i="22"/>
  <c r="J71" i="22"/>
  <c r="L23" i="22"/>
  <c r="K23" i="22"/>
  <c r="J23" i="22"/>
  <c r="L17" i="22"/>
  <c r="K17" i="22"/>
  <c r="J17" i="22"/>
  <c r="L66" i="22"/>
  <c r="K66" i="22"/>
  <c r="J66" i="22"/>
  <c r="K85" i="22"/>
  <c r="L85" i="22"/>
  <c r="J85" i="22"/>
  <c r="L143" i="22"/>
  <c r="K143" i="22"/>
  <c r="J143" i="22"/>
  <c r="K12" i="22"/>
  <c r="J12" i="22"/>
  <c r="L12" i="22"/>
  <c r="L117" i="22"/>
  <c r="K117" i="22"/>
  <c r="J117" i="22"/>
  <c r="L18" i="22"/>
  <c r="K18" i="22"/>
  <c r="J18" i="22"/>
  <c r="L25" i="22"/>
  <c r="K25" i="22"/>
  <c r="J25" i="22"/>
  <c r="J88" i="22"/>
  <c r="L88" i="22"/>
  <c r="K88" i="22"/>
  <c r="K97" i="22"/>
  <c r="J97" i="22"/>
  <c r="I105" i="22"/>
  <c r="L97" i="22"/>
  <c r="L114" i="22"/>
  <c r="K114" i="22"/>
  <c r="J114" i="22"/>
  <c r="L123" i="22"/>
  <c r="K123" i="22"/>
  <c r="J123" i="22"/>
  <c r="L131" i="22"/>
  <c r="K131" i="22"/>
  <c r="J131" i="22"/>
  <c r="L140" i="22"/>
  <c r="K140" i="22"/>
  <c r="J140" i="22"/>
  <c r="L149" i="22"/>
  <c r="K149" i="22"/>
  <c r="J149" i="22"/>
  <c r="L157" i="22"/>
  <c r="K157" i="22"/>
  <c r="J157" i="22"/>
  <c r="L94" i="22"/>
  <c r="K94" i="22"/>
  <c r="J94" i="22"/>
  <c r="L102" i="22"/>
  <c r="K102" i="22"/>
  <c r="J102" i="22"/>
  <c r="L111" i="22"/>
  <c r="K111" i="22"/>
  <c r="I119" i="22"/>
  <c r="J111" i="22"/>
  <c r="L128" i="22"/>
  <c r="K128" i="22"/>
  <c r="J128" i="22"/>
  <c r="L137" i="22"/>
  <c r="K137" i="22"/>
  <c r="J137" i="22"/>
  <c r="L145" i="22"/>
  <c r="K145" i="22"/>
  <c r="J145" i="22"/>
  <c r="L154" i="22"/>
  <c r="K154" i="22"/>
  <c r="J154" i="22"/>
  <c r="L73" i="22"/>
  <c r="K73" i="22"/>
  <c r="J73" i="22"/>
  <c r="L82" i="22"/>
  <c r="K82" i="22"/>
  <c r="J82" i="22"/>
  <c r="L90" i="22"/>
  <c r="K90" i="22"/>
  <c r="J90" i="22"/>
  <c r="L99" i="22"/>
  <c r="K99" i="22"/>
  <c r="J99" i="22"/>
  <c r="L108" i="22"/>
  <c r="K108" i="22"/>
  <c r="J108" i="22"/>
  <c r="L116" i="22"/>
  <c r="K116" i="22"/>
  <c r="J116" i="22"/>
  <c r="L125" i="22"/>
  <c r="K125" i="22"/>
  <c r="J125" i="22"/>
  <c r="I133" i="22"/>
  <c r="L142" i="22"/>
  <c r="K142" i="22"/>
  <c r="J142" i="22"/>
  <c r="L151" i="22"/>
  <c r="K151" i="22"/>
  <c r="J151" i="22"/>
  <c r="L159" i="22"/>
  <c r="K159" i="22"/>
  <c r="J159" i="22"/>
  <c r="K27" i="22"/>
  <c r="J27" i="22"/>
  <c r="I35" i="22"/>
  <c r="L27" i="22"/>
  <c r="K44" i="22"/>
  <c r="J44" i="22"/>
  <c r="L44" i="22"/>
  <c r="K53" i="22"/>
  <c r="J53" i="22"/>
  <c r="L53" i="22"/>
  <c r="K61" i="22"/>
  <c r="J61" i="22"/>
  <c r="L61" i="22"/>
  <c r="L70" i="22"/>
  <c r="K70" i="22"/>
  <c r="J70" i="22"/>
  <c r="L79" i="22"/>
  <c r="K79" i="22"/>
  <c r="J79" i="22"/>
  <c r="L87" i="22"/>
  <c r="K87" i="22"/>
  <c r="J87" i="22"/>
  <c r="L96" i="22"/>
  <c r="K96" i="22"/>
  <c r="J96" i="22"/>
  <c r="L104" i="22"/>
  <c r="K104" i="22"/>
  <c r="J104" i="22"/>
  <c r="L113" i="22"/>
  <c r="K113" i="22"/>
  <c r="J113" i="22"/>
  <c r="L122" i="22"/>
  <c r="K122" i="22"/>
  <c r="J122" i="22"/>
  <c r="L130" i="22"/>
  <c r="K130" i="22"/>
  <c r="J130" i="22"/>
  <c r="L139" i="22"/>
  <c r="K139" i="22"/>
  <c r="J139" i="22"/>
  <c r="I147" i="22"/>
  <c r="L156" i="22"/>
  <c r="K156" i="22"/>
  <c r="J156" i="22"/>
  <c r="L32" i="22"/>
  <c r="K32" i="22"/>
  <c r="J32" i="22"/>
  <c r="L41" i="22"/>
  <c r="K41" i="22"/>
  <c r="I49" i="22"/>
  <c r="J41" i="22"/>
  <c r="L58" i="22"/>
  <c r="K58" i="22"/>
  <c r="J58" i="22"/>
  <c r="L67" i="22"/>
  <c r="K67" i="22"/>
  <c r="J67" i="22"/>
  <c r="L75" i="22"/>
  <c r="K75" i="22"/>
  <c r="J75" i="22"/>
  <c r="L84" i="22"/>
  <c r="K84" i="22"/>
  <c r="J84" i="22"/>
  <c r="L93" i="22"/>
  <c r="K93" i="22"/>
  <c r="J93" i="22"/>
  <c r="L101" i="22"/>
  <c r="K101" i="22"/>
  <c r="J101" i="22"/>
  <c r="L110" i="22"/>
  <c r="K110" i="22"/>
  <c r="J110" i="22"/>
  <c r="L118" i="22"/>
  <c r="K118" i="22"/>
  <c r="J118" i="22"/>
  <c r="L127" i="22"/>
  <c r="K127" i="22"/>
  <c r="J127" i="22"/>
  <c r="L136" i="22"/>
  <c r="K136" i="22"/>
  <c r="J136" i="22"/>
  <c r="L144" i="22"/>
  <c r="K144" i="22"/>
  <c r="J144" i="22"/>
  <c r="L153" i="22"/>
  <c r="K153" i="22"/>
  <c r="J153" i="22"/>
  <c r="I161" i="22"/>
  <c r="K29" i="22"/>
  <c r="J29" i="22"/>
  <c r="L29" i="22"/>
  <c r="K38" i="22"/>
  <c r="J38" i="22"/>
  <c r="L38" i="22"/>
  <c r="K46" i="22"/>
  <c r="J46" i="22"/>
  <c r="L46" i="22"/>
  <c r="K55" i="22"/>
  <c r="J55" i="22"/>
  <c r="I63" i="22"/>
  <c r="L55" i="22"/>
  <c r="K72" i="22"/>
  <c r="J72" i="22"/>
  <c r="L72" i="22"/>
  <c r="K81" i="22"/>
  <c r="J81" i="22"/>
  <c r="L81" i="22"/>
  <c r="K89" i="22"/>
  <c r="J89" i="22"/>
  <c r="L89" i="22"/>
  <c r="K98" i="22"/>
  <c r="J98" i="22"/>
  <c r="L98" i="22"/>
  <c r="K107" i="22"/>
  <c r="J107" i="22"/>
  <c r="L107" i="22"/>
  <c r="K115" i="22"/>
  <c r="J115" i="22"/>
  <c r="L115" i="22"/>
  <c r="K124" i="22"/>
  <c r="J124" i="22"/>
  <c r="L124" i="22"/>
  <c r="K132" i="22"/>
  <c r="J132" i="22"/>
  <c r="L132" i="22"/>
  <c r="K141" i="22"/>
  <c r="J141" i="22"/>
  <c r="L141" i="22"/>
  <c r="K150" i="22"/>
  <c r="J150" i="22"/>
  <c r="L150" i="22"/>
  <c r="K158" i="22"/>
  <c r="J158" i="22"/>
  <c r="L158" i="22"/>
  <c r="L26" i="22"/>
  <c r="K26" i="22"/>
  <c r="J26" i="22"/>
  <c r="L34" i="22"/>
  <c r="K34" i="22"/>
  <c r="J34" i="22"/>
  <c r="L43" i="22"/>
  <c r="K43" i="22"/>
  <c r="J43" i="22"/>
  <c r="L52" i="22"/>
  <c r="K52" i="22"/>
  <c r="J52" i="22"/>
  <c r="L60" i="22"/>
  <c r="K60" i="22"/>
  <c r="J60" i="22"/>
  <c r="I77" i="22"/>
  <c r="K69" i="22"/>
  <c r="J69" i="22"/>
  <c r="L69" i="22"/>
  <c r="J86" i="22"/>
  <c r="L86" i="22"/>
  <c r="K86" i="22"/>
  <c r="L95" i="22"/>
  <c r="K95" i="22"/>
  <c r="J95" i="22"/>
  <c r="L103" i="22"/>
  <c r="K103" i="22"/>
  <c r="J103" i="22"/>
  <c r="L112" i="22"/>
  <c r="K112" i="22"/>
  <c r="J112" i="22"/>
  <c r="L121" i="22"/>
  <c r="K121" i="22"/>
  <c r="J121" i="22"/>
  <c r="L129" i="22"/>
  <c r="K129" i="22"/>
  <c r="J129" i="22"/>
  <c r="L138" i="22"/>
  <c r="K138" i="22"/>
  <c r="J138" i="22"/>
  <c r="L146" i="22"/>
  <c r="J146" i="22"/>
  <c r="K146" i="22"/>
  <c r="L155" i="22"/>
  <c r="K155" i="22"/>
  <c r="J155" i="22"/>
  <c r="R112" i="19"/>
  <c r="Q112" i="19"/>
  <c r="P112" i="19"/>
  <c r="Y85" i="19"/>
  <c r="X85" i="19"/>
  <c r="G63" i="19"/>
  <c r="J55" i="19"/>
  <c r="I55" i="19"/>
  <c r="H55" i="19"/>
  <c r="G37" i="19"/>
  <c r="J38" i="19"/>
  <c r="I38" i="19"/>
  <c r="H38" i="19"/>
  <c r="Y29" i="19"/>
  <c r="X29" i="19"/>
  <c r="R24" i="19"/>
  <c r="Q24" i="19"/>
  <c r="O23" i="19"/>
  <c r="P24" i="19"/>
  <c r="Y20" i="19"/>
  <c r="X20" i="19"/>
  <c r="J19" i="19"/>
  <c r="I19" i="19"/>
  <c r="H19" i="19"/>
  <c r="J18" i="19"/>
  <c r="I18" i="19"/>
  <c r="H18" i="19"/>
  <c r="R16" i="19"/>
  <c r="Q16" i="19"/>
  <c r="P16" i="19"/>
  <c r="R15" i="19"/>
  <c r="Q15" i="19"/>
  <c r="P15" i="19"/>
  <c r="Y96" i="19"/>
  <c r="X96" i="19"/>
  <c r="R43" i="19"/>
  <c r="Q43" i="19"/>
  <c r="P43" i="19"/>
  <c r="R41" i="19"/>
  <c r="Q41" i="19"/>
  <c r="P41" i="19"/>
  <c r="O49" i="19"/>
  <c r="R34" i="19"/>
  <c r="Q34" i="19"/>
  <c r="P34" i="19"/>
  <c r="W21" i="19"/>
  <c r="X13" i="19"/>
  <c r="Y13" i="19"/>
  <c r="R11" i="19"/>
  <c r="Q11" i="19"/>
  <c r="P11" i="19"/>
  <c r="R61" i="19"/>
  <c r="Q61" i="19"/>
  <c r="P61" i="19"/>
  <c r="Q75" i="19"/>
  <c r="P75" i="19"/>
  <c r="R75" i="19"/>
  <c r="R57" i="19"/>
  <c r="Q57" i="19"/>
  <c r="P57" i="19"/>
  <c r="R62" i="19"/>
  <c r="Q62" i="19"/>
  <c r="P62" i="19"/>
  <c r="R97" i="19"/>
  <c r="Q97" i="19"/>
  <c r="P97" i="19"/>
  <c r="O105" i="19"/>
  <c r="O107" i="19"/>
  <c r="R108" i="19"/>
  <c r="Q108" i="19"/>
  <c r="P108" i="19"/>
  <c r="Q58" i="19"/>
  <c r="P58" i="19"/>
  <c r="R58" i="19"/>
  <c r="R73" i="19"/>
  <c r="P73" i="19"/>
  <c r="Q73" i="19"/>
  <c r="R110" i="19"/>
  <c r="Q110" i="19"/>
  <c r="P110" i="19"/>
  <c r="O79" i="19"/>
  <c r="R80" i="19"/>
  <c r="Q80" i="19"/>
  <c r="P80" i="19"/>
  <c r="R71" i="19"/>
  <c r="Q71" i="19"/>
  <c r="P71" i="19"/>
  <c r="R99" i="19"/>
  <c r="Q99" i="19"/>
  <c r="P99" i="19"/>
  <c r="R59" i="19"/>
  <c r="Q59" i="19"/>
  <c r="P59" i="19"/>
  <c r="R114" i="19"/>
  <c r="Q114" i="19"/>
  <c r="P114" i="19"/>
  <c r="R67" i="19"/>
  <c r="P67" i="19"/>
  <c r="Q67" i="19"/>
  <c r="R69" i="19"/>
  <c r="O77" i="19"/>
  <c r="P69" i="19"/>
  <c r="Q69" i="19"/>
  <c r="R55" i="19"/>
  <c r="Q55" i="19"/>
  <c r="P55" i="19"/>
  <c r="O63" i="19"/>
  <c r="R60" i="19"/>
  <c r="Q60" i="19"/>
  <c r="P60" i="19"/>
  <c r="Q56" i="19"/>
  <c r="P56" i="19"/>
  <c r="R56" i="19"/>
  <c r="R101" i="19"/>
  <c r="Q101" i="19"/>
  <c r="P101" i="19"/>
  <c r="R95" i="19"/>
  <c r="Q95" i="19"/>
  <c r="P95" i="19"/>
  <c r="R128" i="19"/>
  <c r="Q128" i="19"/>
  <c r="P128" i="19"/>
  <c r="R131" i="19"/>
  <c r="Q131" i="19"/>
  <c r="P131" i="19"/>
  <c r="Q25" i="19"/>
  <c r="P25" i="19"/>
  <c r="R25" i="19"/>
  <c r="O35" i="19"/>
  <c r="R27" i="19"/>
  <c r="Q27" i="19"/>
  <c r="P27" i="19"/>
  <c r="R29" i="19"/>
  <c r="Q29" i="19"/>
  <c r="P29" i="19"/>
  <c r="R31" i="19"/>
  <c r="Q31" i="19"/>
  <c r="P31" i="19"/>
  <c r="Q33" i="19"/>
  <c r="P33" i="19"/>
  <c r="R33" i="19"/>
  <c r="Q38" i="19"/>
  <c r="P38" i="19"/>
  <c r="O37" i="19"/>
  <c r="R38" i="19"/>
  <c r="R40" i="19"/>
  <c r="Q40" i="19"/>
  <c r="P40" i="19"/>
  <c r="R42" i="19"/>
  <c r="Q42" i="19"/>
  <c r="P42" i="19"/>
  <c r="R44" i="19"/>
  <c r="Q44" i="19"/>
  <c r="P44" i="19"/>
  <c r="R46" i="19"/>
  <c r="Q46" i="19"/>
  <c r="P46" i="19"/>
  <c r="R48" i="19"/>
  <c r="Q48" i="19"/>
  <c r="P48" i="19"/>
  <c r="R53" i="19"/>
  <c r="Q53" i="19"/>
  <c r="P53" i="19"/>
  <c r="R82" i="19"/>
  <c r="Q82" i="19"/>
  <c r="P82" i="19"/>
  <c r="R86" i="19"/>
  <c r="Q86" i="19"/>
  <c r="P86" i="19"/>
  <c r="R90" i="19"/>
  <c r="Q90" i="19"/>
  <c r="P90" i="19"/>
  <c r="R103" i="19"/>
  <c r="Q103" i="19"/>
  <c r="P103" i="19"/>
  <c r="R116" i="19"/>
  <c r="Q116" i="19"/>
  <c r="P116" i="19"/>
  <c r="R118" i="19"/>
  <c r="Q118" i="19"/>
  <c r="P118" i="19"/>
  <c r="R123" i="19"/>
  <c r="Q123" i="19"/>
  <c r="P123" i="19"/>
  <c r="R125" i="19"/>
  <c r="Q125" i="19"/>
  <c r="P125" i="19"/>
  <c r="O133" i="19"/>
  <c r="R127" i="19"/>
  <c r="Q127" i="19"/>
  <c r="P127" i="19"/>
  <c r="R66" i="19"/>
  <c r="Q66" i="19"/>
  <c r="P66" i="19"/>
  <c r="O65" i="19"/>
  <c r="R68" i="19"/>
  <c r="Q68" i="19"/>
  <c r="P68" i="19"/>
  <c r="R70" i="19"/>
  <c r="Q70" i="19"/>
  <c r="P70" i="19"/>
  <c r="R72" i="19"/>
  <c r="Q72" i="19"/>
  <c r="P72" i="19"/>
  <c r="R74" i="19"/>
  <c r="Q74" i="19"/>
  <c r="P74" i="19"/>
  <c r="R76" i="19"/>
  <c r="Q76" i="19"/>
  <c r="P76" i="19"/>
  <c r="R81" i="19"/>
  <c r="Q81" i="19"/>
  <c r="P81" i="19"/>
  <c r="R83" i="19"/>
  <c r="Q83" i="19"/>
  <c r="P83" i="19"/>
  <c r="O91" i="19"/>
  <c r="R85" i="19"/>
  <c r="Q85" i="19"/>
  <c r="P85" i="19"/>
  <c r="R87" i="19"/>
  <c r="Q87" i="19"/>
  <c r="P87" i="19"/>
  <c r="R89" i="19"/>
  <c r="Q89" i="19"/>
  <c r="P89" i="19"/>
  <c r="R94" i="19"/>
  <c r="Q94" i="19"/>
  <c r="P94" i="19"/>
  <c r="O93" i="19"/>
  <c r="R96" i="19"/>
  <c r="Q96" i="19"/>
  <c r="P96" i="19"/>
  <c r="R98" i="19"/>
  <c r="Q98" i="19"/>
  <c r="P98" i="19"/>
  <c r="R100" i="19"/>
  <c r="Q100" i="19"/>
  <c r="P100" i="19"/>
  <c r="R102" i="19"/>
  <c r="Q102" i="19"/>
  <c r="P102" i="19"/>
  <c r="R104" i="19"/>
  <c r="Q104" i="19"/>
  <c r="P104" i="19"/>
  <c r="R109" i="19"/>
  <c r="Q109" i="19"/>
  <c r="P109" i="19"/>
  <c r="R111" i="19"/>
  <c r="Q111" i="19"/>
  <c r="P111" i="19"/>
  <c r="O119" i="19"/>
  <c r="R113" i="19"/>
  <c r="Q113" i="19"/>
  <c r="P113" i="19"/>
  <c r="R115" i="19"/>
  <c r="Q115" i="19"/>
  <c r="P115" i="19"/>
  <c r="R117" i="19"/>
  <c r="Q117" i="19"/>
  <c r="P117" i="19"/>
  <c r="R122" i="19"/>
  <c r="Q122" i="19"/>
  <c r="P122" i="19"/>
  <c r="O121" i="19"/>
  <c r="R124" i="19"/>
  <c r="Q124" i="19"/>
  <c r="P124" i="19"/>
  <c r="R126" i="19"/>
  <c r="Q126" i="19"/>
  <c r="P126" i="19"/>
  <c r="R132" i="19"/>
  <c r="Q132" i="19"/>
  <c r="P132" i="19"/>
  <c r="R136" i="19"/>
  <c r="Q136" i="19"/>
  <c r="P136" i="19"/>
  <c r="O135" i="19"/>
  <c r="R129" i="19"/>
  <c r="Q129" i="19"/>
  <c r="P129" i="19"/>
  <c r="R138" i="19"/>
  <c r="Q138" i="19"/>
  <c r="P138" i="19"/>
  <c r="R140" i="19"/>
  <c r="Q140" i="19"/>
  <c r="P140" i="19"/>
  <c r="R142" i="19"/>
  <c r="Q142" i="19"/>
  <c r="P142" i="19"/>
  <c r="R144" i="19"/>
  <c r="Q144" i="19"/>
  <c r="P144" i="19"/>
  <c r="R146" i="19"/>
  <c r="Q146" i="19"/>
  <c r="P146" i="19"/>
  <c r="R151" i="19"/>
  <c r="Q151" i="19"/>
  <c r="P151" i="19"/>
  <c r="R153" i="19"/>
  <c r="Q153" i="19"/>
  <c r="O161" i="19"/>
  <c r="P153" i="19"/>
  <c r="R155" i="19"/>
  <c r="Q155" i="19"/>
  <c r="P155" i="19"/>
  <c r="R157" i="19"/>
  <c r="Q157" i="19"/>
  <c r="P157" i="19"/>
  <c r="R159" i="19"/>
  <c r="Q159" i="19"/>
  <c r="P159" i="19"/>
  <c r="R137" i="19"/>
  <c r="Q137" i="19"/>
  <c r="P137" i="19"/>
  <c r="O147" i="19"/>
  <c r="R139" i="19"/>
  <c r="Q139" i="19"/>
  <c r="P139" i="19"/>
  <c r="R141" i="19"/>
  <c r="P141" i="19"/>
  <c r="Q141" i="19"/>
  <c r="R143" i="19"/>
  <c r="Q143" i="19"/>
  <c r="P143" i="19"/>
  <c r="R145" i="19"/>
  <c r="Q145" i="19"/>
  <c r="P145" i="19"/>
  <c r="O149" i="19"/>
  <c r="R150" i="19"/>
  <c r="Q150" i="19"/>
  <c r="P150" i="19"/>
  <c r="R152" i="19"/>
  <c r="Q152" i="19"/>
  <c r="P152" i="19"/>
  <c r="R154" i="19"/>
  <c r="Q154" i="19"/>
  <c r="P154" i="19"/>
  <c r="R156" i="19"/>
  <c r="Q156" i="19"/>
  <c r="P156" i="19"/>
  <c r="R158" i="19"/>
  <c r="Q158" i="19"/>
  <c r="P158" i="19"/>
  <c r="R160" i="19"/>
  <c r="Q160" i="19"/>
  <c r="P160" i="19"/>
  <c r="R84" i="19"/>
  <c r="Q84" i="19"/>
  <c r="P84" i="19"/>
  <c r="Y58" i="19"/>
  <c r="X58" i="19"/>
  <c r="J48" i="19"/>
  <c r="I48" i="19"/>
  <c r="H48" i="19"/>
  <c r="R45" i="19"/>
  <c r="Q45" i="19"/>
  <c r="P45" i="19"/>
  <c r="R28" i="19"/>
  <c r="Q28" i="19"/>
  <c r="P28" i="19"/>
  <c r="Y74" i="19"/>
  <c r="X74" i="19"/>
  <c r="R54" i="19"/>
  <c r="Q54" i="19"/>
  <c r="P54" i="19"/>
  <c r="R39" i="19"/>
  <c r="Q39" i="19"/>
  <c r="P39" i="19"/>
  <c r="J33" i="19"/>
  <c r="I33" i="19"/>
  <c r="H33" i="19"/>
  <c r="J12" i="19"/>
  <c r="I12" i="19"/>
  <c r="H12" i="19"/>
  <c r="M149" i="19"/>
  <c r="M147" i="19"/>
  <c r="M135" i="19"/>
  <c r="M121" i="19"/>
  <c r="M161" i="19"/>
  <c r="M119" i="19"/>
  <c r="M37" i="19"/>
  <c r="M35" i="19"/>
  <c r="M133" i="19"/>
  <c r="M63" i="19"/>
  <c r="M77" i="19"/>
  <c r="M65" i="19"/>
  <c r="M51" i="19"/>
  <c r="M93" i="19"/>
  <c r="M79" i="19"/>
  <c r="M107" i="19"/>
  <c r="M105" i="19"/>
  <c r="M23" i="19"/>
  <c r="M91" i="19"/>
  <c r="M49" i="19"/>
  <c r="L7" i="19"/>
  <c r="M21" i="19"/>
  <c r="M9" i="19"/>
  <c r="W93" i="19"/>
  <c r="Y94" i="19"/>
  <c r="X94" i="19"/>
  <c r="J83" i="19"/>
  <c r="I83" i="19"/>
  <c r="H83" i="19"/>
  <c r="G91" i="19"/>
  <c r="Y19" i="19"/>
  <c r="X19" i="19"/>
  <c r="Y18" i="19"/>
  <c r="X18" i="19"/>
  <c r="J17" i="19"/>
  <c r="I17" i="19"/>
  <c r="H17" i="19"/>
  <c r="J16" i="19"/>
  <c r="I16" i="19"/>
  <c r="H16" i="19"/>
  <c r="Y31" i="19"/>
  <c r="X31" i="19"/>
  <c r="J27" i="19"/>
  <c r="I27" i="19"/>
  <c r="H27" i="19"/>
  <c r="G35" i="19"/>
  <c r="J25" i="19"/>
  <c r="I25" i="19"/>
  <c r="H25" i="19"/>
  <c r="Y12" i="19"/>
  <c r="X12" i="19"/>
  <c r="Y81" i="19"/>
  <c r="X81" i="19"/>
  <c r="Y57" i="19"/>
  <c r="X57" i="19"/>
  <c r="Y53" i="19"/>
  <c r="X53" i="19"/>
  <c r="R47" i="19"/>
  <c r="Q47" i="19"/>
  <c r="P47" i="19"/>
  <c r="Y42" i="19"/>
  <c r="X42" i="19"/>
  <c r="Y44" i="19"/>
  <c r="X44" i="19"/>
  <c r="Y40" i="19"/>
  <c r="X40" i="19"/>
  <c r="J59" i="19"/>
  <c r="H59" i="19"/>
  <c r="I59" i="19"/>
  <c r="G65" i="19"/>
  <c r="J66" i="19"/>
  <c r="I66" i="19"/>
  <c r="H66" i="19"/>
  <c r="J72" i="19"/>
  <c r="I72" i="19"/>
  <c r="H72" i="19"/>
  <c r="J102" i="19"/>
  <c r="I102" i="19"/>
  <c r="H102" i="19"/>
  <c r="I70" i="19"/>
  <c r="H70" i="19"/>
  <c r="J70" i="19"/>
  <c r="J96" i="19"/>
  <c r="I96" i="19"/>
  <c r="H96" i="19"/>
  <c r="J104" i="19"/>
  <c r="I104" i="19"/>
  <c r="H104" i="19"/>
  <c r="J60" i="19"/>
  <c r="I60" i="19"/>
  <c r="H60" i="19"/>
  <c r="J68" i="19"/>
  <c r="I68" i="19"/>
  <c r="H68" i="19"/>
  <c r="J56" i="19"/>
  <c r="I56" i="19"/>
  <c r="H56" i="19"/>
  <c r="J61" i="19"/>
  <c r="I61" i="19"/>
  <c r="H61" i="19"/>
  <c r="I76" i="19"/>
  <c r="H76" i="19"/>
  <c r="J76" i="19"/>
  <c r="J109" i="19"/>
  <c r="I109" i="19"/>
  <c r="H109" i="19"/>
  <c r="J57" i="19"/>
  <c r="H57" i="19"/>
  <c r="I57" i="19"/>
  <c r="J98" i="19"/>
  <c r="I98" i="19"/>
  <c r="H98" i="19"/>
  <c r="J111" i="19"/>
  <c r="I111" i="19"/>
  <c r="G119" i="19"/>
  <c r="H111" i="19"/>
  <c r="J128" i="19"/>
  <c r="I128" i="19"/>
  <c r="H128" i="19"/>
  <c r="J62" i="19"/>
  <c r="I62" i="19"/>
  <c r="H62" i="19"/>
  <c r="J113" i="19"/>
  <c r="I113" i="19"/>
  <c r="H113" i="19"/>
  <c r="H74" i="19"/>
  <c r="J74" i="19"/>
  <c r="I74" i="19"/>
  <c r="J26" i="19"/>
  <c r="I26" i="19"/>
  <c r="H26" i="19"/>
  <c r="J28" i="19"/>
  <c r="I28" i="19"/>
  <c r="H28" i="19"/>
  <c r="J30" i="19"/>
  <c r="I30" i="19"/>
  <c r="H30" i="19"/>
  <c r="J32" i="19"/>
  <c r="I32" i="19"/>
  <c r="H32" i="19"/>
  <c r="J34" i="19"/>
  <c r="I34" i="19"/>
  <c r="H34" i="19"/>
  <c r="J39" i="19"/>
  <c r="I39" i="19"/>
  <c r="H39" i="19"/>
  <c r="G49" i="19"/>
  <c r="J41" i="19"/>
  <c r="I41" i="19"/>
  <c r="H41" i="19"/>
  <c r="J43" i="19"/>
  <c r="I43" i="19"/>
  <c r="H43" i="19"/>
  <c r="J45" i="19"/>
  <c r="I45" i="19"/>
  <c r="H45" i="19"/>
  <c r="J47" i="19"/>
  <c r="I47" i="19"/>
  <c r="H47" i="19"/>
  <c r="J52" i="19"/>
  <c r="I52" i="19"/>
  <c r="H52" i="19"/>
  <c r="G51" i="19"/>
  <c r="H54" i="19"/>
  <c r="J54" i="19"/>
  <c r="I54" i="19"/>
  <c r="J58" i="19"/>
  <c r="I58" i="19"/>
  <c r="H58" i="19"/>
  <c r="J81" i="19"/>
  <c r="I81" i="19"/>
  <c r="H81" i="19"/>
  <c r="J85" i="19"/>
  <c r="I85" i="19"/>
  <c r="H85" i="19"/>
  <c r="J89" i="19"/>
  <c r="I89" i="19"/>
  <c r="H89" i="19"/>
  <c r="G93" i="19"/>
  <c r="J94" i="19"/>
  <c r="I94" i="19"/>
  <c r="H94" i="19"/>
  <c r="J100" i="19"/>
  <c r="I100" i="19"/>
  <c r="H100" i="19"/>
  <c r="J115" i="19"/>
  <c r="I115" i="19"/>
  <c r="H115" i="19"/>
  <c r="J117" i="19"/>
  <c r="I117" i="19"/>
  <c r="H117" i="19"/>
  <c r="G121" i="19"/>
  <c r="J122" i="19"/>
  <c r="I122" i="19"/>
  <c r="H122" i="19"/>
  <c r="J124" i="19"/>
  <c r="I124" i="19"/>
  <c r="H124" i="19"/>
  <c r="J126" i="19"/>
  <c r="I126" i="19"/>
  <c r="H126" i="19"/>
  <c r="G135" i="19"/>
  <c r="J136" i="19"/>
  <c r="I136" i="19"/>
  <c r="H136" i="19"/>
  <c r="J129" i="19"/>
  <c r="H129" i="19"/>
  <c r="I129" i="19"/>
  <c r="J132" i="19"/>
  <c r="I132" i="19"/>
  <c r="H132" i="19"/>
  <c r="J67" i="19"/>
  <c r="I67" i="19"/>
  <c r="H67" i="19"/>
  <c r="J69" i="19"/>
  <c r="I69" i="19"/>
  <c r="H69" i="19"/>
  <c r="G77" i="19"/>
  <c r="J71" i="19"/>
  <c r="I71" i="19"/>
  <c r="H71" i="19"/>
  <c r="J73" i="19"/>
  <c r="I73" i="19"/>
  <c r="H73" i="19"/>
  <c r="J75" i="19"/>
  <c r="I75" i="19"/>
  <c r="H75" i="19"/>
  <c r="J80" i="19"/>
  <c r="I80" i="19"/>
  <c r="H80" i="19"/>
  <c r="G79" i="19"/>
  <c r="J82" i="19"/>
  <c r="I82" i="19"/>
  <c r="H82" i="19"/>
  <c r="J84" i="19"/>
  <c r="I84" i="19"/>
  <c r="H84" i="19"/>
  <c r="J86" i="19"/>
  <c r="I86" i="19"/>
  <c r="H86" i="19"/>
  <c r="J88" i="19"/>
  <c r="I88" i="19"/>
  <c r="H88" i="19"/>
  <c r="J90" i="19"/>
  <c r="I90" i="19"/>
  <c r="H90" i="19"/>
  <c r="J95" i="19"/>
  <c r="I95" i="19"/>
  <c r="H95" i="19"/>
  <c r="J97" i="19"/>
  <c r="I97" i="19"/>
  <c r="H97" i="19"/>
  <c r="G105" i="19"/>
  <c r="J99" i="19"/>
  <c r="I99" i="19"/>
  <c r="H99" i="19"/>
  <c r="J101" i="19"/>
  <c r="I101" i="19"/>
  <c r="H101" i="19"/>
  <c r="J103" i="19"/>
  <c r="I103" i="19"/>
  <c r="H103" i="19"/>
  <c r="J108" i="19"/>
  <c r="I108" i="19"/>
  <c r="H108" i="19"/>
  <c r="G107" i="19"/>
  <c r="J110" i="19"/>
  <c r="I110" i="19"/>
  <c r="H110" i="19"/>
  <c r="J112" i="19"/>
  <c r="I112" i="19"/>
  <c r="H112" i="19"/>
  <c r="J114" i="19"/>
  <c r="I114" i="19"/>
  <c r="H114" i="19"/>
  <c r="J116" i="19"/>
  <c r="I116" i="19"/>
  <c r="H116" i="19"/>
  <c r="J118" i="19"/>
  <c r="I118" i="19"/>
  <c r="H118" i="19"/>
  <c r="J123" i="19"/>
  <c r="I123" i="19"/>
  <c r="H123" i="19"/>
  <c r="J125" i="19"/>
  <c r="I125" i="19"/>
  <c r="H125" i="19"/>
  <c r="G133" i="19"/>
  <c r="J127" i="19"/>
  <c r="I127" i="19"/>
  <c r="H127" i="19"/>
  <c r="J130" i="19"/>
  <c r="I130" i="19"/>
  <c r="H130" i="19"/>
  <c r="H131" i="19"/>
  <c r="I131" i="19"/>
  <c r="J131" i="19"/>
  <c r="J137" i="19"/>
  <c r="I137" i="19"/>
  <c r="H137" i="19"/>
  <c r="J139" i="19"/>
  <c r="I139" i="19"/>
  <c r="G147" i="19"/>
  <c r="H139" i="19"/>
  <c r="J141" i="19"/>
  <c r="I141" i="19"/>
  <c r="H141" i="19"/>
  <c r="J143" i="19"/>
  <c r="I143" i="19"/>
  <c r="H143" i="19"/>
  <c r="J145" i="19"/>
  <c r="I145" i="19"/>
  <c r="H145" i="19"/>
  <c r="G149" i="19"/>
  <c r="J150" i="19"/>
  <c r="I150" i="19"/>
  <c r="H150" i="19"/>
  <c r="J152" i="19"/>
  <c r="I152" i="19"/>
  <c r="H152" i="19"/>
  <c r="J154" i="19"/>
  <c r="I154" i="19"/>
  <c r="H154" i="19"/>
  <c r="J156" i="19"/>
  <c r="I156" i="19"/>
  <c r="H156" i="19"/>
  <c r="J158" i="19"/>
  <c r="I158" i="19"/>
  <c r="H158" i="19"/>
  <c r="J160" i="19"/>
  <c r="I160" i="19"/>
  <c r="H160" i="19"/>
  <c r="J138" i="19"/>
  <c r="I138" i="19"/>
  <c r="H138" i="19"/>
  <c r="I140" i="19"/>
  <c r="H140" i="19"/>
  <c r="J140" i="19"/>
  <c r="J142" i="19"/>
  <c r="I142" i="19"/>
  <c r="H142" i="19"/>
  <c r="J144" i="19"/>
  <c r="I144" i="19"/>
  <c r="H144" i="19"/>
  <c r="H146" i="19"/>
  <c r="J146" i="19"/>
  <c r="I146" i="19"/>
  <c r="J151" i="19"/>
  <c r="I151" i="19"/>
  <c r="H151" i="19"/>
  <c r="G161" i="19"/>
  <c r="J153" i="19"/>
  <c r="I153" i="19"/>
  <c r="H153" i="19"/>
  <c r="J155" i="19"/>
  <c r="I155" i="19"/>
  <c r="H155" i="19"/>
  <c r="J157" i="19"/>
  <c r="I157" i="19"/>
  <c r="H157" i="19"/>
  <c r="J159" i="19"/>
  <c r="I159" i="19"/>
  <c r="H159" i="19"/>
  <c r="Y72" i="19"/>
  <c r="X72" i="19"/>
  <c r="Y17" i="19"/>
  <c r="X17" i="19"/>
  <c r="Y16" i="19"/>
  <c r="X16" i="19"/>
  <c r="J15" i="19"/>
  <c r="I15" i="19"/>
  <c r="H15" i="19"/>
  <c r="W37" i="19"/>
  <c r="Y38" i="19"/>
  <c r="X38" i="19"/>
  <c r="J29" i="19"/>
  <c r="I29" i="19"/>
  <c r="H29" i="19"/>
  <c r="W63" i="19"/>
  <c r="Y55" i="19"/>
  <c r="X55" i="19"/>
  <c r="Y68" i="19"/>
  <c r="X68" i="19"/>
  <c r="Y98" i="19"/>
  <c r="X98" i="19"/>
  <c r="Y111" i="19"/>
  <c r="W119" i="19"/>
  <c r="X111" i="19"/>
  <c r="Y76" i="19"/>
  <c r="X76" i="19"/>
  <c r="W135" i="19"/>
  <c r="Y136" i="19"/>
  <c r="X136" i="19"/>
  <c r="Y113" i="19"/>
  <c r="X113" i="19"/>
  <c r="Y56" i="19"/>
  <c r="X56" i="19"/>
  <c r="X61" i="19"/>
  <c r="Y61" i="19"/>
  <c r="Y100" i="19"/>
  <c r="X100" i="19"/>
  <c r="Y102" i="19"/>
  <c r="X102" i="19"/>
  <c r="Y104" i="19"/>
  <c r="X104" i="19"/>
  <c r="Y54" i="19"/>
  <c r="X54" i="19"/>
  <c r="X59" i="19"/>
  <c r="Y59" i="19"/>
  <c r="W65" i="19"/>
  <c r="X66" i="19"/>
  <c r="Y66" i="19"/>
  <c r="X70" i="19"/>
  <c r="Y70" i="19"/>
  <c r="Y24" i="19"/>
  <c r="X24" i="19"/>
  <c r="W23" i="19"/>
  <c r="Y26" i="19"/>
  <c r="X26" i="19"/>
  <c r="X28" i="19"/>
  <c r="Y28" i="19"/>
  <c r="Y30" i="19"/>
  <c r="X30" i="19"/>
  <c r="Y32" i="19"/>
  <c r="X32" i="19"/>
  <c r="Y34" i="19"/>
  <c r="X34" i="19"/>
  <c r="Y39" i="19"/>
  <c r="X39" i="19"/>
  <c r="W49" i="19"/>
  <c r="Y41" i="19"/>
  <c r="X41" i="19"/>
  <c r="Y43" i="19"/>
  <c r="X43" i="19"/>
  <c r="Y45" i="19"/>
  <c r="X45" i="19"/>
  <c r="Y47" i="19"/>
  <c r="X47" i="19"/>
  <c r="Y52" i="19"/>
  <c r="X52" i="19"/>
  <c r="W51" i="19"/>
  <c r="W91" i="19"/>
  <c r="Y83" i="19"/>
  <c r="X83" i="19"/>
  <c r="Y87" i="19"/>
  <c r="X87" i="19"/>
  <c r="Y109" i="19"/>
  <c r="X109" i="19"/>
  <c r="Y115" i="19"/>
  <c r="X115" i="19"/>
  <c r="Y117" i="19"/>
  <c r="X117" i="19"/>
  <c r="W121" i="19"/>
  <c r="Y122" i="19"/>
  <c r="X122" i="19"/>
  <c r="Y124" i="19"/>
  <c r="X124" i="19"/>
  <c r="Y126" i="19"/>
  <c r="X126" i="19"/>
  <c r="Y129" i="19"/>
  <c r="X129" i="19"/>
  <c r="Y132" i="19"/>
  <c r="X132" i="19"/>
  <c r="Y127" i="19"/>
  <c r="X127" i="19"/>
  <c r="Y130" i="19"/>
  <c r="X130" i="19"/>
  <c r="Y62" i="19"/>
  <c r="X62" i="19"/>
  <c r="Y67" i="19"/>
  <c r="X67" i="19"/>
  <c r="Y69" i="19"/>
  <c r="X69" i="19"/>
  <c r="W77" i="19"/>
  <c r="Y71" i="19"/>
  <c r="X71" i="19"/>
  <c r="Y73" i="19"/>
  <c r="X73" i="19"/>
  <c r="Y75" i="19"/>
  <c r="X75" i="19"/>
  <c r="Y80" i="19"/>
  <c r="X80" i="19"/>
  <c r="W79" i="19"/>
  <c r="Y82" i="19"/>
  <c r="X82" i="19"/>
  <c r="Y84" i="19"/>
  <c r="X84" i="19"/>
  <c r="Y86" i="19"/>
  <c r="X86" i="19"/>
  <c r="Y88" i="19"/>
  <c r="X88" i="19"/>
  <c r="Y90" i="19"/>
  <c r="X90" i="19"/>
  <c r="Y95" i="19"/>
  <c r="X95" i="19"/>
  <c r="Y97" i="19"/>
  <c r="X97" i="19"/>
  <c r="W105" i="19"/>
  <c r="Y99" i="19"/>
  <c r="X99" i="19"/>
  <c r="Y101" i="19"/>
  <c r="X101" i="19"/>
  <c r="Y103" i="19"/>
  <c r="X103" i="19"/>
  <c r="Y108" i="19"/>
  <c r="X108" i="19"/>
  <c r="W107" i="19"/>
  <c r="Y110" i="19"/>
  <c r="X110" i="19"/>
  <c r="Y112" i="19"/>
  <c r="X112" i="19"/>
  <c r="Y114" i="19"/>
  <c r="X114" i="19"/>
  <c r="Y116" i="19"/>
  <c r="X116" i="19"/>
  <c r="Y118" i="19"/>
  <c r="X118" i="19"/>
  <c r="Y123" i="19"/>
  <c r="X123" i="19"/>
  <c r="Y125" i="19"/>
  <c r="X125" i="19"/>
  <c r="W133" i="19"/>
  <c r="Y131" i="19"/>
  <c r="X131" i="19"/>
  <c r="Y128" i="19"/>
  <c r="X128" i="19"/>
  <c r="Y137" i="19"/>
  <c r="X137" i="19"/>
  <c r="Y139" i="19"/>
  <c r="W147" i="19"/>
  <c r="X139" i="19"/>
  <c r="Y141" i="19"/>
  <c r="X141" i="19"/>
  <c r="Y143" i="19"/>
  <c r="X143" i="19"/>
  <c r="Y145" i="19"/>
  <c r="X145" i="19"/>
  <c r="W149" i="19"/>
  <c r="Y150" i="19"/>
  <c r="X150" i="19"/>
  <c r="Y152" i="19"/>
  <c r="X152" i="19"/>
  <c r="Y154" i="19"/>
  <c r="X154" i="19"/>
  <c r="Y156" i="19"/>
  <c r="X156" i="19"/>
  <c r="Y158" i="19"/>
  <c r="X158" i="19"/>
  <c r="Y160" i="19"/>
  <c r="X160" i="19"/>
  <c r="Y138" i="19"/>
  <c r="X138" i="19"/>
  <c r="Y140" i="19"/>
  <c r="X140" i="19"/>
  <c r="Y142" i="19"/>
  <c r="X142" i="19"/>
  <c r="Y144" i="19"/>
  <c r="X144" i="19"/>
  <c r="Y146" i="19"/>
  <c r="X146" i="19"/>
  <c r="Y151" i="19"/>
  <c r="X151" i="19"/>
  <c r="W161" i="19"/>
  <c r="Y153" i="19"/>
  <c r="X153" i="19"/>
  <c r="Y155" i="19"/>
  <c r="X155" i="19"/>
  <c r="X157" i="19"/>
  <c r="Y157" i="19"/>
  <c r="Y159" i="19"/>
  <c r="X159" i="19"/>
  <c r="J53" i="19"/>
  <c r="I53" i="19"/>
  <c r="H53" i="19"/>
  <c r="Y46" i="19"/>
  <c r="X46" i="19"/>
  <c r="Y33" i="19"/>
  <c r="X33" i="19"/>
  <c r="Y25" i="19"/>
  <c r="X25" i="19"/>
  <c r="V161" i="19"/>
  <c r="V135" i="19"/>
  <c r="V147" i="19"/>
  <c r="V133" i="19"/>
  <c r="V107" i="19"/>
  <c r="V105" i="19"/>
  <c r="V79" i="19"/>
  <c r="V149" i="19"/>
  <c r="V63" i="19"/>
  <c r="V91" i="19"/>
  <c r="V51" i="19"/>
  <c r="V49" i="19"/>
  <c r="V23" i="19"/>
  <c r="V65" i="19"/>
  <c r="V93" i="19"/>
  <c r="V77" i="19"/>
  <c r="V119" i="19"/>
  <c r="V9" i="19"/>
  <c r="V21" i="19"/>
  <c r="V121" i="19"/>
  <c r="V37" i="19"/>
  <c r="U7" i="19"/>
  <c r="V35" i="19"/>
  <c r="Y60" i="19"/>
  <c r="X60" i="19"/>
  <c r="J42" i="19"/>
  <c r="I42" i="19"/>
  <c r="H42" i="19"/>
  <c r="Y27" i="19"/>
  <c r="X27" i="19"/>
  <c r="W35" i="19"/>
  <c r="Y11" i="19"/>
  <c r="X11" i="19"/>
  <c r="J44" i="19"/>
  <c r="I44" i="19"/>
  <c r="H44" i="19"/>
  <c r="Y15" i="19"/>
  <c r="X15" i="19"/>
  <c r="Y14" i="19"/>
  <c r="X14" i="19"/>
  <c r="J40" i="19"/>
  <c r="I40" i="19"/>
  <c r="H40" i="19"/>
  <c r="J140" i="18"/>
  <c r="I140" i="18"/>
  <c r="X123" i="18"/>
  <c r="Y111" i="18"/>
  <c r="X111" i="18"/>
  <c r="R108" i="18"/>
  <c r="Q108" i="18"/>
  <c r="H78" i="18"/>
  <c r="J79" i="18"/>
  <c r="I79" i="18"/>
  <c r="R70" i="18"/>
  <c r="Q70" i="18"/>
  <c r="X69" i="18"/>
  <c r="J61" i="18"/>
  <c r="I61" i="18"/>
  <c r="R53" i="18"/>
  <c r="Q53" i="18"/>
  <c r="X52" i="18"/>
  <c r="J44" i="18"/>
  <c r="I44" i="18"/>
  <c r="J27" i="18"/>
  <c r="I27" i="18"/>
  <c r="R18" i="18"/>
  <c r="Q18" i="18"/>
  <c r="X17" i="18"/>
  <c r="J10" i="18"/>
  <c r="I10" i="18"/>
  <c r="X157" i="18"/>
  <c r="J126" i="18"/>
  <c r="I126" i="18"/>
  <c r="X116" i="18"/>
  <c r="Q100" i="18"/>
  <c r="R100" i="18"/>
  <c r="Q80" i="18"/>
  <c r="R80" i="18"/>
  <c r="X79" i="18"/>
  <c r="W78" i="18"/>
  <c r="I71" i="18"/>
  <c r="J71" i="18"/>
  <c r="X61" i="18"/>
  <c r="I54" i="18"/>
  <c r="H62" i="18"/>
  <c r="J54" i="18"/>
  <c r="Q45" i="18"/>
  <c r="R45" i="18"/>
  <c r="X44" i="18"/>
  <c r="I37" i="18"/>
  <c r="H36" i="18"/>
  <c r="J37" i="18"/>
  <c r="Q28" i="18"/>
  <c r="R28" i="18"/>
  <c r="X27" i="18"/>
  <c r="I19" i="18"/>
  <c r="J19" i="18"/>
  <c r="Q11" i="18"/>
  <c r="R11" i="18"/>
  <c r="X10" i="18"/>
  <c r="J157" i="18"/>
  <c r="I157" i="18"/>
  <c r="X128" i="18"/>
  <c r="J99" i="18"/>
  <c r="I99" i="18"/>
  <c r="J98" i="18"/>
  <c r="I98" i="18"/>
  <c r="J81" i="18"/>
  <c r="I81" i="18"/>
  <c r="R72" i="18"/>
  <c r="Q72" i="18"/>
  <c r="X71" i="18"/>
  <c r="R55" i="18"/>
  <c r="Q55" i="18"/>
  <c r="Y54" i="18"/>
  <c r="X54" i="18"/>
  <c r="W62" i="18"/>
  <c r="J46" i="18"/>
  <c r="I46" i="18"/>
  <c r="R38" i="18"/>
  <c r="Q38" i="18"/>
  <c r="X37" i="18"/>
  <c r="W36" i="18"/>
  <c r="J29" i="18"/>
  <c r="I29" i="18"/>
  <c r="X19" i="18"/>
  <c r="J12" i="18"/>
  <c r="I12" i="18"/>
  <c r="H20" i="18"/>
  <c r="I123" i="18"/>
  <c r="J123" i="18"/>
  <c r="X113" i="18"/>
  <c r="I103" i="18"/>
  <c r="J103" i="18"/>
  <c r="X97" i="18"/>
  <c r="W104" i="18"/>
  <c r="X96" i="18"/>
  <c r="R95" i="18"/>
  <c r="Q95" i="18"/>
  <c r="R82" i="18"/>
  <c r="Q82" i="18"/>
  <c r="P90" i="18"/>
  <c r="X81" i="18"/>
  <c r="J73" i="18"/>
  <c r="I73" i="18"/>
  <c r="R65" i="18"/>
  <c r="Q65" i="18"/>
  <c r="P64" i="18"/>
  <c r="J56" i="18"/>
  <c r="I56" i="18"/>
  <c r="R47" i="18"/>
  <c r="Q47" i="18"/>
  <c r="X46" i="18"/>
  <c r="J39" i="18"/>
  <c r="I39" i="18"/>
  <c r="R30" i="18"/>
  <c r="Q30" i="18"/>
  <c r="X29" i="18"/>
  <c r="R13" i="18"/>
  <c r="Q13" i="18"/>
  <c r="X12" i="18"/>
  <c r="W20" i="18"/>
  <c r="J94" i="18"/>
  <c r="I94" i="18"/>
  <c r="J83" i="18"/>
  <c r="I83" i="18"/>
  <c r="R74" i="18"/>
  <c r="Q74" i="18"/>
  <c r="X73" i="18"/>
  <c r="J66" i="18"/>
  <c r="I66" i="18"/>
  <c r="R57" i="18"/>
  <c r="Q57" i="18"/>
  <c r="X56" i="18"/>
  <c r="R40" i="18"/>
  <c r="Q40" i="18"/>
  <c r="P48" i="18"/>
  <c r="X39" i="18"/>
  <c r="J31" i="18"/>
  <c r="I31" i="18"/>
  <c r="R23" i="18"/>
  <c r="Q23" i="18"/>
  <c r="P22" i="18"/>
  <c r="J14" i="18"/>
  <c r="I14" i="18"/>
  <c r="R89" i="18"/>
  <c r="Q89" i="18"/>
  <c r="R84" i="18"/>
  <c r="Q84" i="18"/>
  <c r="X83" i="18"/>
  <c r="J75" i="18"/>
  <c r="I75" i="18"/>
  <c r="R67" i="18"/>
  <c r="Q67" i="18"/>
  <c r="X66" i="18"/>
  <c r="J58" i="18"/>
  <c r="I58" i="18"/>
  <c r="J41" i="18"/>
  <c r="I41" i="18"/>
  <c r="R32" i="18"/>
  <c r="Q32" i="18"/>
  <c r="X31" i="18"/>
  <c r="J24" i="18"/>
  <c r="I24" i="18"/>
  <c r="R15" i="18"/>
  <c r="Q15" i="18"/>
  <c r="X14" i="18"/>
  <c r="J130" i="18"/>
  <c r="I130" i="18"/>
  <c r="H146" i="18"/>
  <c r="J138" i="18"/>
  <c r="I138" i="18"/>
  <c r="J155" i="18"/>
  <c r="I155" i="18"/>
  <c r="I111" i="18"/>
  <c r="J111" i="18"/>
  <c r="I128" i="18"/>
  <c r="J128" i="18"/>
  <c r="J145" i="18"/>
  <c r="I145" i="18"/>
  <c r="J136" i="18"/>
  <c r="I136" i="18"/>
  <c r="J153" i="18"/>
  <c r="I153" i="18"/>
  <c r="J143" i="18"/>
  <c r="I143" i="18"/>
  <c r="J116" i="18"/>
  <c r="I116" i="18"/>
  <c r="J151" i="18"/>
  <c r="I151" i="18"/>
  <c r="J124" i="18"/>
  <c r="I124" i="18"/>
  <c r="H132" i="18"/>
  <c r="J141" i="18"/>
  <c r="I141" i="18"/>
  <c r="J158" i="18"/>
  <c r="I158" i="18"/>
  <c r="J97" i="18"/>
  <c r="I97" i="18"/>
  <c r="J114" i="18"/>
  <c r="I114" i="18"/>
  <c r="J131" i="18"/>
  <c r="I131" i="18"/>
  <c r="J149" i="18"/>
  <c r="I149" i="18"/>
  <c r="H148" i="18"/>
  <c r="J87" i="18"/>
  <c r="I87" i="18"/>
  <c r="J122" i="18"/>
  <c r="I122" i="18"/>
  <c r="J139" i="18"/>
  <c r="I139" i="18"/>
  <c r="J156" i="18"/>
  <c r="I156" i="18"/>
  <c r="J95" i="18"/>
  <c r="I95" i="18"/>
  <c r="J112" i="18"/>
  <c r="I112" i="18"/>
  <c r="J129" i="18"/>
  <c r="I129" i="18"/>
  <c r="J102" i="18"/>
  <c r="I102" i="18"/>
  <c r="J137" i="18"/>
  <c r="I137" i="18"/>
  <c r="J154" i="18"/>
  <c r="I154" i="18"/>
  <c r="J93" i="18"/>
  <c r="I93" i="18"/>
  <c r="H92" i="18"/>
  <c r="J110" i="18"/>
  <c r="I110" i="18"/>
  <c r="H118" i="18"/>
  <c r="J127" i="18"/>
  <c r="I127" i="18"/>
  <c r="J144" i="18"/>
  <c r="I144" i="18"/>
  <c r="I100" i="18"/>
  <c r="J100" i="18"/>
  <c r="I117" i="18"/>
  <c r="J117" i="18"/>
  <c r="I135" i="18"/>
  <c r="H134" i="18"/>
  <c r="J135" i="18"/>
  <c r="I152" i="18"/>
  <c r="H160" i="18"/>
  <c r="J152" i="18"/>
  <c r="J108" i="18"/>
  <c r="I108" i="18"/>
  <c r="J125" i="18"/>
  <c r="I125" i="18"/>
  <c r="J142" i="18"/>
  <c r="I142" i="18"/>
  <c r="I159" i="18"/>
  <c r="J159" i="18"/>
  <c r="C161" i="19"/>
  <c r="C147" i="19"/>
  <c r="C135" i="19"/>
  <c r="C121" i="19"/>
  <c r="C119" i="19"/>
  <c r="C93" i="19"/>
  <c r="C91" i="19"/>
  <c r="C149" i="19"/>
  <c r="C107" i="19"/>
  <c r="C63" i="19"/>
  <c r="C105" i="19"/>
  <c r="C65" i="19"/>
  <c r="C51" i="19"/>
  <c r="C49" i="19"/>
  <c r="C133" i="19"/>
  <c r="C77" i="19"/>
  <c r="C79" i="19"/>
  <c r="C9" i="19"/>
  <c r="C21" i="19"/>
  <c r="C37" i="19"/>
  <c r="C35" i="19"/>
  <c r="C23" i="19"/>
  <c r="R131" i="18"/>
  <c r="Q131" i="18"/>
  <c r="J88" i="18"/>
  <c r="I88" i="18"/>
  <c r="J85" i="18"/>
  <c r="I85" i="18"/>
  <c r="Y75" i="18"/>
  <c r="X75" i="18"/>
  <c r="J68" i="18"/>
  <c r="I68" i="18"/>
  <c r="H76" i="18"/>
  <c r="R59" i="18"/>
  <c r="Q59" i="18"/>
  <c r="X58" i="18"/>
  <c r="J51" i="18"/>
  <c r="I51" i="18"/>
  <c r="H50" i="18"/>
  <c r="R42" i="18"/>
  <c r="Q42" i="18"/>
  <c r="X41" i="18"/>
  <c r="J33" i="18"/>
  <c r="I33" i="18"/>
  <c r="R25" i="18"/>
  <c r="Q25" i="18"/>
  <c r="X24" i="18"/>
  <c r="J16" i="18"/>
  <c r="I16" i="18"/>
  <c r="W120" i="18"/>
  <c r="X121" i="18"/>
  <c r="W146" i="18"/>
  <c r="X138" i="18"/>
  <c r="X155" i="18"/>
  <c r="Y145" i="18"/>
  <c r="X145" i="18"/>
  <c r="X101" i="18"/>
  <c r="X136" i="18"/>
  <c r="X153" i="18"/>
  <c r="X109" i="18"/>
  <c r="X126" i="18"/>
  <c r="X143" i="18"/>
  <c r="X151" i="18"/>
  <c r="W132" i="18"/>
  <c r="X124" i="18"/>
  <c r="X141" i="18"/>
  <c r="X158" i="18"/>
  <c r="X114" i="18"/>
  <c r="X131" i="18"/>
  <c r="X149" i="18"/>
  <c r="W148" i="18"/>
  <c r="X87" i="18"/>
  <c r="Y122" i="18"/>
  <c r="X122" i="18"/>
  <c r="X139" i="18"/>
  <c r="X156" i="18"/>
  <c r="X95" i="18"/>
  <c r="X112" i="18"/>
  <c r="X129" i="18"/>
  <c r="X102" i="18"/>
  <c r="X137" i="18"/>
  <c r="Y154" i="18"/>
  <c r="X154" i="18"/>
  <c r="X93" i="18"/>
  <c r="W92" i="18"/>
  <c r="X110" i="18"/>
  <c r="W118" i="18"/>
  <c r="X127" i="18"/>
  <c r="X144" i="18"/>
  <c r="X100" i="18"/>
  <c r="X117" i="18"/>
  <c r="Y135" i="18"/>
  <c r="X135" i="18"/>
  <c r="W134" i="18"/>
  <c r="X152" i="18"/>
  <c r="W160" i="18"/>
  <c r="X159" i="18"/>
  <c r="X108" i="18"/>
  <c r="X125" i="18"/>
  <c r="X142" i="18"/>
  <c r="X98" i="18"/>
  <c r="Y115" i="18"/>
  <c r="X115" i="18"/>
  <c r="X150" i="18"/>
  <c r="J150" i="18"/>
  <c r="I150" i="18"/>
  <c r="J113" i="18"/>
  <c r="I113" i="18"/>
  <c r="X85" i="18"/>
  <c r="R69" i="18"/>
  <c r="Q69" i="18"/>
  <c r="X68" i="18"/>
  <c r="W76" i="18"/>
  <c r="J60" i="18"/>
  <c r="I60" i="18"/>
  <c r="R52" i="18"/>
  <c r="Q52" i="18"/>
  <c r="X51" i="18"/>
  <c r="W50" i="18"/>
  <c r="J43" i="18"/>
  <c r="I43" i="18"/>
  <c r="X33" i="18"/>
  <c r="J26" i="18"/>
  <c r="I26" i="18"/>
  <c r="H34" i="18"/>
  <c r="R17" i="18"/>
  <c r="Q17" i="18"/>
  <c r="X16" i="18"/>
  <c r="P148" i="18"/>
  <c r="R149" i="18"/>
  <c r="Q149" i="18"/>
  <c r="W106" i="18"/>
  <c r="X107" i="18"/>
  <c r="R79" i="18"/>
  <c r="Q79" i="18"/>
  <c r="P78" i="18"/>
  <c r="J70" i="18"/>
  <c r="I70" i="18"/>
  <c r="R61" i="18"/>
  <c r="Q61" i="18"/>
  <c r="X60" i="18"/>
  <c r="J53" i="18"/>
  <c r="I53" i="18"/>
  <c r="R44" i="18"/>
  <c r="Q44" i="18"/>
  <c r="X43" i="18"/>
  <c r="R27" i="18"/>
  <c r="Q27" i="18"/>
  <c r="W34" i="18"/>
  <c r="Y26" i="18"/>
  <c r="X26" i="18"/>
  <c r="J18" i="18"/>
  <c r="I18" i="18"/>
  <c r="R10" i="18"/>
  <c r="Q10" i="18"/>
  <c r="X9" i="18"/>
  <c r="W8" i="18"/>
  <c r="Y44" i="18" s="1"/>
  <c r="X130" i="18"/>
  <c r="J109" i="18"/>
  <c r="I109" i="18"/>
  <c r="J80" i="18"/>
  <c r="I80" i="18"/>
  <c r="R71" i="18"/>
  <c r="Q71" i="18"/>
  <c r="X70" i="18"/>
  <c r="P62" i="18"/>
  <c r="R54" i="18"/>
  <c r="Q54" i="18"/>
  <c r="X53" i="18"/>
  <c r="J45" i="18"/>
  <c r="I45" i="18"/>
  <c r="P36" i="18"/>
  <c r="R37" i="18"/>
  <c r="Q37" i="18"/>
  <c r="J28" i="18"/>
  <c r="I28" i="18"/>
  <c r="R19" i="18"/>
  <c r="Q19" i="18"/>
  <c r="J101" i="18"/>
  <c r="I101" i="18"/>
  <c r="X99" i="18"/>
  <c r="R98" i="18"/>
  <c r="Q98" i="18"/>
  <c r="R97" i="18"/>
  <c r="Q97" i="18"/>
  <c r="R81" i="18"/>
  <c r="Q81" i="18"/>
  <c r="X80" i="18"/>
  <c r="J72" i="18"/>
  <c r="I72" i="18"/>
  <c r="J55" i="18"/>
  <c r="I55" i="18"/>
  <c r="R46" i="18"/>
  <c r="Q46" i="18"/>
  <c r="X45" i="18"/>
  <c r="J38" i="18"/>
  <c r="I38" i="18"/>
  <c r="R29" i="18"/>
  <c r="Q29" i="18"/>
  <c r="X28" i="18"/>
  <c r="P20" i="18"/>
  <c r="R12" i="18"/>
  <c r="Q12" i="18"/>
  <c r="R112" i="18"/>
  <c r="Q112" i="18"/>
  <c r="H104" i="18"/>
  <c r="J96" i="18"/>
  <c r="I96" i="18"/>
  <c r="H90" i="18"/>
  <c r="J82" i="18"/>
  <c r="I82" i="18"/>
  <c r="R73" i="18"/>
  <c r="Q73" i="18"/>
  <c r="Y72" i="18"/>
  <c r="X72" i="18"/>
  <c r="H64" i="18"/>
  <c r="J65" i="18"/>
  <c r="I65" i="18"/>
  <c r="R56" i="18"/>
  <c r="Q56" i="18"/>
  <c r="X55" i="18"/>
  <c r="J47" i="18"/>
  <c r="I47" i="18"/>
  <c r="R39" i="18"/>
  <c r="Q39" i="18"/>
  <c r="X38" i="18"/>
  <c r="J30" i="18"/>
  <c r="I30" i="18"/>
  <c r="P132" i="18"/>
  <c r="R124" i="18"/>
  <c r="Q124" i="18"/>
  <c r="J115" i="18"/>
  <c r="I115" i="18"/>
  <c r="X103" i="18"/>
  <c r="Y94" i="18"/>
  <c r="X94" i="18"/>
  <c r="P92" i="18"/>
  <c r="R93" i="18"/>
  <c r="Q93" i="18"/>
  <c r="R83" i="18"/>
  <c r="Q83" i="18"/>
  <c r="W90" i="18"/>
  <c r="Y82" i="18"/>
  <c r="X82" i="18"/>
  <c r="J74" i="18"/>
  <c r="I74" i="18"/>
  <c r="R66" i="18"/>
  <c r="Q66" i="18"/>
  <c r="W64" i="18"/>
  <c r="X65" i="18"/>
  <c r="J57" i="18"/>
  <c r="I57" i="18"/>
  <c r="X47" i="18"/>
  <c r="H48" i="18"/>
  <c r="J40" i="18"/>
  <c r="I40" i="18"/>
  <c r="R31" i="18"/>
  <c r="Q31" i="18"/>
  <c r="X30" i="18"/>
  <c r="H22" i="18"/>
  <c r="J23" i="18"/>
  <c r="I23" i="18"/>
  <c r="R14" i="18"/>
  <c r="Q14" i="18"/>
  <c r="R141" i="18"/>
  <c r="Q141" i="18"/>
  <c r="R117" i="18"/>
  <c r="Q117" i="18"/>
  <c r="J84" i="18"/>
  <c r="I84" i="18"/>
  <c r="R75" i="18"/>
  <c r="Q75" i="18"/>
  <c r="X74" i="18"/>
  <c r="J67" i="18"/>
  <c r="I67" i="18"/>
  <c r="R58" i="18"/>
  <c r="Q58" i="18"/>
  <c r="X57" i="18"/>
  <c r="R41" i="18"/>
  <c r="Q41" i="18"/>
  <c r="W48" i="18"/>
  <c r="X40" i="18"/>
  <c r="J32" i="18"/>
  <c r="I32" i="18"/>
  <c r="R24" i="18"/>
  <c r="Q24" i="18"/>
  <c r="W22" i="18"/>
  <c r="X23" i="18"/>
  <c r="J15" i="18"/>
  <c r="I15" i="18"/>
  <c r="R122" i="18"/>
  <c r="Q122" i="18"/>
  <c r="R139" i="18"/>
  <c r="Q139" i="18"/>
  <c r="R156" i="18"/>
  <c r="Q156" i="18"/>
  <c r="R102" i="18"/>
  <c r="Q102" i="18"/>
  <c r="R137" i="18"/>
  <c r="Q137" i="18"/>
  <c r="R154" i="18"/>
  <c r="Q154" i="18"/>
  <c r="P118" i="18"/>
  <c r="R110" i="18"/>
  <c r="Q110" i="18"/>
  <c r="R127" i="18"/>
  <c r="Q127" i="18"/>
  <c r="R144" i="18"/>
  <c r="Q144" i="18"/>
  <c r="P134" i="18"/>
  <c r="R135" i="18"/>
  <c r="Q135" i="18"/>
  <c r="P160" i="18"/>
  <c r="R152" i="18"/>
  <c r="Q152" i="18"/>
  <c r="R159" i="18"/>
  <c r="Q159" i="18"/>
  <c r="R125" i="18"/>
  <c r="Q125" i="18"/>
  <c r="R142" i="18"/>
  <c r="Q142" i="18"/>
  <c r="R115" i="18"/>
  <c r="Q115" i="18"/>
  <c r="R150" i="18"/>
  <c r="Q150" i="18"/>
  <c r="R88" i="18"/>
  <c r="Q88" i="18"/>
  <c r="R123" i="18"/>
  <c r="Q123" i="18"/>
  <c r="R140" i="18"/>
  <c r="Q140" i="18"/>
  <c r="R157" i="18"/>
  <c r="Q157" i="18"/>
  <c r="R96" i="18"/>
  <c r="Q96" i="18"/>
  <c r="P104" i="18"/>
  <c r="R113" i="18"/>
  <c r="Q113" i="18"/>
  <c r="R130" i="18"/>
  <c r="Q130" i="18"/>
  <c r="R86" i="18"/>
  <c r="Q86" i="18"/>
  <c r="R103" i="18"/>
  <c r="Q103" i="18"/>
  <c r="R121" i="18"/>
  <c r="Q121" i="18"/>
  <c r="P120" i="18"/>
  <c r="R138" i="18"/>
  <c r="Q138" i="18"/>
  <c r="P146" i="18"/>
  <c r="R155" i="18"/>
  <c r="Q155" i="18"/>
  <c r="R94" i="18"/>
  <c r="Q94" i="18"/>
  <c r="R111" i="18"/>
  <c r="Q111" i="18"/>
  <c r="R128" i="18"/>
  <c r="Q128" i="18"/>
  <c r="R145" i="18"/>
  <c r="Q145" i="18"/>
  <c r="R101" i="18"/>
  <c r="Q101" i="18"/>
  <c r="R136" i="18"/>
  <c r="Q136" i="18"/>
  <c r="R153" i="18"/>
  <c r="Q153" i="18"/>
  <c r="Q109" i="18"/>
  <c r="R109" i="18"/>
  <c r="Q126" i="18"/>
  <c r="R126" i="18"/>
  <c r="Q143" i="18"/>
  <c r="R143" i="18"/>
  <c r="Q99" i="18"/>
  <c r="R99" i="18"/>
  <c r="R116" i="18"/>
  <c r="Q116" i="18"/>
  <c r="R151" i="18"/>
  <c r="Q151" i="18"/>
  <c r="I156" i="17"/>
  <c r="K156" i="17"/>
  <c r="J156" i="17"/>
  <c r="K88" i="17"/>
  <c r="J88" i="17"/>
  <c r="I88" i="17"/>
  <c r="K71" i="17"/>
  <c r="J71" i="17"/>
  <c r="I71" i="17"/>
  <c r="K54" i="17"/>
  <c r="J54" i="17"/>
  <c r="I54" i="17"/>
  <c r="U12" i="17"/>
  <c r="V12" i="17"/>
  <c r="K151" i="17"/>
  <c r="I151" i="17"/>
  <c r="J151" i="17"/>
  <c r="I96" i="17"/>
  <c r="K96" i="17"/>
  <c r="J96" i="17"/>
  <c r="I61" i="17"/>
  <c r="K61" i="17"/>
  <c r="J61" i="17"/>
  <c r="I44" i="17"/>
  <c r="K44" i="17"/>
  <c r="J44" i="17"/>
  <c r="I27" i="17"/>
  <c r="H35" i="17"/>
  <c r="K27" i="17"/>
  <c r="J27" i="17"/>
  <c r="I16" i="17"/>
  <c r="K16" i="17"/>
  <c r="J16" i="17"/>
  <c r="H135" i="17"/>
  <c r="K136" i="17"/>
  <c r="J136" i="17"/>
  <c r="I136" i="17"/>
  <c r="J129" i="17"/>
  <c r="I129" i="17"/>
  <c r="K129" i="17"/>
  <c r="J103" i="17"/>
  <c r="I103" i="17"/>
  <c r="K103" i="17"/>
  <c r="J86" i="17"/>
  <c r="I86" i="17"/>
  <c r="K86" i="17"/>
  <c r="J69" i="17"/>
  <c r="I69" i="17"/>
  <c r="H77" i="17"/>
  <c r="K69" i="17"/>
  <c r="J52" i="17"/>
  <c r="I52" i="17"/>
  <c r="H51" i="17"/>
  <c r="K52" i="17"/>
  <c r="J34" i="17"/>
  <c r="I34" i="17"/>
  <c r="K34" i="17"/>
  <c r="V19" i="17"/>
  <c r="U19" i="17"/>
  <c r="V11" i="17"/>
  <c r="U11" i="17"/>
  <c r="K109" i="17"/>
  <c r="J109" i="17"/>
  <c r="I109" i="17"/>
  <c r="K126" i="17"/>
  <c r="J126" i="17"/>
  <c r="I126" i="17"/>
  <c r="K143" i="17"/>
  <c r="J143" i="17"/>
  <c r="I143" i="17"/>
  <c r="K160" i="17"/>
  <c r="J160" i="17"/>
  <c r="I160" i="17"/>
  <c r="K111" i="17"/>
  <c r="J111" i="17"/>
  <c r="I111" i="17"/>
  <c r="H119" i="17"/>
  <c r="K128" i="17"/>
  <c r="J128" i="17"/>
  <c r="I128" i="17"/>
  <c r="K145" i="17"/>
  <c r="J145" i="17"/>
  <c r="I145" i="17"/>
  <c r="J138" i="17"/>
  <c r="I138" i="17"/>
  <c r="K138" i="17"/>
  <c r="K155" i="17"/>
  <c r="J155" i="17"/>
  <c r="I155" i="17"/>
  <c r="K113" i="17"/>
  <c r="I113" i="17"/>
  <c r="J113" i="17"/>
  <c r="K130" i="17"/>
  <c r="I130" i="17"/>
  <c r="J130" i="17"/>
  <c r="K123" i="17"/>
  <c r="J123" i="17"/>
  <c r="I123" i="17"/>
  <c r="K140" i="17"/>
  <c r="J140" i="17"/>
  <c r="I140" i="17"/>
  <c r="K157" i="17"/>
  <c r="J157" i="17"/>
  <c r="I157" i="17"/>
  <c r="J150" i="17"/>
  <c r="I150" i="17"/>
  <c r="H149" i="17"/>
  <c r="K150" i="17"/>
  <c r="I108" i="17"/>
  <c r="K108" i="17"/>
  <c r="J108" i="17"/>
  <c r="H107" i="17"/>
  <c r="I125" i="17"/>
  <c r="K125" i="17"/>
  <c r="J125" i="17"/>
  <c r="H133" i="17"/>
  <c r="I142" i="17"/>
  <c r="K142" i="17"/>
  <c r="J142" i="17"/>
  <c r="I159" i="17"/>
  <c r="K159" i="17"/>
  <c r="J159" i="17"/>
  <c r="K117" i="17"/>
  <c r="J117" i="17"/>
  <c r="I117" i="17"/>
  <c r="K152" i="17"/>
  <c r="J152" i="17"/>
  <c r="I152" i="17"/>
  <c r="J132" i="17"/>
  <c r="I132" i="17"/>
  <c r="K132" i="17"/>
  <c r="K118" i="17"/>
  <c r="J118" i="17"/>
  <c r="I118" i="17"/>
  <c r="K112" i="17"/>
  <c r="J112" i="17"/>
  <c r="I112" i="17"/>
  <c r="K94" i="17"/>
  <c r="J94" i="17"/>
  <c r="I94" i="17"/>
  <c r="H93" i="17"/>
  <c r="K76" i="17"/>
  <c r="J76" i="17"/>
  <c r="I76" i="17"/>
  <c r="K59" i="17"/>
  <c r="J59" i="17"/>
  <c r="I59" i="17"/>
  <c r="K42" i="17"/>
  <c r="J42" i="17"/>
  <c r="I42" i="17"/>
  <c r="K25" i="17"/>
  <c r="J25" i="17"/>
  <c r="I25" i="17"/>
  <c r="K15" i="17"/>
  <c r="J15" i="17"/>
  <c r="I15" i="17"/>
  <c r="H147" i="17"/>
  <c r="K139" i="17"/>
  <c r="J139" i="17"/>
  <c r="I139" i="17"/>
  <c r="J115" i="17"/>
  <c r="I115" i="17"/>
  <c r="K115" i="17"/>
  <c r="K101" i="17"/>
  <c r="J101" i="17"/>
  <c r="I101" i="17"/>
  <c r="K84" i="17"/>
  <c r="J84" i="17"/>
  <c r="I84" i="17"/>
  <c r="K67" i="17"/>
  <c r="J67" i="17"/>
  <c r="I67" i="17"/>
  <c r="K32" i="17"/>
  <c r="J32" i="17"/>
  <c r="I32" i="17"/>
  <c r="W18" i="17"/>
  <c r="V18" i="17"/>
  <c r="U18" i="17"/>
  <c r="W10" i="17"/>
  <c r="V10" i="17"/>
  <c r="U10" i="17"/>
  <c r="T9" i="17"/>
  <c r="W12" i="17" s="1"/>
  <c r="H121" i="17"/>
  <c r="K122" i="17"/>
  <c r="J122" i="17"/>
  <c r="I122" i="17"/>
  <c r="K74" i="17"/>
  <c r="J74" i="17"/>
  <c r="I74" i="17"/>
  <c r="K57" i="17"/>
  <c r="J57" i="17"/>
  <c r="I57" i="17"/>
  <c r="K40" i="17"/>
  <c r="J40" i="17"/>
  <c r="I40" i="17"/>
  <c r="K14" i="17"/>
  <c r="J14" i="17"/>
  <c r="I14" i="17"/>
  <c r="K99" i="17"/>
  <c r="J99" i="17"/>
  <c r="I99" i="17"/>
  <c r="K82" i="17"/>
  <c r="J82" i="17"/>
  <c r="I82" i="17"/>
  <c r="K47" i="17"/>
  <c r="J47" i="17"/>
  <c r="I47" i="17"/>
  <c r="K30" i="17"/>
  <c r="J30" i="17"/>
  <c r="I30" i="17"/>
  <c r="W17" i="17"/>
  <c r="V17" i="17"/>
  <c r="U17" i="17"/>
  <c r="K154" i="17"/>
  <c r="I154" i="17"/>
  <c r="J154" i="17"/>
  <c r="K131" i="17"/>
  <c r="J131" i="17"/>
  <c r="I131" i="17"/>
  <c r="K89" i="17"/>
  <c r="J89" i="17"/>
  <c r="I89" i="17"/>
  <c r="K114" i="17"/>
  <c r="J114" i="17"/>
  <c r="I114" i="17"/>
  <c r="H105" i="17"/>
  <c r="K97" i="17"/>
  <c r="J97" i="17"/>
  <c r="I97" i="17"/>
  <c r="H79" i="17"/>
  <c r="K80" i="17"/>
  <c r="J80" i="17"/>
  <c r="I80" i="17"/>
  <c r="K62" i="17"/>
  <c r="J62" i="17"/>
  <c r="I62" i="17"/>
  <c r="K45" i="17"/>
  <c r="J45" i="17"/>
  <c r="I45" i="17"/>
  <c r="K28" i="17"/>
  <c r="J28" i="17"/>
  <c r="I28" i="17"/>
  <c r="W16" i="17"/>
  <c r="V16" i="17"/>
  <c r="U16" i="17"/>
  <c r="K153" i="17"/>
  <c r="J153" i="17"/>
  <c r="I153" i="17"/>
  <c r="H161" i="17"/>
  <c r="J141" i="17"/>
  <c r="K141" i="17"/>
  <c r="I141" i="17"/>
  <c r="K104" i="17"/>
  <c r="J104" i="17"/>
  <c r="I104" i="17"/>
  <c r="K87" i="17"/>
  <c r="J87" i="17"/>
  <c r="I87" i="17"/>
  <c r="K70" i="17"/>
  <c r="J70" i="17"/>
  <c r="I70" i="17"/>
  <c r="J158" i="17"/>
  <c r="K158" i="17"/>
  <c r="I158" i="17"/>
  <c r="J124" i="17"/>
  <c r="K124" i="17"/>
  <c r="I124" i="17"/>
  <c r="K95" i="17"/>
  <c r="J95" i="17"/>
  <c r="I95" i="17"/>
  <c r="K60" i="17"/>
  <c r="J60" i="17"/>
  <c r="I60" i="17"/>
  <c r="K43" i="17"/>
  <c r="J43" i="17"/>
  <c r="I43" i="17"/>
  <c r="W15" i="17"/>
  <c r="V15" i="17"/>
  <c r="U15" i="17"/>
  <c r="K102" i="17"/>
  <c r="J102" i="17"/>
  <c r="I102" i="17"/>
  <c r="K85" i="17"/>
  <c r="J85" i="17"/>
  <c r="I85" i="17"/>
  <c r="K68" i="17"/>
  <c r="J68" i="17"/>
  <c r="I68" i="17"/>
  <c r="K33" i="17"/>
  <c r="J33" i="17"/>
  <c r="I33" i="17"/>
  <c r="K75" i="17"/>
  <c r="J75" i="17"/>
  <c r="I75" i="17"/>
  <c r="W14" i="17"/>
  <c r="V14" i="17"/>
  <c r="U14" i="17"/>
  <c r="K144" i="17"/>
  <c r="J144" i="17"/>
  <c r="I144" i="17"/>
  <c r="K127" i="17"/>
  <c r="J127" i="17"/>
  <c r="I127" i="17"/>
  <c r="K116" i="17"/>
  <c r="I116" i="17"/>
  <c r="J116" i="17"/>
  <c r="K100" i="17"/>
  <c r="J100" i="17"/>
  <c r="I100" i="17"/>
  <c r="H91" i="17"/>
  <c r="K83" i="17"/>
  <c r="J83" i="17"/>
  <c r="I83" i="17"/>
  <c r="H65" i="17"/>
  <c r="K66" i="17"/>
  <c r="J66" i="17"/>
  <c r="I66" i="17"/>
  <c r="K48" i="17"/>
  <c r="J48" i="17"/>
  <c r="I48" i="17"/>
  <c r="K31" i="17"/>
  <c r="J31" i="17"/>
  <c r="I31" i="17"/>
  <c r="M131" i="15"/>
  <c r="L131" i="15"/>
  <c r="K131" i="15"/>
  <c r="J131" i="15"/>
  <c r="I131" i="15"/>
  <c r="M114" i="15"/>
  <c r="L114" i="15"/>
  <c r="K114" i="15"/>
  <c r="J114" i="15"/>
  <c r="I114" i="15"/>
  <c r="H105" i="15"/>
  <c r="M97" i="15"/>
  <c r="L97" i="15"/>
  <c r="K97" i="15"/>
  <c r="J97" i="15"/>
  <c r="I97" i="15"/>
  <c r="M80" i="15"/>
  <c r="L80" i="15"/>
  <c r="K80" i="15"/>
  <c r="I80" i="15"/>
  <c r="J80" i="15"/>
  <c r="M62" i="15"/>
  <c r="K62" i="15"/>
  <c r="J62" i="15"/>
  <c r="I62" i="15"/>
  <c r="L62" i="15"/>
  <c r="K45" i="15"/>
  <c r="L45" i="15"/>
  <c r="J45" i="15"/>
  <c r="I45" i="15"/>
  <c r="M45" i="15"/>
  <c r="K28" i="15"/>
  <c r="M28" i="15"/>
  <c r="L28" i="15"/>
  <c r="J28" i="15"/>
  <c r="I28" i="15"/>
  <c r="V21" i="15"/>
  <c r="X13" i="15"/>
  <c r="W13" i="15"/>
  <c r="Y13" i="15"/>
  <c r="Y9" i="15"/>
  <c r="X9" i="15"/>
  <c r="W9" i="15"/>
  <c r="U10" i="16"/>
  <c r="T9" i="16"/>
  <c r="W10" i="16" s="1"/>
  <c r="V10" i="16"/>
  <c r="I145" i="15"/>
  <c r="M145" i="15"/>
  <c r="L145" i="15"/>
  <c r="K145" i="15"/>
  <c r="J145" i="15"/>
  <c r="I128" i="15"/>
  <c r="M128" i="15"/>
  <c r="L128" i="15"/>
  <c r="K128" i="15"/>
  <c r="J128" i="15"/>
  <c r="I111" i="15"/>
  <c r="M111" i="15"/>
  <c r="L111" i="15"/>
  <c r="J111" i="15"/>
  <c r="H119" i="15"/>
  <c r="K111" i="15"/>
  <c r="I94" i="15"/>
  <c r="M94" i="15"/>
  <c r="L94" i="15"/>
  <c r="K94" i="15"/>
  <c r="J94" i="15"/>
  <c r="I76" i="15"/>
  <c r="M76" i="15"/>
  <c r="L76" i="15"/>
  <c r="K76" i="15"/>
  <c r="J76" i="15"/>
  <c r="I59" i="15"/>
  <c r="L59" i="15"/>
  <c r="M59" i="15"/>
  <c r="K59" i="15"/>
  <c r="J59" i="15"/>
  <c r="I42" i="15"/>
  <c r="L42" i="15"/>
  <c r="M42" i="15"/>
  <c r="K42" i="15"/>
  <c r="J42" i="15"/>
  <c r="I25" i="15"/>
  <c r="L25" i="15"/>
  <c r="M25" i="15"/>
  <c r="K25" i="15"/>
  <c r="J25" i="15"/>
  <c r="J159" i="15"/>
  <c r="I159" i="15"/>
  <c r="M159" i="15"/>
  <c r="L159" i="15"/>
  <c r="K159" i="15"/>
  <c r="J142" i="15"/>
  <c r="I142" i="15"/>
  <c r="M142" i="15"/>
  <c r="K142" i="15"/>
  <c r="L142" i="15"/>
  <c r="J125" i="15"/>
  <c r="I125" i="15"/>
  <c r="H133" i="15"/>
  <c r="M125" i="15"/>
  <c r="L125" i="15"/>
  <c r="K125" i="15"/>
  <c r="J108" i="15"/>
  <c r="I108" i="15"/>
  <c r="M108" i="15"/>
  <c r="L108" i="15"/>
  <c r="K108" i="15"/>
  <c r="J90" i="15"/>
  <c r="I90" i="15"/>
  <c r="M90" i="15"/>
  <c r="L90" i="15"/>
  <c r="K90" i="15"/>
  <c r="J73" i="15"/>
  <c r="I73" i="15"/>
  <c r="M73" i="15"/>
  <c r="K73" i="15"/>
  <c r="L73" i="15"/>
  <c r="J56" i="15"/>
  <c r="I56" i="15"/>
  <c r="M56" i="15"/>
  <c r="L56" i="15"/>
  <c r="K56" i="15"/>
  <c r="J39" i="15"/>
  <c r="I39" i="15"/>
  <c r="M39" i="15"/>
  <c r="L39" i="15"/>
  <c r="K39" i="15"/>
  <c r="K156" i="15"/>
  <c r="J156" i="15"/>
  <c r="I156" i="15"/>
  <c r="M156" i="15"/>
  <c r="L156" i="15"/>
  <c r="K139" i="15"/>
  <c r="J139" i="15"/>
  <c r="I139" i="15"/>
  <c r="H147" i="15"/>
  <c r="M139" i="15"/>
  <c r="L139" i="15"/>
  <c r="K122" i="15"/>
  <c r="J122" i="15"/>
  <c r="I122" i="15"/>
  <c r="M122" i="15"/>
  <c r="L122" i="15"/>
  <c r="K104" i="15"/>
  <c r="J104" i="15"/>
  <c r="I104" i="15"/>
  <c r="L104" i="15"/>
  <c r="M104" i="15"/>
  <c r="K87" i="15"/>
  <c r="J87" i="15"/>
  <c r="I87" i="15"/>
  <c r="M87" i="15"/>
  <c r="L87" i="15"/>
  <c r="K70" i="15"/>
  <c r="J70" i="15"/>
  <c r="I70" i="15"/>
  <c r="M70" i="15"/>
  <c r="L70" i="15"/>
  <c r="K53" i="15"/>
  <c r="J53" i="15"/>
  <c r="I53" i="15"/>
  <c r="M53" i="15"/>
  <c r="L53" i="15"/>
  <c r="K19" i="15"/>
  <c r="J19" i="15"/>
  <c r="I19" i="15"/>
  <c r="M19" i="15"/>
  <c r="L19" i="15"/>
  <c r="K15" i="15"/>
  <c r="J15" i="15"/>
  <c r="I15" i="15"/>
  <c r="M15" i="15"/>
  <c r="L15" i="15"/>
  <c r="K11" i="15"/>
  <c r="J11" i="15"/>
  <c r="I11" i="15"/>
  <c r="M11" i="15"/>
  <c r="L11" i="15"/>
  <c r="W17" i="16"/>
  <c r="V17" i="16"/>
  <c r="U17" i="16"/>
  <c r="L153" i="15"/>
  <c r="K153" i="15"/>
  <c r="J153" i="15"/>
  <c r="I153" i="15"/>
  <c r="H161" i="15"/>
  <c r="M153" i="15"/>
  <c r="L136" i="15"/>
  <c r="K136" i="15"/>
  <c r="J136" i="15"/>
  <c r="I136" i="15"/>
  <c r="M136" i="15"/>
  <c r="L118" i="15"/>
  <c r="K118" i="15"/>
  <c r="J118" i="15"/>
  <c r="I118" i="15"/>
  <c r="M118" i="15"/>
  <c r="L101" i="15"/>
  <c r="K101" i="15"/>
  <c r="J101" i="15"/>
  <c r="I101" i="15"/>
  <c r="M101" i="15"/>
  <c r="L84" i="15"/>
  <c r="K84" i="15"/>
  <c r="J84" i="15"/>
  <c r="I84" i="15"/>
  <c r="M84" i="15"/>
  <c r="L67" i="15"/>
  <c r="K67" i="15"/>
  <c r="J67" i="15"/>
  <c r="I67" i="15"/>
  <c r="M67" i="15"/>
  <c r="L32" i="15"/>
  <c r="K32" i="15"/>
  <c r="J32" i="15"/>
  <c r="I32" i="15"/>
  <c r="M32" i="15"/>
  <c r="Y20" i="15"/>
  <c r="X20" i="15"/>
  <c r="W20" i="15"/>
  <c r="Y16" i="15"/>
  <c r="X16" i="15"/>
  <c r="W16" i="15"/>
  <c r="Y12" i="15"/>
  <c r="X12" i="15"/>
  <c r="W12" i="15"/>
  <c r="M150" i="15"/>
  <c r="L150" i="15"/>
  <c r="K150" i="15"/>
  <c r="J150" i="15"/>
  <c r="I150" i="15"/>
  <c r="M132" i="15"/>
  <c r="L132" i="15"/>
  <c r="K132" i="15"/>
  <c r="J132" i="15"/>
  <c r="I132" i="15"/>
  <c r="M115" i="15"/>
  <c r="L115" i="15"/>
  <c r="K115" i="15"/>
  <c r="J115" i="15"/>
  <c r="I115" i="15"/>
  <c r="M98" i="15"/>
  <c r="L98" i="15"/>
  <c r="K98" i="15"/>
  <c r="J98" i="15"/>
  <c r="I98" i="15"/>
  <c r="M81" i="15"/>
  <c r="L81" i="15"/>
  <c r="K81" i="15"/>
  <c r="J81" i="15"/>
  <c r="I81" i="15"/>
  <c r="M46" i="15"/>
  <c r="L46" i="15"/>
  <c r="K46" i="15"/>
  <c r="J46" i="15"/>
  <c r="I46" i="15"/>
  <c r="M29" i="15"/>
  <c r="L29" i="15"/>
  <c r="K29" i="15"/>
  <c r="J29" i="15"/>
  <c r="I29" i="15"/>
  <c r="W18" i="16"/>
  <c r="V18" i="16"/>
  <c r="U18" i="16"/>
  <c r="W19" i="16"/>
  <c r="V19" i="16"/>
  <c r="U19" i="16"/>
  <c r="U20" i="16"/>
  <c r="W20" i="16"/>
  <c r="V20" i="16"/>
  <c r="M146" i="15"/>
  <c r="L146" i="15"/>
  <c r="K146" i="15"/>
  <c r="J146" i="15"/>
  <c r="I146" i="15"/>
  <c r="M129" i="15"/>
  <c r="L129" i="15"/>
  <c r="K129" i="15"/>
  <c r="J129" i="15"/>
  <c r="I129" i="15"/>
  <c r="M112" i="15"/>
  <c r="L112" i="15"/>
  <c r="K112" i="15"/>
  <c r="J112" i="15"/>
  <c r="I112" i="15"/>
  <c r="M95" i="15"/>
  <c r="L95" i="15"/>
  <c r="K95" i="15"/>
  <c r="J95" i="15"/>
  <c r="I95" i="15"/>
  <c r="M60" i="15"/>
  <c r="L60" i="15"/>
  <c r="K60" i="15"/>
  <c r="J60" i="15"/>
  <c r="I60" i="15"/>
  <c r="M43" i="15"/>
  <c r="L43" i="15"/>
  <c r="K43" i="15"/>
  <c r="J43" i="15"/>
  <c r="I43" i="15"/>
  <c r="M26" i="15"/>
  <c r="L26" i="15"/>
  <c r="K26" i="15"/>
  <c r="J26" i="15"/>
  <c r="I26" i="15"/>
  <c r="M160" i="15"/>
  <c r="L160" i="15"/>
  <c r="K160" i="15"/>
  <c r="J160" i="15"/>
  <c r="I160" i="15"/>
  <c r="M157" i="15"/>
  <c r="L157" i="15"/>
  <c r="K157" i="15"/>
  <c r="J157" i="15"/>
  <c r="I157" i="15"/>
  <c r="M140" i="15"/>
  <c r="L140" i="15"/>
  <c r="K140" i="15"/>
  <c r="J140" i="15"/>
  <c r="I140" i="15"/>
  <c r="M123" i="15"/>
  <c r="L123" i="15"/>
  <c r="K123" i="15"/>
  <c r="J123" i="15"/>
  <c r="I123" i="15"/>
  <c r="M88" i="15"/>
  <c r="L88" i="15"/>
  <c r="K88" i="15"/>
  <c r="J88" i="15"/>
  <c r="I88" i="15"/>
  <c r="M71" i="15"/>
  <c r="L71" i="15"/>
  <c r="K71" i="15"/>
  <c r="J71" i="15"/>
  <c r="I71" i="15"/>
  <c r="M54" i="15"/>
  <c r="L54" i="15"/>
  <c r="K54" i="15"/>
  <c r="J54" i="15"/>
  <c r="I54" i="15"/>
  <c r="M37" i="15"/>
  <c r="L37" i="15"/>
  <c r="K37" i="15"/>
  <c r="J37" i="15"/>
  <c r="I37" i="15"/>
  <c r="Y19" i="15"/>
  <c r="X19" i="15"/>
  <c r="W19" i="15"/>
  <c r="Y15" i="15"/>
  <c r="X15" i="15"/>
  <c r="W15" i="15"/>
  <c r="M154" i="15"/>
  <c r="L154" i="15"/>
  <c r="K154" i="15"/>
  <c r="J154" i="15"/>
  <c r="I154" i="15"/>
  <c r="M137" i="15"/>
  <c r="L137" i="15"/>
  <c r="K137" i="15"/>
  <c r="I137" i="15"/>
  <c r="J137" i="15"/>
  <c r="M151" i="15"/>
  <c r="L151" i="15"/>
  <c r="K151" i="15"/>
  <c r="J151" i="15"/>
  <c r="I151" i="15"/>
  <c r="M116" i="15"/>
  <c r="L116" i="15"/>
  <c r="J116" i="15"/>
  <c r="K116" i="15"/>
  <c r="I116" i="15"/>
  <c r="M99" i="15"/>
  <c r="L99" i="15"/>
  <c r="J99" i="15"/>
  <c r="K99" i="15"/>
  <c r="I99" i="15"/>
  <c r="M82" i="15"/>
  <c r="L82" i="15"/>
  <c r="J82" i="15"/>
  <c r="K82" i="15"/>
  <c r="I82" i="15"/>
  <c r="M65" i="15"/>
  <c r="L65" i="15"/>
  <c r="J65" i="15"/>
  <c r="K65" i="15"/>
  <c r="I65" i="15"/>
  <c r="M47" i="15"/>
  <c r="L47" i="15"/>
  <c r="J47" i="15"/>
  <c r="K47" i="15"/>
  <c r="I47" i="15"/>
  <c r="M130" i="15"/>
  <c r="K130" i="15"/>
  <c r="J130" i="15"/>
  <c r="I130" i="15"/>
  <c r="L130" i="15"/>
  <c r="M113" i="15"/>
  <c r="K113" i="15"/>
  <c r="I113" i="15"/>
  <c r="L113" i="15"/>
  <c r="J113" i="15"/>
  <c r="M96" i="15"/>
  <c r="K96" i="15"/>
  <c r="I96" i="15"/>
  <c r="L96" i="15"/>
  <c r="J96" i="15"/>
  <c r="M79" i="15"/>
  <c r="K79" i="15"/>
  <c r="I79" i="15"/>
  <c r="L79" i="15"/>
  <c r="J79" i="15"/>
  <c r="M144" i="15"/>
  <c r="L144" i="15"/>
  <c r="K144" i="15"/>
  <c r="J144" i="15"/>
  <c r="I144" i="15"/>
  <c r="L127" i="15"/>
  <c r="K127" i="15"/>
  <c r="J127" i="15"/>
  <c r="I127" i="15"/>
  <c r="M127" i="15"/>
  <c r="L110" i="15"/>
  <c r="J110" i="15"/>
  <c r="I110" i="15"/>
  <c r="M110" i="15"/>
  <c r="K110" i="15"/>
  <c r="L93" i="15"/>
  <c r="J93" i="15"/>
  <c r="I93" i="15"/>
  <c r="M93" i="15"/>
  <c r="K93" i="15"/>
  <c r="M158" i="15"/>
  <c r="L158" i="15"/>
  <c r="K158" i="15"/>
  <c r="J158" i="15"/>
  <c r="I158" i="15"/>
  <c r="M141" i="15"/>
  <c r="L141" i="15"/>
  <c r="K141" i="15"/>
  <c r="J141" i="15"/>
  <c r="I141" i="15"/>
  <c r="M124" i="15"/>
  <c r="L124" i="15"/>
  <c r="K124" i="15"/>
  <c r="J124" i="15"/>
  <c r="I124" i="15"/>
  <c r="M107" i="15"/>
  <c r="K107" i="15"/>
  <c r="J107" i="15"/>
  <c r="I107" i="15"/>
  <c r="L107" i="15"/>
  <c r="M89" i="15"/>
  <c r="K89" i="15"/>
  <c r="J89" i="15"/>
  <c r="I89" i="15"/>
  <c r="L89" i="15"/>
  <c r="M72" i="15"/>
  <c r="K72" i="15"/>
  <c r="J72" i="15"/>
  <c r="I72" i="15"/>
  <c r="L72" i="15"/>
  <c r="H63" i="15"/>
  <c r="M55" i="15"/>
  <c r="K55" i="15"/>
  <c r="L55" i="15"/>
  <c r="J55" i="15"/>
  <c r="I55" i="15"/>
  <c r="M38" i="15"/>
  <c r="K38" i="15"/>
  <c r="L38" i="15"/>
  <c r="J38" i="15"/>
  <c r="I38" i="15"/>
  <c r="K107" i="13"/>
  <c r="J107" i="13"/>
  <c r="I107" i="13"/>
  <c r="K88" i="13"/>
  <c r="J88" i="13"/>
  <c r="I88" i="13"/>
  <c r="K70" i="13"/>
  <c r="J70" i="13"/>
  <c r="I70" i="13"/>
  <c r="J42" i="13"/>
  <c r="K42" i="13"/>
  <c r="I42" i="13"/>
  <c r="V11" i="13"/>
  <c r="W11" i="13"/>
  <c r="U11" i="13"/>
  <c r="J53" i="16"/>
  <c r="K53" i="16"/>
  <c r="I53" i="16"/>
  <c r="J26" i="16"/>
  <c r="I26" i="16"/>
  <c r="K99" i="16"/>
  <c r="J99" i="16"/>
  <c r="I99" i="16"/>
  <c r="K60" i="16"/>
  <c r="J60" i="16"/>
  <c r="I60" i="16"/>
  <c r="J20" i="16"/>
  <c r="I20" i="16"/>
  <c r="K45" i="16"/>
  <c r="I45" i="16"/>
  <c r="J45" i="16"/>
  <c r="K100" i="16"/>
  <c r="I100" i="16"/>
  <c r="J100" i="16"/>
  <c r="J125" i="16"/>
  <c r="H133" i="16"/>
  <c r="K125" i="16"/>
  <c r="I125" i="16"/>
  <c r="J137" i="16"/>
  <c r="I137" i="16"/>
  <c r="K30" i="16"/>
  <c r="J30" i="16"/>
  <c r="I30" i="16"/>
  <c r="K82" i="16"/>
  <c r="J82" i="16"/>
  <c r="I82" i="16"/>
  <c r="K39" i="16"/>
  <c r="J39" i="16"/>
  <c r="I39" i="16"/>
  <c r="K131" i="16"/>
  <c r="I131" i="16"/>
  <c r="J131" i="16"/>
  <c r="K10" i="16"/>
  <c r="J10" i="16"/>
  <c r="I10" i="16"/>
  <c r="H9" i="16"/>
  <c r="K137" i="16" s="1"/>
  <c r="K31" i="16"/>
  <c r="J31" i="16"/>
  <c r="I31" i="16"/>
  <c r="K66" i="16"/>
  <c r="J66" i="16"/>
  <c r="I66" i="16"/>
  <c r="H65" i="16"/>
  <c r="H91" i="16"/>
  <c r="K83" i="16"/>
  <c r="I83" i="16"/>
  <c r="J83" i="16"/>
  <c r="H107" i="16"/>
  <c r="J108" i="16"/>
  <c r="K108" i="16"/>
  <c r="I108" i="16"/>
  <c r="H23" i="16"/>
  <c r="K24" i="16"/>
  <c r="J24" i="16"/>
  <c r="I24" i="16"/>
  <c r="K58" i="16"/>
  <c r="J58" i="16"/>
  <c r="I58" i="16"/>
  <c r="K11" i="16"/>
  <c r="J11" i="16"/>
  <c r="I11" i="16"/>
  <c r="K19" i="16"/>
  <c r="J19" i="16"/>
  <c r="I19" i="16"/>
  <c r="K114" i="16"/>
  <c r="I114" i="16"/>
  <c r="J114" i="16"/>
  <c r="K151" i="16"/>
  <c r="J151" i="16"/>
  <c r="I151" i="16"/>
  <c r="K43" i="16"/>
  <c r="J43" i="16"/>
  <c r="I43" i="16"/>
  <c r="J90" i="16"/>
  <c r="K90" i="16"/>
  <c r="I90" i="16"/>
  <c r="J102" i="16"/>
  <c r="I102" i="16"/>
  <c r="K102" i="16"/>
  <c r="K12" i="16"/>
  <c r="J12" i="16"/>
  <c r="I12" i="16"/>
  <c r="K152" i="16"/>
  <c r="I152" i="16"/>
  <c r="J152" i="16"/>
  <c r="K28" i="16"/>
  <c r="I28" i="16"/>
  <c r="J28" i="16"/>
  <c r="K62" i="16"/>
  <c r="I62" i="16"/>
  <c r="J62" i="16"/>
  <c r="H105" i="16"/>
  <c r="K97" i="16"/>
  <c r="I97" i="16"/>
  <c r="J97" i="16"/>
  <c r="H21" i="16"/>
  <c r="K13" i="16"/>
  <c r="J13" i="16"/>
  <c r="I13" i="16"/>
  <c r="K47" i="16"/>
  <c r="J47" i="16"/>
  <c r="I47" i="16"/>
  <c r="J73" i="16"/>
  <c r="K73" i="16"/>
  <c r="I73" i="16"/>
  <c r="J85" i="16"/>
  <c r="I85" i="16"/>
  <c r="K85" i="16"/>
  <c r="K56" i="16"/>
  <c r="J56" i="16"/>
  <c r="I56" i="16"/>
  <c r="J159" i="16"/>
  <c r="K159" i="16"/>
  <c r="I159" i="16"/>
  <c r="J14" i="16"/>
  <c r="I14" i="16"/>
  <c r="K14" i="16"/>
  <c r="J18" i="16"/>
  <c r="I18" i="16"/>
  <c r="K18" i="16"/>
  <c r="J48" i="16"/>
  <c r="I48" i="16"/>
  <c r="K48" i="16"/>
  <c r="H79" i="16"/>
  <c r="K80" i="16"/>
  <c r="I80" i="16"/>
  <c r="J80" i="16"/>
  <c r="K116" i="16"/>
  <c r="J116" i="16"/>
  <c r="I116" i="16"/>
  <c r="H49" i="16"/>
  <c r="I41" i="16"/>
  <c r="K41" i="16"/>
  <c r="J41" i="16"/>
  <c r="J68" i="16"/>
  <c r="I68" i="16"/>
  <c r="K68" i="16"/>
  <c r="K15" i="16"/>
  <c r="J15" i="16"/>
  <c r="I15" i="16"/>
  <c r="K33" i="16"/>
  <c r="J33" i="16"/>
  <c r="I33" i="16"/>
  <c r="K117" i="16"/>
  <c r="I117" i="16"/>
  <c r="J117" i="16"/>
  <c r="J142" i="16"/>
  <c r="K142" i="16"/>
  <c r="I142" i="16"/>
  <c r="J154" i="16"/>
  <c r="I154" i="16"/>
  <c r="K154" i="16"/>
  <c r="K75" i="16"/>
  <c r="J75" i="16"/>
  <c r="I75" i="16"/>
  <c r="K110" i="16"/>
  <c r="J110" i="16"/>
  <c r="I110" i="16"/>
  <c r="K127" i="16"/>
  <c r="J127" i="16"/>
  <c r="I127" i="16"/>
  <c r="K144" i="16"/>
  <c r="J144" i="16"/>
  <c r="I144" i="16"/>
  <c r="K95" i="16"/>
  <c r="I95" i="16"/>
  <c r="J95" i="16"/>
  <c r="K112" i="16"/>
  <c r="I112" i="16"/>
  <c r="J112" i="16"/>
  <c r="K129" i="16"/>
  <c r="I129" i="16"/>
  <c r="J129" i="16"/>
  <c r="K146" i="16"/>
  <c r="I146" i="16"/>
  <c r="J146" i="16"/>
  <c r="J70" i="16"/>
  <c r="K70" i="16"/>
  <c r="I70" i="16"/>
  <c r="J87" i="16"/>
  <c r="K87" i="16"/>
  <c r="I87" i="16"/>
  <c r="J104" i="16"/>
  <c r="K104" i="16"/>
  <c r="I104" i="16"/>
  <c r="H121" i="16"/>
  <c r="J122" i="16"/>
  <c r="K122" i="16"/>
  <c r="I122" i="16"/>
  <c r="H147" i="16"/>
  <c r="J139" i="16"/>
  <c r="K139" i="16"/>
  <c r="I139" i="16"/>
  <c r="J156" i="16"/>
  <c r="K156" i="16"/>
  <c r="I156" i="16"/>
  <c r="H37" i="16"/>
  <c r="K38" i="16"/>
  <c r="J38" i="16"/>
  <c r="I38" i="16"/>
  <c r="H63" i="16"/>
  <c r="K55" i="16"/>
  <c r="J55" i="16"/>
  <c r="I55" i="16"/>
  <c r="K72" i="16"/>
  <c r="J72" i="16"/>
  <c r="I72" i="16"/>
  <c r="K89" i="16"/>
  <c r="J89" i="16"/>
  <c r="I89" i="16"/>
  <c r="K124" i="16"/>
  <c r="J124" i="16"/>
  <c r="I124" i="16"/>
  <c r="K141" i="16"/>
  <c r="J141" i="16"/>
  <c r="I141" i="16"/>
  <c r="K158" i="16"/>
  <c r="J158" i="16"/>
  <c r="I158" i="16"/>
  <c r="K40" i="16"/>
  <c r="J40" i="16"/>
  <c r="I40" i="16"/>
  <c r="K57" i="16"/>
  <c r="J57" i="16"/>
  <c r="I57" i="16"/>
  <c r="K74" i="16"/>
  <c r="J74" i="16"/>
  <c r="I74" i="16"/>
  <c r="K109" i="16"/>
  <c r="J109" i="16"/>
  <c r="I109" i="16"/>
  <c r="K126" i="16"/>
  <c r="J126" i="16"/>
  <c r="I126" i="16"/>
  <c r="K143" i="16"/>
  <c r="J143" i="16"/>
  <c r="I143" i="16"/>
  <c r="K160" i="16"/>
  <c r="J160" i="16"/>
  <c r="I160" i="16"/>
  <c r="K32" i="16"/>
  <c r="J32" i="16"/>
  <c r="I32" i="16"/>
  <c r="K67" i="16"/>
  <c r="J67" i="16"/>
  <c r="I67" i="16"/>
  <c r="K84" i="16"/>
  <c r="J84" i="16"/>
  <c r="I84" i="16"/>
  <c r="K101" i="16"/>
  <c r="J101" i="16"/>
  <c r="I101" i="16"/>
  <c r="K118" i="16"/>
  <c r="J118" i="16"/>
  <c r="I118" i="16"/>
  <c r="K136" i="16"/>
  <c r="J136" i="16"/>
  <c r="I136" i="16"/>
  <c r="H135" i="16"/>
  <c r="K153" i="16"/>
  <c r="J153" i="16"/>
  <c r="I153" i="16"/>
  <c r="H161" i="16"/>
  <c r="K25" i="16"/>
  <c r="J25" i="16"/>
  <c r="I25" i="16"/>
  <c r="K42" i="16"/>
  <c r="J42" i="16"/>
  <c r="I42" i="16"/>
  <c r="K59" i="16"/>
  <c r="J59" i="16"/>
  <c r="I59" i="16"/>
  <c r="K76" i="16"/>
  <c r="J76" i="16"/>
  <c r="I76" i="16"/>
  <c r="K94" i="16"/>
  <c r="J94" i="16"/>
  <c r="I94" i="16"/>
  <c r="H93" i="16"/>
  <c r="K111" i="16"/>
  <c r="J111" i="16"/>
  <c r="I111" i="16"/>
  <c r="H119" i="16"/>
  <c r="K128" i="16"/>
  <c r="J128" i="16"/>
  <c r="I128" i="16"/>
  <c r="K145" i="16"/>
  <c r="J145" i="16"/>
  <c r="I145" i="16"/>
  <c r="K34" i="16"/>
  <c r="J34" i="16"/>
  <c r="I34" i="16"/>
  <c r="K52" i="16"/>
  <c r="J52" i="16"/>
  <c r="I52" i="16"/>
  <c r="H51" i="16"/>
  <c r="K69" i="16"/>
  <c r="J69" i="16"/>
  <c r="I69" i="16"/>
  <c r="H77" i="16"/>
  <c r="K86" i="16"/>
  <c r="J86" i="16"/>
  <c r="I86" i="16"/>
  <c r="K103" i="16"/>
  <c r="J103" i="16"/>
  <c r="I103" i="16"/>
  <c r="K138" i="16"/>
  <c r="J138" i="16"/>
  <c r="I138" i="16"/>
  <c r="K155" i="16"/>
  <c r="J155" i="16"/>
  <c r="I155" i="16"/>
  <c r="J16" i="16"/>
  <c r="I16" i="16"/>
  <c r="K16" i="16"/>
  <c r="J27" i="16"/>
  <c r="I27" i="16"/>
  <c r="H35" i="16"/>
  <c r="K27" i="16"/>
  <c r="J44" i="16"/>
  <c r="I44" i="16"/>
  <c r="K44" i="16"/>
  <c r="J61" i="16"/>
  <c r="I61" i="16"/>
  <c r="K61" i="16"/>
  <c r="J96" i="16"/>
  <c r="I96" i="16"/>
  <c r="K96" i="16"/>
  <c r="J113" i="16"/>
  <c r="I113" i="16"/>
  <c r="K113" i="16"/>
  <c r="J130" i="16"/>
  <c r="I130" i="16"/>
  <c r="K130" i="16"/>
  <c r="I54" i="16"/>
  <c r="K54" i="16"/>
  <c r="J54" i="16"/>
  <c r="I71" i="16"/>
  <c r="K71" i="16"/>
  <c r="J71" i="16"/>
  <c r="I88" i="16"/>
  <c r="K88" i="16"/>
  <c r="J88" i="16"/>
  <c r="I123" i="16"/>
  <c r="K123" i="16"/>
  <c r="J123" i="16"/>
  <c r="I140" i="16"/>
  <c r="K140" i="16"/>
  <c r="J140" i="16"/>
  <c r="I157" i="16"/>
  <c r="K157" i="16"/>
  <c r="J157" i="16"/>
  <c r="K17" i="16"/>
  <c r="J17" i="16"/>
  <c r="I17" i="16"/>
  <c r="K29" i="16"/>
  <c r="J29" i="16"/>
  <c r="I29" i="16"/>
  <c r="K46" i="16"/>
  <c r="J46" i="16"/>
  <c r="I46" i="16"/>
  <c r="K81" i="16"/>
  <c r="I81" i="16"/>
  <c r="J81" i="16"/>
  <c r="K98" i="16"/>
  <c r="J98" i="16"/>
  <c r="I98" i="16"/>
  <c r="K115" i="16"/>
  <c r="J115" i="16"/>
  <c r="I115" i="16"/>
  <c r="K132" i="16"/>
  <c r="J132" i="16"/>
  <c r="I132" i="16"/>
  <c r="K150" i="16"/>
  <c r="J150" i="16"/>
  <c r="I150" i="16"/>
  <c r="H149" i="16"/>
  <c r="I128" i="13"/>
  <c r="K128" i="13"/>
  <c r="J128" i="13"/>
  <c r="I78" i="13"/>
  <c r="K78" i="13"/>
  <c r="J78" i="13"/>
  <c r="I50" i="13"/>
  <c r="K50" i="13"/>
  <c r="J50" i="13"/>
  <c r="K37" i="13"/>
  <c r="I37" i="13"/>
  <c r="J37" i="13"/>
  <c r="I26" i="13"/>
  <c r="K26" i="13"/>
  <c r="H34" i="13"/>
  <c r="J26" i="13"/>
  <c r="I15" i="13"/>
  <c r="K15" i="13"/>
  <c r="J15" i="13"/>
  <c r="T19" i="14"/>
  <c r="S19" i="14"/>
  <c r="K158" i="13"/>
  <c r="J158" i="13"/>
  <c r="I158" i="13"/>
  <c r="K140" i="13"/>
  <c r="J140" i="13"/>
  <c r="I140" i="13"/>
  <c r="K122" i="13"/>
  <c r="J122" i="13"/>
  <c r="I122" i="13"/>
  <c r="J103" i="13"/>
  <c r="I103" i="13"/>
  <c r="K103" i="13"/>
  <c r="J72" i="13"/>
  <c r="I72" i="13"/>
  <c r="K72" i="13"/>
  <c r="J44" i="13"/>
  <c r="I44" i="13"/>
  <c r="K44" i="13"/>
  <c r="V18" i="13"/>
  <c r="U18" i="13"/>
  <c r="W18" i="13"/>
  <c r="V10" i="13"/>
  <c r="U10" i="13"/>
  <c r="W10" i="13"/>
  <c r="J108" i="13"/>
  <c r="I108" i="13"/>
  <c r="K108" i="13"/>
  <c r="J125" i="13"/>
  <c r="I125" i="13"/>
  <c r="K125" i="13"/>
  <c r="J142" i="13"/>
  <c r="I142" i="13"/>
  <c r="K142" i="13"/>
  <c r="J159" i="13"/>
  <c r="I159" i="13"/>
  <c r="K159" i="13"/>
  <c r="I66" i="13"/>
  <c r="K66" i="13"/>
  <c r="J66" i="13"/>
  <c r="I83" i="13"/>
  <c r="J83" i="13"/>
  <c r="K83" i="13"/>
  <c r="I100" i="13"/>
  <c r="K100" i="13"/>
  <c r="J100" i="13"/>
  <c r="I117" i="13"/>
  <c r="K117" i="13"/>
  <c r="J117" i="13"/>
  <c r="I135" i="13"/>
  <c r="J135" i="13"/>
  <c r="K135" i="13"/>
  <c r="H160" i="13"/>
  <c r="I152" i="13"/>
  <c r="K152" i="13"/>
  <c r="J152" i="13"/>
  <c r="K41" i="13"/>
  <c r="J41" i="13"/>
  <c r="I41" i="13"/>
  <c r="K58" i="13"/>
  <c r="J58" i="13"/>
  <c r="I58" i="13"/>
  <c r="K75" i="13"/>
  <c r="I75" i="13"/>
  <c r="J75" i="13"/>
  <c r="K93" i="13"/>
  <c r="J93" i="13"/>
  <c r="I93" i="13"/>
  <c r="H118" i="13"/>
  <c r="I110" i="13"/>
  <c r="K110" i="13"/>
  <c r="J110" i="13"/>
  <c r="K127" i="13"/>
  <c r="J127" i="13"/>
  <c r="I127" i="13"/>
  <c r="K144" i="13"/>
  <c r="J144" i="13"/>
  <c r="I144" i="13"/>
  <c r="I47" i="13"/>
  <c r="K47" i="13"/>
  <c r="J47" i="13"/>
  <c r="I65" i="13"/>
  <c r="K65" i="13"/>
  <c r="J65" i="13"/>
  <c r="I82" i="13"/>
  <c r="H90" i="13"/>
  <c r="K82" i="13"/>
  <c r="J82" i="13"/>
  <c r="J99" i="13"/>
  <c r="I99" i="13"/>
  <c r="K99" i="13"/>
  <c r="J116" i="13"/>
  <c r="I116" i="13"/>
  <c r="K116" i="13"/>
  <c r="J134" i="13"/>
  <c r="I134" i="13"/>
  <c r="K134" i="13"/>
  <c r="J151" i="13"/>
  <c r="I151" i="13"/>
  <c r="K151" i="13"/>
  <c r="H48" i="13"/>
  <c r="K40" i="13"/>
  <c r="J40" i="13"/>
  <c r="I40" i="13"/>
  <c r="J57" i="13"/>
  <c r="I57" i="13"/>
  <c r="K57" i="13"/>
  <c r="K74" i="13"/>
  <c r="J74" i="13"/>
  <c r="I74" i="13"/>
  <c r="I92" i="13"/>
  <c r="K92" i="13"/>
  <c r="J92" i="13"/>
  <c r="I109" i="13"/>
  <c r="K109" i="13"/>
  <c r="J109" i="13"/>
  <c r="I126" i="13"/>
  <c r="K126" i="13"/>
  <c r="J126" i="13"/>
  <c r="I143" i="13"/>
  <c r="K143" i="13"/>
  <c r="J143" i="13"/>
  <c r="K101" i="13"/>
  <c r="J101" i="13"/>
  <c r="I101" i="13"/>
  <c r="K136" i="13"/>
  <c r="J136" i="13"/>
  <c r="I136" i="13"/>
  <c r="J153" i="13"/>
  <c r="K153" i="13"/>
  <c r="I153" i="13"/>
  <c r="T56" i="12"/>
  <c r="S56" i="12"/>
  <c r="V56" i="12"/>
  <c r="T52" i="12"/>
  <c r="S52" i="12"/>
  <c r="V52" i="12"/>
  <c r="T48" i="12"/>
  <c r="S48" i="12"/>
  <c r="V48" i="12"/>
  <c r="T44" i="12"/>
  <c r="S44" i="12"/>
  <c r="V44" i="12"/>
  <c r="T40" i="12"/>
  <c r="S40" i="12"/>
  <c r="V40" i="12"/>
  <c r="T36" i="12"/>
  <c r="S36" i="12"/>
  <c r="V36" i="12"/>
  <c r="T32" i="12"/>
  <c r="S32" i="12"/>
  <c r="V32" i="12"/>
  <c r="T28" i="12"/>
  <c r="S28" i="12"/>
  <c r="V28" i="12"/>
  <c r="T24" i="12"/>
  <c r="S24" i="12"/>
  <c r="V24" i="12"/>
  <c r="T20" i="12"/>
  <c r="S20" i="12"/>
  <c r="V20" i="12"/>
  <c r="T16" i="12"/>
  <c r="S16" i="12"/>
  <c r="V16" i="12"/>
  <c r="K97" i="13"/>
  <c r="J97" i="13"/>
  <c r="I97" i="13"/>
  <c r="K85" i="13"/>
  <c r="J85" i="13"/>
  <c r="I85" i="13"/>
  <c r="K80" i="13"/>
  <c r="J80" i="13"/>
  <c r="I80" i="13"/>
  <c r="K52" i="13"/>
  <c r="J52" i="13"/>
  <c r="I52" i="13"/>
  <c r="J39" i="13"/>
  <c r="I39" i="13"/>
  <c r="K39" i="13"/>
  <c r="K24" i="13"/>
  <c r="J24" i="13"/>
  <c r="I24" i="13"/>
  <c r="T9" i="12"/>
  <c r="S9" i="12"/>
  <c r="V9" i="12"/>
  <c r="T17" i="14"/>
  <c r="S17" i="14"/>
  <c r="K155" i="13"/>
  <c r="J155" i="13"/>
  <c r="I155" i="13"/>
  <c r="K137" i="13"/>
  <c r="J137" i="13"/>
  <c r="I137" i="13"/>
  <c r="K59" i="13"/>
  <c r="J59" i="13"/>
  <c r="I59" i="13"/>
  <c r="K46" i="13"/>
  <c r="J46" i="13"/>
  <c r="I46" i="13"/>
  <c r="W17" i="13"/>
  <c r="V17" i="13"/>
  <c r="U17" i="13"/>
  <c r="W9" i="13"/>
  <c r="V9" i="13"/>
  <c r="U9" i="13"/>
  <c r="K149" i="13"/>
  <c r="J149" i="13"/>
  <c r="I149" i="13"/>
  <c r="K130" i="13"/>
  <c r="J130" i="13"/>
  <c r="I130" i="13"/>
  <c r="K112" i="13"/>
  <c r="J112" i="13"/>
  <c r="I112" i="13"/>
  <c r="T15" i="14"/>
  <c r="S15" i="14"/>
  <c r="R23" i="14"/>
  <c r="W16" i="13"/>
  <c r="V16" i="13"/>
  <c r="U16" i="13"/>
  <c r="T22" i="14"/>
  <c r="S22" i="14"/>
  <c r="S21" i="14"/>
  <c r="T21" i="14"/>
  <c r="T20" i="14"/>
  <c r="S20" i="14"/>
  <c r="T14" i="14"/>
  <c r="S14" i="14"/>
  <c r="S13" i="14"/>
  <c r="T13" i="14"/>
  <c r="T12" i="14"/>
  <c r="S12" i="14"/>
  <c r="K157" i="13"/>
  <c r="J157" i="13"/>
  <c r="I157" i="13"/>
  <c r="K139" i="13"/>
  <c r="J139" i="13"/>
  <c r="I139" i="13"/>
  <c r="K121" i="13"/>
  <c r="J121" i="13"/>
  <c r="I121" i="13"/>
  <c r="K102" i="13"/>
  <c r="J102" i="13"/>
  <c r="I102" i="13"/>
  <c r="W15" i="13"/>
  <c r="V15" i="13"/>
  <c r="U15" i="13"/>
  <c r="K114" i="13"/>
  <c r="J114" i="13"/>
  <c r="I114" i="13"/>
  <c r="K96" i="13"/>
  <c r="J96" i="13"/>
  <c r="I96" i="13"/>
  <c r="H104" i="13"/>
  <c r="K154" i="13"/>
  <c r="J154" i="13"/>
  <c r="I154" i="13"/>
  <c r="K89" i="13"/>
  <c r="J89" i="13"/>
  <c r="I89" i="13"/>
  <c r="W14" i="13"/>
  <c r="V14" i="13"/>
  <c r="U14" i="13"/>
  <c r="V54" i="12"/>
  <c r="T54" i="12"/>
  <c r="S54" i="12"/>
  <c r="V50" i="12"/>
  <c r="T50" i="12"/>
  <c r="S50" i="12"/>
  <c r="V46" i="12"/>
  <c r="T46" i="12"/>
  <c r="S46" i="12"/>
  <c r="V42" i="12"/>
  <c r="T42" i="12"/>
  <c r="S42" i="12"/>
  <c r="K148" i="13"/>
  <c r="J148" i="13"/>
  <c r="I148" i="13"/>
  <c r="K129" i="13"/>
  <c r="J129" i="13"/>
  <c r="I129" i="13"/>
  <c r="K111" i="13"/>
  <c r="J111" i="13"/>
  <c r="I111" i="13"/>
  <c r="K141" i="13"/>
  <c r="J141" i="13"/>
  <c r="I141" i="13"/>
  <c r="K123" i="13"/>
  <c r="J123" i="13"/>
  <c r="I123" i="13"/>
  <c r="W13" i="13"/>
  <c r="V13" i="13"/>
  <c r="U13" i="13"/>
  <c r="K156" i="13"/>
  <c r="J156" i="13"/>
  <c r="I156" i="13"/>
  <c r="H146" i="13"/>
  <c r="K138" i="13"/>
  <c r="J138" i="13"/>
  <c r="I138" i="13"/>
  <c r="K120" i="13"/>
  <c r="J120" i="13"/>
  <c r="I120" i="13"/>
  <c r="H76" i="13"/>
  <c r="K68" i="13"/>
  <c r="J68" i="13"/>
  <c r="I68" i="13"/>
  <c r="J55" i="13"/>
  <c r="I55" i="13"/>
  <c r="K55" i="13"/>
  <c r="W12" i="13"/>
  <c r="V12" i="13"/>
  <c r="T20" i="13"/>
  <c r="U12" i="13"/>
  <c r="V57" i="12"/>
  <c r="T57" i="12"/>
  <c r="S57" i="12"/>
  <c r="V53" i="12"/>
  <c r="T53" i="12"/>
  <c r="S53" i="12"/>
  <c r="V49" i="12"/>
  <c r="T49" i="12"/>
  <c r="S49" i="12"/>
  <c r="V45" i="12"/>
  <c r="T45" i="12"/>
  <c r="S45" i="12"/>
  <c r="V41" i="12"/>
  <c r="T41" i="12"/>
  <c r="S41" i="12"/>
  <c r="V37" i="12"/>
  <c r="T37" i="12"/>
  <c r="S37" i="12"/>
  <c r="V33" i="12"/>
  <c r="T33" i="12"/>
  <c r="S33" i="12"/>
  <c r="V29" i="12"/>
  <c r="T29" i="12"/>
  <c r="S29" i="12"/>
  <c r="V25" i="12"/>
  <c r="T25" i="12"/>
  <c r="S25" i="12"/>
  <c r="L12" i="12"/>
  <c r="K12" i="12"/>
  <c r="I12" i="12"/>
  <c r="J12" i="12"/>
  <c r="J64" i="10"/>
  <c r="J59" i="10"/>
  <c r="J55" i="10"/>
  <c r="J52" i="10"/>
  <c r="G51" i="10"/>
  <c r="J57" i="10"/>
  <c r="J53" i="10"/>
  <c r="J61" i="10"/>
  <c r="J63" i="10"/>
  <c r="J65" i="10"/>
  <c r="J56" i="10"/>
  <c r="J60" i="10"/>
  <c r="J62" i="10"/>
  <c r="J58" i="10"/>
  <c r="J54" i="10"/>
  <c r="J37" i="10"/>
  <c r="J33" i="10"/>
  <c r="J30" i="10"/>
  <c r="J40" i="10"/>
  <c r="J43" i="10"/>
  <c r="J35" i="10"/>
  <c r="G29" i="10"/>
  <c r="J39" i="10"/>
  <c r="J41" i="10"/>
  <c r="J31" i="10"/>
  <c r="J38" i="10"/>
  <c r="J36" i="10"/>
  <c r="J34" i="10"/>
  <c r="J32" i="10"/>
  <c r="J42" i="10"/>
  <c r="L14" i="12"/>
  <c r="K14" i="12"/>
  <c r="J14" i="12"/>
  <c r="I14" i="12"/>
  <c r="L7" i="12"/>
  <c r="K7" i="12"/>
  <c r="J7" i="12"/>
  <c r="H54" i="12"/>
  <c r="I7" i="12"/>
  <c r="K9" i="12"/>
  <c r="J9" i="12"/>
  <c r="H56" i="12"/>
  <c r="I9" i="12"/>
  <c r="L9" i="12"/>
  <c r="L16" i="12"/>
  <c r="K16" i="12"/>
  <c r="J16" i="12"/>
  <c r="I16" i="12"/>
  <c r="L20" i="12"/>
  <c r="K20" i="12"/>
  <c r="J20" i="12"/>
  <c r="I20" i="12"/>
  <c r="L24" i="12"/>
  <c r="K24" i="12"/>
  <c r="J24" i="12"/>
  <c r="I24" i="12"/>
  <c r="L28" i="12"/>
  <c r="K28" i="12"/>
  <c r="J28" i="12"/>
  <c r="I28" i="12"/>
  <c r="L32" i="12"/>
  <c r="K32" i="12"/>
  <c r="J32" i="12"/>
  <c r="I32" i="12"/>
  <c r="L36" i="12"/>
  <c r="K36" i="12"/>
  <c r="J36" i="12"/>
  <c r="I36" i="12"/>
  <c r="L40" i="12"/>
  <c r="K40" i="12"/>
  <c r="J40" i="12"/>
  <c r="I40" i="12"/>
  <c r="L44" i="12"/>
  <c r="K44" i="12"/>
  <c r="J44" i="12"/>
  <c r="I44" i="12"/>
  <c r="L48" i="12"/>
  <c r="K48" i="12"/>
  <c r="J48" i="12"/>
  <c r="I48" i="12"/>
  <c r="L52" i="12"/>
  <c r="K52" i="12"/>
  <c r="J52" i="12"/>
  <c r="I52" i="12"/>
  <c r="J13" i="12"/>
  <c r="I13" i="12"/>
  <c r="L13" i="12"/>
  <c r="K13" i="12"/>
  <c r="L17" i="12"/>
  <c r="I17" i="12"/>
  <c r="K17" i="12"/>
  <c r="J17" i="12"/>
  <c r="L21" i="12"/>
  <c r="K21" i="12"/>
  <c r="J21" i="12"/>
  <c r="I21" i="12"/>
  <c r="L25" i="12"/>
  <c r="K25" i="12"/>
  <c r="J25" i="12"/>
  <c r="I25" i="12"/>
  <c r="L29" i="12"/>
  <c r="K29" i="12"/>
  <c r="J29" i="12"/>
  <c r="I29" i="12"/>
  <c r="L33" i="12"/>
  <c r="K33" i="12"/>
  <c r="J33" i="12"/>
  <c r="I33" i="12"/>
  <c r="L37" i="12"/>
  <c r="K37" i="12"/>
  <c r="J37" i="12"/>
  <c r="I37" i="12"/>
  <c r="L41" i="12"/>
  <c r="K41" i="12"/>
  <c r="J41" i="12"/>
  <c r="I41" i="12"/>
  <c r="L45" i="12"/>
  <c r="K45" i="12"/>
  <c r="J45" i="12"/>
  <c r="I45" i="12"/>
  <c r="L49" i="12"/>
  <c r="K49" i="12"/>
  <c r="J49" i="12"/>
  <c r="I49" i="12"/>
  <c r="L11" i="12"/>
  <c r="K11" i="12"/>
  <c r="J11" i="12"/>
  <c r="I11" i="12"/>
  <c r="L18" i="12"/>
  <c r="K18" i="12"/>
  <c r="J18" i="12"/>
  <c r="I18" i="12"/>
  <c r="L22" i="12"/>
  <c r="K22" i="12"/>
  <c r="J22" i="12"/>
  <c r="I22" i="12"/>
  <c r="L26" i="12"/>
  <c r="K26" i="12"/>
  <c r="J26" i="12"/>
  <c r="I26" i="12"/>
  <c r="L30" i="12"/>
  <c r="K30" i="12"/>
  <c r="J30" i="12"/>
  <c r="I30" i="12"/>
  <c r="L34" i="12"/>
  <c r="K34" i="12"/>
  <c r="J34" i="12"/>
  <c r="I34" i="12"/>
  <c r="L38" i="12"/>
  <c r="K38" i="12"/>
  <c r="J38" i="12"/>
  <c r="I38" i="12"/>
  <c r="L42" i="12"/>
  <c r="K42" i="12"/>
  <c r="J42" i="12"/>
  <c r="I42" i="12"/>
  <c r="L46" i="12"/>
  <c r="K46" i="12"/>
  <c r="J46" i="12"/>
  <c r="I46" i="12"/>
  <c r="L50" i="12"/>
  <c r="K50" i="12"/>
  <c r="J50" i="12"/>
  <c r="I50" i="12"/>
  <c r="H55" i="12"/>
  <c r="I8" i="12"/>
  <c r="K8" i="12"/>
  <c r="L8" i="12"/>
  <c r="J8" i="12"/>
  <c r="L15" i="12"/>
  <c r="J15" i="12"/>
  <c r="K15" i="12"/>
  <c r="I15" i="12"/>
  <c r="L19" i="12"/>
  <c r="J19" i="12"/>
  <c r="K19" i="12"/>
  <c r="I19" i="12"/>
  <c r="L23" i="12"/>
  <c r="J23" i="12"/>
  <c r="I23" i="12"/>
  <c r="K23" i="12"/>
  <c r="L27" i="12"/>
  <c r="J27" i="12"/>
  <c r="K27" i="12"/>
  <c r="I27" i="12"/>
  <c r="L31" i="12"/>
  <c r="J31" i="12"/>
  <c r="K31" i="12"/>
  <c r="I31" i="12"/>
  <c r="L35" i="12"/>
  <c r="J35" i="12"/>
  <c r="K35" i="12"/>
  <c r="I35" i="12"/>
  <c r="L39" i="12"/>
  <c r="J39" i="12"/>
  <c r="K39" i="12"/>
  <c r="I39" i="12"/>
  <c r="L43" i="12"/>
  <c r="J43" i="12"/>
  <c r="K43" i="12"/>
  <c r="I43" i="12"/>
  <c r="L47" i="12"/>
  <c r="J47" i="12"/>
  <c r="K47" i="12"/>
  <c r="I47" i="12"/>
  <c r="L51" i="12"/>
  <c r="J51" i="12"/>
  <c r="K51" i="12"/>
  <c r="I51" i="12"/>
  <c r="J83" i="10"/>
  <c r="J80" i="10"/>
  <c r="J76" i="10"/>
  <c r="J86" i="10"/>
  <c r="J85" i="10"/>
  <c r="J78" i="10"/>
  <c r="J87" i="10"/>
  <c r="J82" i="10"/>
  <c r="J84" i="10"/>
  <c r="G73" i="10"/>
  <c r="J81" i="10"/>
  <c r="J77" i="10"/>
  <c r="J79" i="10"/>
  <c r="J75" i="10"/>
  <c r="J74" i="10"/>
  <c r="J35" i="6"/>
  <c r="K35" i="6"/>
  <c r="I35" i="6"/>
  <c r="R27" i="6"/>
  <c r="S27" i="6"/>
  <c r="Q27" i="6"/>
  <c r="J19" i="6"/>
  <c r="K19" i="6"/>
  <c r="I19" i="6"/>
  <c r="R12" i="6"/>
  <c r="S12" i="6"/>
  <c r="Q12" i="6"/>
  <c r="V22" i="5"/>
  <c r="T22" i="5"/>
  <c r="W22" i="5"/>
  <c r="U22" i="5"/>
  <c r="S22" i="5"/>
  <c r="H193" i="3"/>
  <c r="H191" i="3"/>
  <c r="H189" i="3"/>
  <c r="H187" i="3"/>
  <c r="I50" i="6"/>
  <c r="K50" i="6"/>
  <c r="J50" i="6"/>
  <c r="Q42" i="6"/>
  <c r="S42" i="6"/>
  <c r="R42" i="6"/>
  <c r="I34" i="6"/>
  <c r="K34" i="6"/>
  <c r="J34" i="6"/>
  <c r="Q26" i="6"/>
  <c r="S26" i="6"/>
  <c r="R26" i="6"/>
  <c r="I18" i="6"/>
  <c r="K18" i="6"/>
  <c r="J18" i="6"/>
  <c r="Q11" i="6"/>
  <c r="S11" i="6"/>
  <c r="R11" i="6"/>
  <c r="S41" i="5"/>
  <c r="W41" i="5"/>
  <c r="U41" i="5"/>
  <c r="V41" i="5"/>
  <c r="T41" i="5"/>
  <c r="S25" i="5"/>
  <c r="W25" i="5"/>
  <c r="U25" i="5"/>
  <c r="V25" i="5"/>
  <c r="T25" i="5"/>
  <c r="G193" i="3"/>
  <c r="G191" i="3"/>
  <c r="G189" i="3"/>
  <c r="G187" i="3"/>
  <c r="J49" i="6"/>
  <c r="I49" i="6"/>
  <c r="K49" i="6"/>
  <c r="R41" i="6"/>
  <c r="Q41" i="6"/>
  <c r="S41" i="6"/>
  <c r="J33" i="6"/>
  <c r="I33" i="6"/>
  <c r="K33" i="6"/>
  <c r="R25" i="6"/>
  <c r="Q25" i="6"/>
  <c r="S25" i="6"/>
  <c r="J17" i="6"/>
  <c r="I17" i="6"/>
  <c r="K17" i="6"/>
  <c r="R10" i="6"/>
  <c r="Q10" i="6"/>
  <c r="S10" i="6"/>
  <c r="T44" i="5"/>
  <c r="S44" i="5"/>
  <c r="V44" i="5"/>
  <c r="W44" i="5"/>
  <c r="U44" i="5"/>
  <c r="T28" i="5"/>
  <c r="S28" i="5"/>
  <c r="V28" i="5"/>
  <c r="W28" i="5"/>
  <c r="U28" i="5"/>
  <c r="T9" i="5"/>
  <c r="S9" i="5"/>
  <c r="V9" i="5"/>
  <c r="W9" i="5"/>
  <c r="U9" i="5"/>
  <c r="F195" i="3"/>
  <c r="F193" i="3"/>
  <c r="F191" i="3"/>
  <c r="F189" i="3"/>
  <c r="F187" i="3"/>
  <c r="K48" i="6"/>
  <c r="J48" i="6"/>
  <c r="I48" i="6"/>
  <c r="S40" i="6"/>
  <c r="R40" i="6"/>
  <c r="Q40" i="6"/>
  <c r="K32" i="6"/>
  <c r="J32" i="6"/>
  <c r="I32" i="6"/>
  <c r="S24" i="6"/>
  <c r="R24" i="6"/>
  <c r="Q24" i="6"/>
  <c r="U47" i="5"/>
  <c r="T47" i="5"/>
  <c r="S47" i="5"/>
  <c r="W47" i="5"/>
  <c r="V47" i="5"/>
  <c r="U31" i="5"/>
  <c r="T31" i="5"/>
  <c r="S31" i="5"/>
  <c r="W31" i="5"/>
  <c r="V31" i="5"/>
  <c r="K47" i="6"/>
  <c r="J47" i="6"/>
  <c r="I47" i="6"/>
  <c r="S39" i="6"/>
  <c r="R39" i="6"/>
  <c r="Q39" i="6"/>
  <c r="K31" i="6"/>
  <c r="J31" i="6"/>
  <c r="I31" i="6"/>
  <c r="S23" i="6"/>
  <c r="R23" i="6"/>
  <c r="Q23" i="6"/>
  <c r="K16" i="6"/>
  <c r="J16" i="6"/>
  <c r="I16" i="6"/>
  <c r="S8" i="6"/>
  <c r="R8" i="6"/>
  <c r="Q8" i="6"/>
  <c r="V50" i="5"/>
  <c r="U50" i="5"/>
  <c r="T50" i="5"/>
  <c r="S50" i="5"/>
  <c r="W50" i="5"/>
  <c r="V34" i="5"/>
  <c r="U34" i="5"/>
  <c r="T34" i="5"/>
  <c r="S34" i="5"/>
  <c r="W34" i="5"/>
  <c r="V18" i="5"/>
  <c r="U18" i="5"/>
  <c r="T18" i="5"/>
  <c r="S18" i="5"/>
  <c r="W18" i="5"/>
  <c r="V15" i="5"/>
  <c r="U15" i="5"/>
  <c r="T15" i="5"/>
  <c r="S15" i="5"/>
  <c r="W15" i="5"/>
  <c r="K46" i="6"/>
  <c r="J46" i="6"/>
  <c r="I46" i="6"/>
  <c r="S38" i="6"/>
  <c r="R38" i="6"/>
  <c r="Q38" i="6"/>
  <c r="K30" i="6"/>
  <c r="J30" i="6"/>
  <c r="I30" i="6"/>
  <c r="S22" i="6"/>
  <c r="R22" i="6"/>
  <c r="Q22" i="6"/>
  <c r="K15" i="6"/>
  <c r="J15" i="6"/>
  <c r="I15" i="6"/>
  <c r="S7" i="6"/>
  <c r="R7" i="6"/>
  <c r="Q7" i="6"/>
  <c r="W37" i="5"/>
  <c r="V37" i="5"/>
  <c r="U37" i="5"/>
  <c r="T37" i="5"/>
  <c r="S37" i="5"/>
  <c r="W21" i="5"/>
  <c r="V21" i="5"/>
  <c r="U21" i="5"/>
  <c r="T21" i="5"/>
  <c r="S21" i="5"/>
  <c r="K45" i="6"/>
  <c r="J45" i="6"/>
  <c r="I45" i="6"/>
  <c r="S37" i="6"/>
  <c r="R37" i="6"/>
  <c r="Q37" i="6"/>
  <c r="K29" i="6"/>
  <c r="J29" i="6"/>
  <c r="I29" i="6"/>
  <c r="S21" i="6"/>
  <c r="R21" i="6"/>
  <c r="Q21" i="6"/>
  <c r="K14" i="6"/>
  <c r="J14" i="6"/>
  <c r="I14" i="6"/>
  <c r="W40" i="5"/>
  <c r="V40" i="5"/>
  <c r="U40" i="5"/>
  <c r="T40" i="5"/>
  <c r="S40" i="5"/>
  <c r="W24" i="5"/>
  <c r="V24" i="5"/>
  <c r="U24" i="5"/>
  <c r="T24" i="5"/>
  <c r="S24" i="5"/>
  <c r="S52" i="6"/>
  <c r="R52" i="6"/>
  <c r="Q52" i="6"/>
  <c r="K44" i="6"/>
  <c r="J44" i="6"/>
  <c r="I44" i="6"/>
  <c r="S36" i="6"/>
  <c r="R36" i="6"/>
  <c r="Q36" i="6"/>
  <c r="K28" i="6"/>
  <c r="J28" i="6"/>
  <c r="I28" i="6"/>
  <c r="W43" i="5"/>
  <c r="V43" i="5"/>
  <c r="U43" i="5"/>
  <c r="T43" i="5"/>
  <c r="S43" i="5"/>
  <c r="S51" i="6"/>
  <c r="R51" i="6"/>
  <c r="Q51" i="6"/>
  <c r="K43" i="6"/>
  <c r="J43" i="6"/>
  <c r="I43" i="6"/>
  <c r="S35" i="6"/>
  <c r="R35" i="6"/>
  <c r="Q35" i="6"/>
  <c r="K27" i="6"/>
  <c r="J27" i="6"/>
  <c r="I27" i="6"/>
  <c r="S19" i="6"/>
  <c r="R19" i="6"/>
  <c r="Q19" i="6"/>
  <c r="K12" i="6"/>
  <c r="J12" i="6"/>
  <c r="I12" i="6"/>
  <c r="W46" i="5"/>
  <c r="V46" i="5"/>
  <c r="U46" i="5"/>
  <c r="T46" i="5"/>
  <c r="S46" i="5"/>
  <c r="W30" i="5"/>
  <c r="V30" i="5"/>
  <c r="U30" i="5"/>
  <c r="T30" i="5"/>
  <c r="S30" i="5"/>
  <c r="S50" i="6"/>
  <c r="R50" i="6"/>
  <c r="Q50" i="6"/>
  <c r="K42" i="6"/>
  <c r="J42" i="6"/>
  <c r="I42" i="6"/>
  <c r="S34" i="6"/>
  <c r="R34" i="6"/>
  <c r="Q34" i="6"/>
  <c r="K26" i="6"/>
  <c r="J26" i="6"/>
  <c r="I26" i="6"/>
  <c r="S18" i="6"/>
  <c r="R18" i="6"/>
  <c r="Q18" i="6"/>
  <c r="K11" i="6"/>
  <c r="J11" i="6"/>
  <c r="I11" i="6"/>
  <c r="W49" i="5"/>
  <c r="V49" i="5"/>
  <c r="U49" i="5"/>
  <c r="T49" i="5"/>
  <c r="S49" i="5"/>
  <c r="W33" i="5"/>
  <c r="V33" i="5"/>
  <c r="U33" i="5"/>
  <c r="T33" i="5"/>
  <c r="S33" i="5"/>
  <c r="W17" i="5"/>
  <c r="V17" i="5"/>
  <c r="U17" i="5"/>
  <c r="T17" i="5"/>
  <c r="S17" i="5"/>
  <c r="W14" i="5"/>
  <c r="V14" i="5"/>
  <c r="U14" i="5"/>
  <c r="S14" i="5"/>
  <c r="T14" i="5"/>
  <c r="G196" i="3"/>
  <c r="G194" i="3"/>
  <c r="G192" i="3"/>
  <c r="G190" i="3"/>
  <c r="G188" i="3"/>
  <c r="G186" i="3"/>
  <c r="S49" i="6"/>
  <c r="R49" i="6"/>
  <c r="Q49" i="6"/>
  <c r="K41" i="6"/>
  <c r="J41" i="6"/>
  <c r="I41" i="6"/>
  <c r="S33" i="6"/>
  <c r="R33" i="6"/>
  <c r="Q33" i="6"/>
  <c r="K25" i="6"/>
  <c r="J25" i="6"/>
  <c r="I25" i="6"/>
  <c r="S17" i="6"/>
  <c r="R17" i="6"/>
  <c r="Q17" i="6"/>
  <c r="K10" i="6"/>
  <c r="J10" i="6"/>
  <c r="I10" i="6"/>
  <c r="W52" i="5"/>
  <c r="V52" i="5"/>
  <c r="U52" i="5"/>
  <c r="T52" i="5"/>
  <c r="S52" i="5"/>
  <c r="W36" i="5"/>
  <c r="V36" i="5"/>
  <c r="U36" i="5"/>
  <c r="T36" i="5"/>
  <c r="S36" i="5"/>
  <c r="W20" i="5"/>
  <c r="V20" i="5"/>
  <c r="U20" i="5"/>
  <c r="T20" i="5"/>
  <c r="S20" i="5"/>
  <c r="S48" i="6"/>
  <c r="R48" i="6"/>
  <c r="Q48" i="6"/>
  <c r="K40" i="6"/>
  <c r="J40" i="6"/>
  <c r="I40" i="6"/>
  <c r="S47" i="6"/>
  <c r="R47" i="6"/>
  <c r="Q47" i="6"/>
  <c r="K39" i="6"/>
  <c r="J39" i="6"/>
  <c r="I39" i="6"/>
  <c r="S31" i="6"/>
  <c r="R31" i="6"/>
  <c r="Q31" i="6"/>
  <c r="K23" i="6"/>
  <c r="J23" i="6"/>
  <c r="I23" i="6"/>
  <c r="K8" i="6"/>
  <c r="J8" i="6"/>
  <c r="I8" i="6"/>
  <c r="W42" i="5"/>
  <c r="V42" i="5"/>
  <c r="U42" i="5"/>
  <c r="T42" i="5"/>
  <c r="S42" i="5"/>
  <c r="W26" i="5"/>
  <c r="V26" i="5"/>
  <c r="U26" i="5"/>
  <c r="T26" i="5"/>
  <c r="S26" i="5"/>
  <c r="S45" i="6"/>
  <c r="R45" i="6"/>
  <c r="Q45" i="6"/>
  <c r="K37" i="6"/>
  <c r="J37" i="6"/>
  <c r="I37" i="6"/>
  <c r="S29" i="6"/>
  <c r="R29" i="6"/>
  <c r="Q29" i="6"/>
  <c r="K21" i="6"/>
  <c r="J21" i="6"/>
  <c r="I21" i="6"/>
  <c r="W48" i="5"/>
  <c r="V48" i="5"/>
  <c r="U48" i="5"/>
  <c r="T48" i="5"/>
  <c r="S48" i="5"/>
  <c r="W32" i="5"/>
  <c r="V32" i="5"/>
  <c r="T32" i="5"/>
  <c r="U32" i="5"/>
  <c r="S32" i="5"/>
  <c r="W13" i="5"/>
  <c r="V13" i="5"/>
  <c r="T13" i="5"/>
  <c r="U13" i="5"/>
  <c r="S13" i="5"/>
  <c r="M37" i="5"/>
  <c r="K37" i="5"/>
  <c r="I37" i="5"/>
  <c r="L37" i="5"/>
  <c r="J37" i="5"/>
  <c r="M15" i="5"/>
  <c r="L15" i="5"/>
  <c r="J15" i="5"/>
  <c r="K15" i="5"/>
  <c r="I15" i="5"/>
  <c r="M18" i="5"/>
  <c r="L18" i="5"/>
  <c r="J18" i="5"/>
  <c r="K18" i="5"/>
  <c r="I18" i="5"/>
  <c r="M34" i="5"/>
  <c r="L34" i="5"/>
  <c r="J34" i="5"/>
  <c r="K34" i="5"/>
  <c r="I34" i="5"/>
  <c r="M50" i="5"/>
  <c r="L50" i="5"/>
  <c r="K50" i="5"/>
  <c r="J50" i="5"/>
  <c r="I50" i="5"/>
  <c r="L9" i="5"/>
  <c r="K9" i="5"/>
  <c r="J9" i="5"/>
  <c r="M9" i="5"/>
  <c r="I9" i="5"/>
  <c r="M28" i="5"/>
  <c r="L28" i="5"/>
  <c r="K28" i="5"/>
  <c r="J28" i="5"/>
  <c r="I28" i="5"/>
  <c r="M44" i="5"/>
  <c r="L44" i="5"/>
  <c r="K44" i="5"/>
  <c r="J44" i="5"/>
  <c r="I44" i="5"/>
  <c r="M22" i="5"/>
  <c r="L22" i="5"/>
  <c r="K22" i="5"/>
  <c r="J22" i="5"/>
  <c r="I22" i="5"/>
  <c r="M38" i="5"/>
  <c r="L38" i="5"/>
  <c r="K38" i="5"/>
  <c r="J38" i="5"/>
  <c r="I38" i="5"/>
  <c r="M16" i="5"/>
  <c r="L16" i="5"/>
  <c r="K16" i="5"/>
  <c r="I16" i="5"/>
  <c r="J16" i="5"/>
  <c r="M19" i="5"/>
  <c r="L19" i="5"/>
  <c r="K19" i="5"/>
  <c r="J19" i="5"/>
  <c r="I19" i="5"/>
  <c r="M35" i="5"/>
  <c r="L35" i="5"/>
  <c r="K35" i="5"/>
  <c r="J35" i="5"/>
  <c r="I35" i="5"/>
  <c r="M51" i="5"/>
  <c r="L51" i="5"/>
  <c r="K51" i="5"/>
  <c r="J51" i="5"/>
  <c r="I51" i="5"/>
  <c r="M13" i="5"/>
  <c r="L13" i="5"/>
  <c r="K13" i="5"/>
  <c r="J13" i="5"/>
  <c r="I13" i="5"/>
  <c r="M32" i="5"/>
  <c r="L32" i="5"/>
  <c r="K32" i="5"/>
  <c r="J32" i="5"/>
  <c r="I32" i="5"/>
  <c r="M48" i="5"/>
  <c r="L48" i="5"/>
  <c r="K48" i="5"/>
  <c r="J48" i="5"/>
  <c r="I48" i="5"/>
  <c r="M29" i="5"/>
  <c r="L29" i="5"/>
  <c r="K29" i="5"/>
  <c r="J29" i="5"/>
  <c r="I29" i="5"/>
  <c r="M45" i="5"/>
  <c r="L45" i="5"/>
  <c r="K45" i="5"/>
  <c r="J45" i="5"/>
  <c r="I45" i="5"/>
  <c r="M7" i="5"/>
  <c r="L7" i="5"/>
  <c r="K7" i="5"/>
  <c r="J7" i="5"/>
  <c r="I7" i="5"/>
  <c r="M26" i="5"/>
  <c r="L26" i="5"/>
  <c r="K26" i="5"/>
  <c r="J26" i="5"/>
  <c r="I26" i="5"/>
  <c r="M42" i="5"/>
  <c r="L42" i="5"/>
  <c r="K42" i="5"/>
  <c r="J42" i="5"/>
  <c r="I42" i="5"/>
  <c r="M23" i="5"/>
  <c r="L23" i="5"/>
  <c r="K23" i="5"/>
  <c r="J23" i="5"/>
  <c r="I23" i="5"/>
  <c r="M39" i="5"/>
  <c r="L39" i="5"/>
  <c r="K39" i="5"/>
  <c r="J39" i="5"/>
  <c r="I39" i="5"/>
  <c r="L20" i="5"/>
  <c r="K20" i="5"/>
  <c r="J20" i="5"/>
  <c r="I20" i="5"/>
  <c r="M20" i="5"/>
  <c r="L36" i="5"/>
  <c r="K36" i="5"/>
  <c r="J36" i="5"/>
  <c r="I36" i="5"/>
  <c r="M36" i="5"/>
  <c r="L52" i="5"/>
  <c r="K52" i="5"/>
  <c r="J52" i="5"/>
  <c r="I52" i="5"/>
  <c r="M52" i="5"/>
  <c r="K14" i="5"/>
  <c r="J14" i="5"/>
  <c r="I14" i="5"/>
  <c r="M14" i="5"/>
  <c r="L14" i="5"/>
  <c r="K17" i="5"/>
  <c r="J17" i="5"/>
  <c r="I17" i="5"/>
  <c r="M17" i="5"/>
  <c r="L17" i="5"/>
  <c r="K33" i="5"/>
  <c r="J33" i="5"/>
  <c r="I33" i="5"/>
  <c r="M33" i="5"/>
  <c r="L33" i="5"/>
  <c r="K49" i="5"/>
  <c r="J49" i="5"/>
  <c r="I49" i="5"/>
  <c r="M49" i="5"/>
  <c r="L49" i="5"/>
  <c r="J11" i="5"/>
  <c r="I11" i="5"/>
  <c r="L11" i="5"/>
  <c r="M11" i="5"/>
  <c r="K11" i="5"/>
  <c r="J30" i="5"/>
  <c r="I30" i="5"/>
  <c r="L30" i="5"/>
  <c r="M30" i="5"/>
  <c r="K30" i="5"/>
  <c r="J46" i="5"/>
  <c r="I46" i="5"/>
  <c r="L46" i="5"/>
  <c r="M46" i="5"/>
  <c r="K46" i="5"/>
  <c r="I8" i="5"/>
  <c r="M8" i="5"/>
  <c r="K8" i="5"/>
  <c r="L8" i="5"/>
  <c r="J8" i="5"/>
  <c r="I27" i="5"/>
  <c r="M27" i="5"/>
  <c r="K27" i="5"/>
  <c r="L27" i="5"/>
  <c r="J27" i="5"/>
  <c r="I43" i="5"/>
  <c r="M43" i="5"/>
  <c r="K43" i="5"/>
  <c r="L43" i="5"/>
  <c r="J43" i="5"/>
  <c r="L24" i="5"/>
  <c r="J24" i="5"/>
  <c r="M24" i="5"/>
  <c r="K24" i="5"/>
  <c r="I24" i="5"/>
  <c r="L40" i="5"/>
  <c r="J40" i="5"/>
  <c r="M40" i="5"/>
  <c r="K40" i="5"/>
  <c r="I40" i="5"/>
  <c r="J140" i="3"/>
  <c r="L140" i="3"/>
  <c r="K140" i="3"/>
  <c r="E121" i="3"/>
  <c r="E119" i="3"/>
  <c r="E117" i="3"/>
  <c r="E115" i="3"/>
  <c r="E113" i="3"/>
  <c r="J59" i="3"/>
  <c r="K59" i="3"/>
  <c r="J43" i="3"/>
  <c r="K43" i="3"/>
  <c r="J13" i="2"/>
  <c r="L13" i="2"/>
  <c r="K13" i="2"/>
  <c r="J11" i="2"/>
  <c r="L11" i="2"/>
  <c r="K11" i="2"/>
  <c r="J9" i="2"/>
  <c r="L9" i="2"/>
  <c r="K9" i="2"/>
  <c r="J7" i="2"/>
  <c r="K7" i="2"/>
  <c r="L7" i="2"/>
  <c r="E192" i="3"/>
  <c r="E188" i="3"/>
  <c r="L143" i="3"/>
  <c r="K143" i="3"/>
  <c r="J143" i="3"/>
  <c r="J136" i="3"/>
  <c r="L136" i="3"/>
  <c r="K136" i="3"/>
  <c r="K52" i="3"/>
  <c r="J52" i="3"/>
  <c r="K66" i="2"/>
  <c r="J66" i="2"/>
  <c r="L66" i="2"/>
  <c r="I69" i="2"/>
  <c r="K64" i="2"/>
  <c r="J64" i="2"/>
  <c r="L64" i="2"/>
  <c r="K62" i="2"/>
  <c r="J62" i="2"/>
  <c r="L62" i="2"/>
  <c r="K60" i="2"/>
  <c r="J60" i="2"/>
  <c r="L60" i="2"/>
  <c r="K23" i="2"/>
  <c r="L23" i="2"/>
  <c r="J23" i="2"/>
  <c r="L185" i="3"/>
  <c r="K185" i="3"/>
  <c r="J185" i="3"/>
  <c r="I196" i="3"/>
  <c r="L139" i="3"/>
  <c r="K139" i="3"/>
  <c r="J139" i="3"/>
  <c r="K61" i="3"/>
  <c r="J61" i="3"/>
  <c r="K45" i="3"/>
  <c r="J45" i="3"/>
  <c r="K41" i="2"/>
  <c r="J41" i="2"/>
  <c r="L37" i="2"/>
  <c r="K37" i="2"/>
  <c r="J37" i="2"/>
  <c r="L33" i="2"/>
  <c r="K33" i="2"/>
  <c r="J33" i="2"/>
  <c r="L213" i="3"/>
  <c r="J213" i="3"/>
  <c r="K213" i="3"/>
  <c r="L111" i="3"/>
  <c r="K111" i="3"/>
  <c r="J111" i="3"/>
  <c r="I122" i="3"/>
  <c r="L109" i="3"/>
  <c r="K109" i="3"/>
  <c r="J109" i="3"/>
  <c r="I120" i="3"/>
  <c r="I118" i="3"/>
  <c r="L107" i="3"/>
  <c r="K107" i="3"/>
  <c r="J107" i="3"/>
  <c r="L105" i="3"/>
  <c r="K105" i="3"/>
  <c r="J105" i="3"/>
  <c r="I116" i="3"/>
  <c r="L103" i="3"/>
  <c r="K103" i="3"/>
  <c r="J103" i="3"/>
  <c r="I114" i="3"/>
  <c r="L101" i="3"/>
  <c r="K101" i="3"/>
  <c r="J101" i="3"/>
  <c r="L99" i="3"/>
  <c r="K99" i="3"/>
  <c r="J99" i="3"/>
  <c r="L97" i="3"/>
  <c r="K97" i="3"/>
  <c r="J97" i="3"/>
  <c r="L95" i="3"/>
  <c r="K95" i="3"/>
  <c r="J95" i="3"/>
  <c r="L93" i="3"/>
  <c r="K93" i="3"/>
  <c r="J93" i="3"/>
  <c r="L91" i="3"/>
  <c r="K91" i="3"/>
  <c r="J91" i="3"/>
  <c r="L89" i="3"/>
  <c r="K89" i="3"/>
  <c r="J89" i="3"/>
  <c r="L87" i="3"/>
  <c r="K87" i="3"/>
  <c r="J87" i="3"/>
  <c r="L85" i="3"/>
  <c r="K85" i="3"/>
  <c r="J85" i="3"/>
  <c r="L83" i="3"/>
  <c r="K83" i="3"/>
  <c r="J83" i="3"/>
  <c r="L81" i="3"/>
  <c r="K81" i="3"/>
  <c r="J81" i="3"/>
  <c r="L71" i="3"/>
  <c r="K71" i="3"/>
  <c r="J71" i="3"/>
  <c r="L69" i="3"/>
  <c r="K69" i="3"/>
  <c r="J69" i="3"/>
  <c r="L67" i="3"/>
  <c r="K67" i="3"/>
  <c r="J67" i="3"/>
  <c r="L65" i="3"/>
  <c r="K65" i="3"/>
  <c r="J65" i="3"/>
  <c r="L63" i="3"/>
  <c r="K63" i="3"/>
  <c r="J63" i="3"/>
  <c r="K54" i="3"/>
  <c r="J54" i="3"/>
  <c r="G69" i="2"/>
  <c r="K19" i="2"/>
  <c r="J19" i="2"/>
  <c r="I42" i="2"/>
  <c r="L39" i="2"/>
  <c r="K39" i="2"/>
  <c r="J39" i="2"/>
  <c r="E196" i="3"/>
  <c r="I191" i="3"/>
  <c r="J180" i="3"/>
  <c r="L180" i="3"/>
  <c r="K180" i="3"/>
  <c r="I187" i="3"/>
  <c r="J176" i="3"/>
  <c r="L176" i="3"/>
  <c r="K176" i="3"/>
  <c r="J172" i="3"/>
  <c r="L172" i="3"/>
  <c r="K172" i="3"/>
  <c r="J168" i="3"/>
  <c r="L168" i="3"/>
  <c r="K168" i="3"/>
  <c r="J164" i="3"/>
  <c r="L164" i="3"/>
  <c r="K164" i="3"/>
  <c r="J160" i="3"/>
  <c r="L160" i="3"/>
  <c r="K160" i="3"/>
  <c r="J156" i="3"/>
  <c r="L156" i="3"/>
  <c r="K156" i="3"/>
  <c r="L208" i="3"/>
  <c r="J208" i="3"/>
  <c r="K208" i="3"/>
  <c r="L210" i="3"/>
  <c r="J210" i="3"/>
  <c r="K210" i="3"/>
  <c r="L212" i="3"/>
  <c r="J212" i="3"/>
  <c r="K212" i="3"/>
  <c r="L214" i="3"/>
  <c r="J214" i="3"/>
  <c r="K214" i="3"/>
  <c r="L216" i="3"/>
  <c r="J216" i="3"/>
  <c r="K216" i="3"/>
  <c r="L218" i="3"/>
  <c r="J218" i="3"/>
  <c r="K218" i="3"/>
  <c r="H122" i="3"/>
  <c r="H120" i="3"/>
  <c r="H118" i="3"/>
  <c r="H116" i="3"/>
  <c r="H114" i="3"/>
  <c r="K47" i="3"/>
  <c r="J47" i="3"/>
  <c r="E191" i="3"/>
  <c r="E187" i="3"/>
  <c r="G122" i="3"/>
  <c r="G120" i="3"/>
  <c r="G118" i="3"/>
  <c r="G116" i="3"/>
  <c r="G114" i="3"/>
  <c r="K56" i="3"/>
  <c r="J56" i="3"/>
  <c r="K40" i="3"/>
  <c r="J40" i="3"/>
  <c r="L38" i="3"/>
  <c r="K38" i="3"/>
  <c r="J38" i="3"/>
  <c r="L36" i="3"/>
  <c r="K36" i="3"/>
  <c r="J36" i="3"/>
  <c r="L34" i="3"/>
  <c r="K34" i="3"/>
  <c r="J34" i="3"/>
  <c r="L32" i="3"/>
  <c r="K32" i="3"/>
  <c r="J32" i="3"/>
  <c r="L30" i="3"/>
  <c r="K30" i="3"/>
  <c r="J30" i="3"/>
  <c r="L28" i="3"/>
  <c r="K28" i="3"/>
  <c r="J28" i="3"/>
  <c r="L26" i="3"/>
  <c r="K26" i="3"/>
  <c r="J26" i="3"/>
  <c r="L24" i="3"/>
  <c r="K24" i="3"/>
  <c r="J24" i="3"/>
  <c r="L22" i="3"/>
  <c r="K22" i="3"/>
  <c r="J22" i="3"/>
  <c r="L20" i="3"/>
  <c r="K20" i="3"/>
  <c r="J20" i="3"/>
  <c r="L18" i="3"/>
  <c r="K18" i="3"/>
  <c r="J18" i="3"/>
  <c r="L16" i="3"/>
  <c r="K16" i="3"/>
  <c r="J16" i="3"/>
  <c r="L14" i="3"/>
  <c r="K14" i="3"/>
  <c r="J14" i="3"/>
  <c r="L12" i="3"/>
  <c r="K12" i="3"/>
  <c r="J12" i="3"/>
  <c r="L10" i="3"/>
  <c r="K10" i="3"/>
  <c r="J10" i="3"/>
  <c r="L8" i="3"/>
  <c r="K8" i="3"/>
  <c r="J8" i="3"/>
  <c r="E69" i="2"/>
  <c r="H42" i="2"/>
  <c r="K21" i="2"/>
  <c r="J21" i="2"/>
  <c r="L179" i="3"/>
  <c r="K179" i="3"/>
  <c r="J179" i="3"/>
  <c r="I190" i="3"/>
  <c r="L175" i="3"/>
  <c r="K175" i="3"/>
  <c r="J175" i="3"/>
  <c r="I186" i="3"/>
  <c r="L171" i="3"/>
  <c r="K171" i="3"/>
  <c r="J171" i="3"/>
  <c r="F122" i="3"/>
  <c r="F120" i="3"/>
  <c r="F118" i="3"/>
  <c r="F116" i="3"/>
  <c r="F114" i="3"/>
  <c r="E195" i="3"/>
  <c r="E122" i="3"/>
  <c r="E120" i="3"/>
  <c r="E118" i="3"/>
  <c r="E116" i="3"/>
  <c r="E114" i="3"/>
  <c r="K58" i="3"/>
  <c r="J58" i="3"/>
  <c r="K42" i="3"/>
  <c r="J42" i="3"/>
  <c r="F42" i="2"/>
  <c r="L211" i="3"/>
  <c r="J211" i="3"/>
  <c r="K211" i="3"/>
  <c r="L183" i="3"/>
  <c r="K183" i="3"/>
  <c r="J183" i="3"/>
  <c r="I194" i="3"/>
  <c r="K51" i="3"/>
  <c r="J51" i="3"/>
  <c r="E42" i="2"/>
  <c r="K16" i="2"/>
  <c r="J16" i="2"/>
  <c r="I17" i="2"/>
  <c r="K14" i="2"/>
  <c r="L14" i="2"/>
  <c r="J14" i="2"/>
  <c r="K12" i="2"/>
  <c r="L12" i="2"/>
  <c r="J12" i="2"/>
  <c r="K10" i="2"/>
  <c r="L10" i="2"/>
  <c r="J10" i="2"/>
  <c r="K8" i="2"/>
  <c r="L8" i="2"/>
  <c r="J8" i="2"/>
  <c r="E194" i="3"/>
  <c r="K53" i="3"/>
  <c r="J53" i="3"/>
  <c r="L51" i="2"/>
  <c r="K51" i="2"/>
  <c r="J51" i="2"/>
  <c r="L49" i="2"/>
  <c r="K49" i="2"/>
  <c r="J49" i="2"/>
  <c r="N16" i="45"/>
  <c r="M16" i="45"/>
  <c r="L16" i="45"/>
  <c r="T16" i="44"/>
  <c r="S16" i="44"/>
  <c r="R16" i="44"/>
  <c r="Q16" i="44"/>
  <c r="P16" i="44"/>
  <c r="M146" i="44"/>
  <c r="L146" i="44"/>
  <c r="N146" i="44"/>
  <c r="O146" i="44"/>
  <c r="J16" i="45"/>
  <c r="I16" i="45"/>
  <c r="H16" i="45"/>
  <c r="I146" i="44"/>
  <c r="H146" i="44"/>
  <c r="K146" i="44" s="1"/>
  <c r="G146" i="44"/>
  <c r="T16" i="45"/>
  <c r="S16" i="45"/>
  <c r="R16" i="45"/>
  <c r="Q16" i="45"/>
  <c r="P16" i="45"/>
  <c r="O146" i="43"/>
  <c r="N146" i="43"/>
  <c r="M146" i="43"/>
  <c r="L146" i="43"/>
  <c r="R11" i="39"/>
  <c r="Q11" i="39"/>
  <c r="P11" i="39"/>
  <c r="O11" i="39"/>
  <c r="S11" i="39"/>
  <c r="T11" i="39"/>
  <c r="I146" i="43"/>
  <c r="G146" i="43"/>
  <c r="H146" i="43"/>
  <c r="K146" i="43" s="1"/>
  <c r="N16" i="44"/>
  <c r="M16" i="44"/>
  <c r="L16" i="44"/>
  <c r="K11" i="39"/>
  <c r="M11" i="39"/>
  <c r="L11" i="39"/>
  <c r="J16" i="44"/>
  <c r="I16" i="44"/>
  <c r="H16" i="44"/>
  <c r="I129" i="39"/>
  <c r="G129" i="39"/>
  <c r="H129" i="39"/>
  <c r="I11" i="39"/>
  <c r="H11" i="39"/>
  <c r="G11" i="39"/>
  <c r="M104" i="28"/>
  <c r="L104" i="28"/>
  <c r="K104" i="28"/>
  <c r="J104" i="28"/>
  <c r="I104" i="28"/>
  <c r="M132" i="28"/>
  <c r="L132" i="28"/>
  <c r="K132" i="28"/>
  <c r="J132" i="28"/>
  <c r="I132" i="28"/>
  <c r="L90" i="28"/>
  <c r="K90" i="28"/>
  <c r="J90" i="28"/>
  <c r="I90" i="28"/>
  <c r="M90" i="28"/>
  <c r="K34" i="27"/>
  <c r="J34" i="27"/>
  <c r="I34" i="27"/>
  <c r="K90" i="26"/>
  <c r="J90" i="26"/>
  <c r="I90" i="26"/>
  <c r="K48" i="26"/>
  <c r="J48" i="26"/>
  <c r="I48" i="26"/>
  <c r="J160" i="26"/>
  <c r="K160" i="26"/>
  <c r="I160" i="26"/>
  <c r="I62" i="26"/>
  <c r="J62" i="26"/>
  <c r="K62" i="26"/>
  <c r="H78" i="21"/>
  <c r="I78" i="21"/>
  <c r="I148" i="21"/>
  <c r="H148" i="21"/>
  <c r="I106" i="21"/>
  <c r="H106" i="21"/>
  <c r="I22" i="21"/>
  <c r="H22" i="21"/>
  <c r="I50" i="21"/>
  <c r="H50" i="21"/>
  <c r="I64" i="21"/>
  <c r="H64" i="21"/>
  <c r="H92" i="21"/>
  <c r="I92" i="21"/>
  <c r="R21" i="19"/>
  <c r="P21" i="19"/>
  <c r="R9" i="19"/>
  <c r="P9" i="19"/>
  <c r="J9" i="19"/>
  <c r="I9" i="19"/>
  <c r="H9" i="19"/>
  <c r="J21" i="19"/>
  <c r="I21" i="19"/>
  <c r="H21" i="19"/>
  <c r="J23" i="19"/>
  <c r="I23" i="19"/>
  <c r="H23" i="19"/>
  <c r="J8" i="18"/>
  <c r="I8" i="18"/>
  <c r="R51" i="19"/>
  <c r="P51" i="19"/>
  <c r="X9" i="19"/>
  <c r="R50" i="18"/>
  <c r="Q50" i="18"/>
  <c r="R76" i="18"/>
  <c r="Q76" i="18"/>
  <c r="R34" i="18"/>
  <c r="Q34" i="18"/>
  <c r="R106" i="18"/>
  <c r="Q106" i="18"/>
  <c r="J106" i="18"/>
  <c r="I106" i="18"/>
  <c r="K63" i="17"/>
  <c r="J63" i="17"/>
  <c r="I63" i="17"/>
  <c r="K37" i="17"/>
  <c r="J37" i="17"/>
  <c r="I37" i="17"/>
  <c r="K21" i="17"/>
  <c r="J21" i="17"/>
  <c r="I21" i="17"/>
  <c r="R8" i="18"/>
  <c r="Q8" i="18"/>
  <c r="J120" i="18"/>
  <c r="I120" i="18"/>
  <c r="K49" i="17"/>
  <c r="J49" i="17"/>
  <c r="I49" i="17"/>
  <c r="K23" i="17"/>
  <c r="J23" i="17"/>
  <c r="I23" i="17"/>
  <c r="K9" i="17"/>
  <c r="J9" i="17"/>
  <c r="I9" i="17"/>
  <c r="W21" i="16"/>
  <c r="V21" i="16"/>
  <c r="U21" i="16"/>
  <c r="W21" i="17"/>
  <c r="V21" i="17"/>
  <c r="U21" i="17"/>
  <c r="L49" i="15"/>
  <c r="K49" i="15"/>
  <c r="J49" i="15"/>
  <c r="I49" i="15"/>
  <c r="M49" i="15"/>
  <c r="J121" i="14"/>
  <c r="I121" i="14"/>
  <c r="M21" i="15"/>
  <c r="K21" i="15"/>
  <c r="L21" i="15"/>
  <c r="J21" i="15"/>
  <c r="I21" i="15"/>
  <c r="J163" i="14"/>
  <c r="I163" i="14"/>
  <c r="M91" i="15"/>
  <c r="L91" i="15"/>
  <c r="K91" i="15"/>
  <c r="J91" i="15"/>
  <c r="I91" i="15"/>
  <c r="K35" i="15"/>
  <c r="J35" i="15"/>
  <c r="I35" i="15"/>
  <c r="M35" i="15"/>
  <c r="L35" i="15"/>
  <c r="J23" i="14"/>
  <c r="I23" i="14"/>
  <c r="M77" i="15"/>
  <c r="L77" i="15"/>
  <c r="K77" i="15"/>
  <c r="J77" i="15"/>
  <c r="I77" i="15"/>
  <c r="I135" i="14"/>
  <c r="J135" i="14"/>
  <c r="J107" i="14"/>
  <c r="I107" i="14"/>
  <c r="J79" i="14"/>
  <c r="I79" i="14"/>
  <c r="J149" i="14"/>
  <c r="I149" i="14"/>
  <c r="J37" i="14"/>
  <c r="I37" i="14"/>
  <c r="K62" i="13"/>
  <c r="J62" i="13"/>
  <c r="I62" i="13"/>
  <c r="K132" i="13"/>
  <c r="J132" i="13"/>
  <c r="I132" i="13"/>
  <c r="K20" i="13"/>
  <c r="J20" i="13"/>
  <c r="I20" i="13"/>
  <c r="J51" i="14"/>
  <c r="I51" i="14"/>
  <c r="J93" i="14"/>
  <c r="I93" i="14"/>
  <c r="J65" i="14"/>
  <c r="I65" i="14"/>
  <c r="L53" i="12"/>
  <c r="K53" i="12"/>
  <c r="J53" i="12"/>
  <c r="I53" i="12"/>
  <c r="H57" i="12"/>
  <c r="K71" i="2"/>
  <c r="J71" i="2"/>
  <c r="K68" i="2"/>
  <c r="J68" i="2"/>
  <c r="J200" i="3"/>
  <c r="K200" i="3"/>
  <c r="K189" i="3"/>
  <c r="J189" i="3"/>
  <c r="J44" i="2"/>
  <c r="K44" i="2"/>
  <c r="K43" i="2"/>
  <c r="J43" i="2"/>
  <c r="K46" i="2"/>
  <c r="J46" i="2"/>
  <c r="K123" i="3"/>
  <c r="J123" i="3"/>
  <c r="K134" i="3"/>
  <c r="J134" i="3"/>
  <c r="K121" i="3"/>
  <c r="J121" i="3"/>
  <c r="K132" i="3"/>
  <c r="J132" i="3"/>
  <c r="J130" i="3"/>
  <c r="K130" i="3"/>
  <c r="K119" i="3"/>
  <c r="J119" i="3"/>
  <c r="K117" i="3"/>
  <c r="J117" i="3"/>
  <c r="K128" i="3"/>
  <c r="J128" i="3"/>
  <c r="K115" i="3"/>
  <c r="J115" i="3"/>
  <c r="K126" i="3"/>
  <c r="J126" i="3"/>
  <c r="K113" i="3"/>
  <c r="J113" i="3"/>
  <c r="K124" i="3"/>
  <c r="J124" i="3"/>
  <c r="K193" i="3"/>
  <c r="J193" i="3"/>
  <c r="J204" i="3"/>
  <c r="K204" i="3"/>
  <c r="K203" i="3"/>
  <c r="J203" i="3"/>
  <c r="J192" i="3"/>
  <c r="K192" i="3"/>
  <c r="K199" i="3"/>
  <c r="J199" i="3"/>
  <c r="J188" i="3"/>
  <c r="K188" i="3"/>
  <c r="J18" i="2"/>
  <c r="K18" i="2"/>
  <c r="K206" i="3"/>
  <c r="J206" i="3"/>
  <c r="K195" i="3"/>
  <c r="J195" i="3"/>
  <c r="G253" i="51" l="1"/>
  <c r="G117" i="51"/>
  <c r="G139" i="51"/>
  <c r="G51" i="51"/>
  <c r="G29" i="51"/>
  <c r="G73" i="51"/>
  <c r="G205" i="51"/>
  <c r="G95" i="51"/>
  <c r="G161" i="51"/>
  <c r="G183" i="51"/>
  <c r="E7" i="51"/>
  <c r="G227" i="51"/>
  <c r="H8" i="51"/>
  <c r="J8" i="51"/>
  <c r="J74" i="52"/>
  <c r="L74" i="52"/>
  <c r="E7" i="52"/>
  <c r="G73" i="52"/>
  <c r="H8" i="52"/>
  <c r="G29" i="52"/>
  <c r="J30" i="52" s="1"/>
  <c r="G51" i="52"/>
  <c r="J52" i="52" s="1"/>
  <c r="L52" i="52"/>
  <c r="L30" i="52"/>
  <c r="E7" i="50"/>
  <c r="H8" i="50"/>
  <c r="E73" i="49"/>
  <c r="F74" i="49" s="1"/>
  <c r="E139" i="49"/>
  <c r="F140" i="49" s="1"/>
  <c r="E249" i="49"/>
  <c r="F250" i="49" s="1"/>
  <c r="E161" i="49"/>
  <c r="F162" i="49" s="1"/>
  <c r="F8" i="49"/>
  <c r="E271" i="49"/>
  <c r="F272" i="49" s="1"/>
  <c r="E183" i="49"/>
  <c r="F184" i="49" s="1"/>
  <c r="E95" i="49"/>
  <c r="F96" i="49" s="1"/>
  <c r="C7" i="49"/>
  <c r="E29" i="49"/>
  <c r="F30" i="49" s="1"/>
  <c r="E205" i="49"/>
  <c r="F206" i="49" s="1"/>
  <c r="E117" i="49"/>
  <c r="F118" i="49" s="1"/>
  <c r="E51" i="49"/>
  <c r="F52" i="49" s="1"/>
  <c r="E227" i="49"/>
  <c r="F228" i="49" s="1"/>
  <c r="Y30" i="18"/>
  <c r="Y130" i="18"/>
  <c r="Y51" i="18"/>
  <c r="Y152" i="18"/>
  <c r="Y141" i="18"/>
  <c r="K26" i="16"/>
  <c r="W11" i="16"/>
  <c r="W13" i="16"/>
  <c r="W12" i="16"/>
  <c r="W15" i="16"/>
  <c r="W16" i="16"/>
  <c r="W14" i="16"/>
  <c r="Y74" i="18"/>
  <c r="Y28" i="18"/>
  <c r="Y150" i="18"/>
  <c r="Y93" i="18"/>
  <c r="Y139" i="18"/>
  <c r="Y101" i="18"/>
  <c r="Y29" i="18"/>
  <c r="Y128" i="18"/>
  <c r="Y42" i="18"/>
  <c r="Y86" i="18"/>
  <c r="Y89" i="18"/>
  <c r="Y32" i="18"/>
  <c r="Y15" i="18"/>
  <c r="Y11" i="18"/>
  <c r="Y84" i="18"/>
  <c r="Y88" i="18"/>
  <c r="Y25" i="18"/>
  <c r="Y59" i="18"/>
  <c r="Y18" i="18"/>
  <c r="Y67" i="18"/>
  <c r="Y140" i="18"/>
  <c r="Y13" i="18"/>
  <c r="Y124" i="18"/>
  <c r="Y81" i="18"/>
  <c r="W11" i="17"/>
  <c r="Y53" i="18"/>
  <c r="Y9" i="18"/>
  <c r="Y16" i="18"/>
  <c r="Y73" i="18"/>
  <c r="Y10" i="18"/>
  <c r="Y116" i="18"/>
  <c r="Y52" i="18"/>
  <c r="Y38" i="18"/>
  <c r="Y60" i="18"/>
  <c r="Y98" i="18"/>
  <c r="Y117" i="18"/>
  <c r="Y137" i="18"/>
  <c r="Y87" i="18"/>
  <c r="Y151" i="18"/>
  <c r="Y155" i="18"/>
  <c r="Y41" i="18"/>
  <c r="Y123" i="18"/>
  <c r="Y40" i="18"/>
  <c r="Y142" i="18"/>
  <c r="Y66" i="18"/>
  <c r="K20" i="16"/>
  <c r="W19" i="17"/>
  <c r="Y47" i="18"/>
  <c r="Y45" i="18"/>
  <c r="Y99" i="18"/>
  <c r="Y68" i="18"/>
  <c r="Y100" i="18"/>
  <c r="Y102" i="18"/>
  <c r="Y143" i="18"/>
  <c r="Y138" i="18"/>
  <c r="Y46" i="18"/>
  <c r="Y19" i="18"/>
  <c r="Y71" i="18"/>
  <c r="Y125" i="18"/>
  <c r="Y149" i="18"/>
  <c r="Y14" i="18"/>
  <c r="Y61" i="18"/>
  <c r="Y157" i="18"/>
  <c r="Y70" i="18"/>
  <c r="Y144" i="18"/>
  <c r="Y129" i="18"/>
  <c r="Y126" i="18"/>
  <c r="Y39" i="18"/>
  <c r="Y96" i="18"/>
  <c r="Y108" i="18"/>
  <c r="Y131" i="18"/>
  <c r="Y121" i="18"/>
  <c r="Y27" i="18"/>
  <c r="Y69" i="18"/>
  <c r="W20" i="17"/>
  <c r="W13" i="17"/>
  <c r="Y57" i="18"/>
  <c r="Y65" i="18"/>
  <c r="Y55" i="18"/>
  <c r="Y33" i="18"/>
  <c r="Y85" i="18"/>
  <c r="Y127" i="18"/>
  <c r="Y112" i="18"/>
  <c r="Y109" i="18"/>
  <c r="K144" i="45"/>
  <c r="Y103" i="18"/>
  <c r="Y114" i="18"/>
  <c r="Y58" i="18"/>
  <c r="Y83" i="18"/>
  <c r="Y97" i="18"/>
  <c r="Y37" i="18"/>
  <c r="Y79" i="18"/>
  <c r="Y17" i="18"/>
  <c r="Y159" i="18"/>
  <c r="Y95" i="18"/>
  <c r="Y153" i="18"/>
  <c r="Y12" i="18"/>
  <c r="K143" i="45"/>
  <c r="K138" i="45"/>
  <c r="Y110" i="18"/>
  <c r="Y158" i="18"/>
  <c r="Y31" i="18"/>
  <c r="Y56" i="18"/>
  <c r="Y23" i="18"/>
  <c r="Y80" i="18"/>
  <c r="Y43" i="18"/>
  <c r="Y107" i="18"/>
  <c r="Y156" i="18"/>
  <c r="Y136" i="18"/>
  <c r="Y24" i="18"/>
  <c r="Y113" i="18"/>
  <c r="K145" i="45"/>
  <c r="L57" i="12"/>
  <c r="K57" i="12"/>
  <c r="J57" i="12"/>
  <c r="I57" i="12"/>
  <c r="K17" i="2"/>
  <c r="J17" i="2"/>
  <c r="K194" i="3"/>
  <c r="J194" i="3"/>
  <c r="K205" i="3"/>
  <c r="J205" i="3"/>
  <c r="J186" i="3"/>
  <c r="K186" i="3"/>
  <c r="K197" i="3"/>
  <c r="J197" i="3"/>
  <c r="K190" i="3"/>
  <c r="J190" i="3"/>
  <c r="K201" i="3"/>
  <c r="J201" i="3"/>
  <c r="K198" i="3"/>
  <c r="J198" i="3"/>
  <c r="K187" i="3"/>
  <c r="J187" i="3"/>
  <c r="J202" i="3"/>
  <c r="K202" i="3"/>
  <c r="K191" i="3"/>
  <c r="J191" i="3"/>
  <c r="K45" i="2"/>
  <c r="J45" i="2"/>
  <c r="K42" i="2"/>
  <c r="J42" i="2"/>
  <c r="K114" i="3"/>
  <c r="J114" i="3"/>
  <c r="K125" i="3"/>
  <c r="J125" i="3"/>
  <c r="K116" i="3"/>
  <c r="J116" i="3"/>
  <c r="J127" i="3"/>
  <c r="K127" i="3"/>
  <c r="K129" i="3"/>
  <c r="J129" i="3"/>
  <c r="J118" i="3"/>
  <c r="K118" i="3"/>
  <c r="K131" i="3"/>
  <c r="J131" i="3"/>
  <c r="K120" i="3"/>
  <c r="J120" i="3"/>
  <c r="K122" i="3"/>
  <c r="J122" i="3"/>
  <c r="J133" i="3"/>
  <c r="K133" i="3"/>
  <c r="K207" i="3"/>
  <c r="J207" i="3"/>
  <c r="J196" i="3"/>
  <c r="K196" i="3"/>
  <c r="K70" i="2"/>
  <c r="J70" i="2"/>
  <c r="L69" i="2"/>
  <c r="K69" i="2"/>
  <c r="J69" i="2"/>
  <c r="L72" i="2"/>
  <c r="K72" i="2"/>
  <c r="J72" i="2"/>
  <c r="H85" i="10"/>
  <c r="H79" i="10"/>
  <c r="H75" i="10"/>
  <c r="H83" i="10"/>
  <c r="H80" i="10"/>
  <c r="H76" i="10"/>
  <c r="H82" i="10"/>
  <c r="H78" i="10"/>
  <c r="H87" i="10"/>
  <c r="H84" i="10"/>
  <c r="E73" i="10"/>
  <c r="H86" i="10"/>
  <c r="H81" i="10"/>
  <c r="H77" i="10"/>
  <c r="H74" i="10"/>
  <c r="L55" i="12"/>
  <c r="J55" i="12"/>
  <c r="K55" i="12"/>
  <c r="I55" i="12"/>
  <c r="L56" i="12"/>
  <c r="K56" i="12"/>
  <c r="J56" i="12"/>
  <c r="I56" i="12"/>
  <c r="L54" i="12"/>
  <c r="K54" i="12"/>
  <c r="J54" i="12"/>
  <c r="I54" i="12"/>
  <c r="H42" i="10"/>
  <c r="H37" i="10"/>
  <c r="H33" i="10"/>
  <c r="H30" i="10"/>
  <c r="H40" i="10"/>
  <c r="E29" i="10"/>
  <c r="H35" i="10"/>
  <c r="H39" i="10"/>
  <c r="H41" i="10"/>
  <c r="H43" i="10"/>
  <c r="H31" i="10"/>
  <c r="H38" i="10"/>
  <c r="H36" i="10"/>
  <c r="H34" i="10"/>
  <c r="H32" i="10"/>
  <c r="H61" i="10"/>
  <c r="H58" i="10"/>
  <c r="H54" i="10"/>
  <c r="H64" i="10"/>
  <c r="H62" i="10"/>
  <c r="E51" i="10"/>
  <c r="H59" i="10"/>
  <c r="H55" i="10"/>
  <c r="H57" i="10"/>
  <c r="H53" i="10"/>
  <c r="H63" i="10"/>
  <c r="H52" i="10"/>
  <c r="H65" i="10"/>
  <c r="H56" i="10"/>
  <c r="H60" i="10"/>
  <c r="W20" i="13"/>
  <c r="V20" i="13"/>
  <c r="U20" i="13"/>
  <c r="K76" i="13"/>
  <c r="J76" i="13"/>
  <c r="I76" i="13"/>
  <c r="I146" i="13"/>
  <c r="K146" i="13"/>
  <c r="J146" i="13"/>
  <c r="K104" i="13"/>
  <c r="J104" i="13"/>
  <c r="I104" i="13"/>
  <c r="T23" i="14"/>
  <c r="S23" i="14"/>
  <c r="I48" i="13"/>
  <c r="K48" i="13"/>
  <c r="J48" i="13"/>
  <c r="J90" i="13"/>
  <c r="I90" i="13"/>
  <c r="K90" i="13"/>
  <c r="K118" i="13"/>
  <c r="J118" i="13"/>
  <c r="I118" i="13"/>
  <c r="I160" i="13"/>
  <c r="K160" i="13"/>
  <c r="J160" i="13"/>
  <c r="K34" i="13"/>
  <c r="I34" i="13"/>
  <c r="J34" i="13"/>
  <c r="K149" i="16"/>
  <c r="I149" i="16"/>
  <c r="J149" i="16"/>
  <c r="J35" i="16"/>
  <c r="K35" i="16"/>
  <c r="I35" i="16"/>
  <c r="K77" i="16"/>
  <c r="I77" i="16"/>
  <c r="J77" i="16"/>
  <c r="K51" i="16"/>
  <c r="J51" i="16"/>
  <c r="I51" i="16"/>
  <c r="J119" i="16"/>
  <c r="I119" i="16"/>
  <c r="K119" i="16"/>
  <c r="K93" i="16"/>
  <c r="J93" i="16"/>
  <c r="I93" i="16"/>
  <c r="K161" i="16"/>
  <c r="J161" i="16"/>
  <c r="I161" i="16"/>
  <c r="K135" i="16"/>
  <c r="I135" i="16"/>
  <c r="J135" i="16"/>
  <c r="K63" i="16"/>
  <c r="J63" i="16"/>
  <c r="I63" i="16"/>
  <c r="I37" i="16"/>
  <c r="K37" i="16"/>
  <c r="J37" i="16"/>
  <c r="J147" i="16"/>
  <c r="I147" i="16"/>
  <c r="K147" i="16"/>
  <c r="K121" i="16"/>
  <c r="J121" i="16"/>
  <c r="I121" i="16"/>
  <c r="K49" i="16"/>
  <c r="J49" i="16"/>
  <c r="I49" i="16"/>
  <c r="J79" i="16"/>
  <c r="I79" i="16"/>
  <c r="K79" i="16"/>
  <c r="K21" i="16"/>
  <c r="J21" i="16"/>
  <c r="I21" i="16"/>
  <c r="I105" i="16"/>
  <c r="K105" i="16"/>
  <c r="J105" i="16"/>
  <c r="K23" i="16"/>
  <c r="J23" i="16"/>
  <c r="I23" i="16"/>
  <c r="K107" i="16"/>
  <c r="J107" i="16"/>
  <c r="I107" i="16"/>
  <c r="K91" i="16"/>
  <c r="J91" i="16"/>
  <c r="I91" i="16"/>
  <c r="K65" i="16"/>
  <c r="J65" i="16"/>
  <c r="I65" i="16"/>
  <c r="K9" i="16"/>
  <c r="J9" i="16"/>
  <c r="I9" i="16"/>
  <c r="K133" i="16"/>
  <c r="J133" i="16"/>
  <c r="I133" i="16"/>
  <c r="M63" i="15"/>
  <c r="L63" i="15"/>
  <c r="K63" i="15"/>
  <c r="J63" i="15"/>
  <c r="I63" i="15"/>
  <c r="M161" i="15"/>
  <c r="L161" i="15"/>
  <c r="K161" i="15"/>
  <c r="J161" i="15"/>
  <c r="I161" i="15"/>
  <c r="M147" i="15"/>
  <c r="L147" i="15"/>
  <c r="K147" i="15"/>
  <c r="J147" i="15"/>
  <c r="I147" i="15"/>
  <c r="M133" i="15"/>
  <c r="L133" i="15"/>
  <c r="J133" i="15"/>
  <c r="I133" i="15"/>
  <c r="K133" i="15"/>
  <c r="M119" i="15"/>
  <c r="L119" i="15"/>
  <c r="K119" i="15"/>
  <c r="I119" i="15"/>
  <c r="J119" i="15"/>
  <c r="W9" i="16"/>
  <c r="V9" i="16"/>
  <c r="U9" i="16"/>
  <c r="Y21" i="15"/>
  <c r="X21" i="15"/>
  <c r="W21" i="15"/>
  <c r="M105" i="15"/>
  <c r="L105" i="15"/>
  <c r="K105" i="15"/>
  <c r="J105" i="15"/>
  <c r="I105" i="15"/>
  <c r="K65" i="17"/>
  <c r="J65" i="17"/>
  <c r="I65" i="17"/>
  <c r="K91" i="17"/>
  <c r="J91" i="17"/>
  <c r="I91" i="17"/>
  <c r="K161" i="17"/>
  <c r="J161" i="17"/>
  <c r="I161" i="17"/>
  <c r="I79" i="17"/>
  <c r="J79" i="17"/>
  <c r="K79" i="17"/>
  <c r="K105" i="17"/>
  <c r="J105" i="17"/>
  <c r="I105" i="17"/>
  <c r="J121" i="17"/>
  <c r="I121" i="17"/>
  <c r="K121" i="17"/>
  <c r="W9" i="17"/>
  <c r="V9" i="17"/>
  <c r="U9" i="17"/>
  <c r="K147" i="17"/>
  <c r="I147" i="17"/>
  <c r="J147" i="17"/>
  <c r="K93" i="17"/>
  <c r="J93" i="17"/>
  <c r="I93" i="17"/>
  <c r="K133" i="17"/>
  <c r="I133" i="17"/>
  <c r="J133" i="17"/>
  <c r="J107" i="17"/>
  <c r="K107" i="17"/>
  <c r="I107" i="17"/>
  <c r="K149" i="17"/>
  <c r="J149" i="17"/>
  <c r="I149" i="17"/>
  <c r="K119" i="17"/>
  <c r="J119" i="17"/>
  <c r="I119" i="17"/>
  <c r="K51" i="17"/>
  <c r="J51" i="17"/>
  <c r="I51" i="17"/>
  <c r="K77" i="17"/>
  <c r="J77" i="17"/>
  <c r="I77" i="17"/>
  <c r="K135" i="17"/>
  <c r="J135" i="17"/>
  <c r="I135" i="17"/>
  <c r="K35" i="17"/>
  <c r="J35" i="17"/>
  <c r="I35" i="17"/>
  <c r="R146" i="18"/>
  <c r="Q146" i="18"/>
  <c r="Q120" i="18"/>
  <c r="R120" i="18"/>
  <c r="R104" i="18"/>
  <c r="Q104" i="18"/>
  <c r="R160" i="18"/>
  <c r="Q160" i="18"/>
  <c r="R134" i="18"/>
  <c r="Q134" i="18"/>
  <c r="R118" i="18"/>
  <c r="Q118" i="18"/>
  <c r="Y22" i="18"/>
  <c r="X22" i="18"/>
  <c r="Y48" i="18"/>
  <c r="X48" i="18"/>
  <c r="J22" i="18"/>
  <c r="I22" i="18"/>
  <c r="J48" i="18"/>
  <c r="I48" i="18"/>
  <c r="Y64" i="18"/>
  <c r="X64" i="18"/>
  <c r="X90" i="18"/>
  <c r="Y90" i="18"/>
  <c r="Q92" i="18"/>
  <c r="R92" i="18"/>
  <c r="R132" i="18"/>
  <c r="Q132" i="18"/>
  <c r="J64" i="18"/>
  <c r="I64" i="18"/>
  <c r="J90" i="18"/>
  <c r="I90" i="18"/>
  <c r="J104" i="18"/>
  <c r="I104" i="18"/>
  <c r="R20" i="18"/>
  <c r="Q20" i="18"/>
  <c r="R36" i="18"/>
  <c r="Q36" i="18"/>
  <c r="Q62" i="18"/>
  <c r="R62" i="18"/>
  <c r="Y8" i="18"/>
  <c r="X8" i="18"/>
  <c r="Y34" i="18"/>
  <c r="X34" i="18"/>
  <c r="R78" i="18"/>
  <c r="Q78" i="18"/>
  <c r="Y106" i="18"/>
  <c r="X106" i="18"/>
  <c r="R148" i="18"/>
  <c r="Q148" i="18"/>
  <c r="J34" i="18"/>
  <c r="I34" i="18"/>
  <c r="Y50" i="18"/>
  <c r="X50" i="18"/>
  <c r="Y76" i="18"/>
  <c r="X76" i="18"/>
  <c r="Y160" i="18"/>
  <c r="X160" i="18"/>
  <c r="Y134" i="18"/>
  <c r="X134" i="18"/>
  <c r="X118" i="18"/>
  <c r="Y118" i="18"/>
  <c r="Y92" i="18"/>
  <c r="X92" i="18"/>
  <c r="Y148" i="18"/>
  <c r="X148" i="18"/>
  <c r="Y132" i="18"/>
  <c r="X132" i="18"/>
  <c r="Y146" i="18"/>
  <c r="X146" i="18"/>
  <c r="Y120" i="18"/>
  <c r="X120" i="18"/>
  <c r="J50" i="18"/>
  <c r="I50" i="18"/>
  <c r="J76" i="18"/>
  <c r="I76" i="18"/>
  <c r="J160" i="18"/>
  <c r="I160" i="18"/>
  <c r="J134" i="18"/>
  <c r="I134" i="18"/>
  <c r="J118" i="18"/>
  <c r="I118" i="18"/>
  <c r="J92" i="18"/>
  <c r="I92" i="18"/>
  <c r="J148" i="18"/>
  <c r="I148" i="18"/>
  <c r="J132" i="18"/>
  <c r="I132" i="18"/>
  <c r="J146" i="18"/>
  <c r="I146" i="18"/>
  <c r="R22" i="18"/>
  <c r="Q22" i="18"/>
  <c r="R48" i="18"/>
  <c r="Q48" i="18"/>
  <c r="Y20" i="18"/>
  <c r="X20" i="18"/>
  <c r="R64" i="18"/>
  <c r="Q64" i="18"/>
  <c r="R90" i="18"/>
  <c r="Q90" i="18"/>
  <c r="Y104" i="18"/>
  <c r="X104" i="18"/>
  <c r="J20" i="18"/>
  <c r="I20" i="18"/>
  <c r="Y36" i="18"/>
  <c r="X36" i="18"/>
  <c r="Y62" i="18"/>
  <c r="X62" i="18"/>
  <c r="J36" i="18"/>
  <c r="I36" i="18"/>
  <c r="J62" i="18"/>
  <c r="I62" i="18"/>
  <c r="Y78" i="18"/>
  <c r="X78" i="18"/>
  <c r="J78" i="18"/>
  <c r="I78" i="18"/>
  <c r="X35" i="19"/>
  <c r="Z7" i="19"/>
  <c r="T7" i="19"/>
  <c r="X161" i="19"/>
  <c r="X149" i="19"/>
  <c r="X147" i="19"/>
  <c r="X133" i="19"/>
  <c r="X107" i="19"/>
  <c r="X105" i="19"/>
  <c r="X79" i="19"/>
  <c r="X77" i="19"/>
  <c r="X121" i="19"/>
  <c r="X91" i="19"/>
  <c r="X51" i="19"/>
  <c r="X49" i="19"/>
  <c r="X23" i="19"/>
  <c r="X65" i="19"/>
  <c r="X135" i="19"/>
  <c r="X119" i="19"/>
  <c r="X63" i="19"/>
  <c r="X37" i="19"/>
  <c r="J161" i="19"/>
  <c r="I161" i="19"/>
  <c r="H161" i="19"/>
  <c r="J149" i="19"/>
  <c r="I149" i="19"/>
  <c r="H149" i="19"/>
  <c r="J147" i="19"/>
  <c r="I147" i="19"/>
  <c r="H147" i="19"/>
  <c r="J133" i="19"/>
  <c r="I133" i="19"/>
  <c r="H133" i="19"/>
  <c r="J107" i="19"/>
  <c r="I107" i="19"/>
  <c r="H107" i="19"/>
  <c r="J105" i="19"/>
  <c r="I105" i="19"/>
  <c r="H105" i="19"/>
  <c r="I79" i="19"/>
  <c r="H79" i="19"/>
  <c r="J79" i="19"/>
  <c r="J77" i="19"/>
  <c r="I77" i="19"/>
  <c r="H77" i="19"/>
  <c r="J135" i="19"/>
  <c r="I135" i="19"/>
  <c r="H135" i="19"/>
  <c r="J121" i="19"/>
  <c r="I121" i="19"/>
  <c r="H121" i="19"/>
  <c r="J93" i="19"/>
  <c r="I93" i="19"/>
  <c r="H93" i="19"/>
  <c r="J51" i="19"/>
  <c r="I51" i="19"/>
  <c r="H51" i="19"/>
  <c r="J49" i="19"/>
  <c r="I49" i="19"/>
  <c r="H49" i="19"/>
  <c r="J119" i="19"/>
  <c r="I119" i="19"/>
  <c r="H119" i="19"/>
  <c r="J65" i="19"/>
  <c r="I65" i="19"/>
  <c r="H65" i="19"/>
  <c r="J35" i="19"/>
  <c r="I35" i="19"/>
  <c r="H35" i="19"/>
  <c r="J91" i="19"/>
  <c r="I91" i="19"/>
  <c r="H91" i="19"/>
  <c r="X93" i="19"/>
  <c r="L149" i="19"/>
  <c r="L147" i="19"/>
  <c r="L133" i="19"/>
  <c r="L107" i="19"/>
  <c r="L105" i="19"/>
  <c r="L79" i="19"/>
  <c r="L77" i="19"/>
  <c r="L135" i="19"/>
  <c r="L121" i="19"/>
  <c r="L119" i="19"/>
  <c r="L161" i="19"/>
  <c r="L91" i="19"/>
  <c r="L63" i="19"/>
  <c r="L51" i="19"/>
  <c r="L93" i="19"/>
  <c r="L35" i="19"/>
  <c r="L23" i="19"/>
  <c r="L49" i="19"/>
  <c r="K7" i="19"/>
  <c r="L21" i="19"/>
  <c r="L9" i="19"/>
  <c r="L65" i="19"/>
  <c r="L37" i="19"/>
  <c r="R149" i="19"/>
  <c r="P149" i="19"/>
  <c r="R147" i="19"/>
  <c r="P147" i="19"/>
  <c r="R161" i="19"/>
  <c r="P161" i="19"/>
  <c r="R135" i="19"/>
  <c r="P135" i="19"/>
  <c r="R121" i="19"/>
  <c r="P121" i="19"/>
  <c r="R119" i="19"/>
  <c r="P119" i="19"/>
  <c r="R93" i="19"/>
  <c r="P93" i="19"/>
  <c r="R91" i="19"/>
  <c r="P91" i="19"/>
  <c r="R65" i="19"/>
  <c r="P65" i="19"/>
  <c r="R133" i="19"/>
  <c r="P133" i="19"/>
  <c r="R37" i="19"/>
  <c r="P37" i="19"/>
  <c r="R35" i="19"/>
  <c r="P35" i="19"/>
  <c r="R63" i="19"/>
  <c r="P63" i="19"/>
  <c r="R77" i="19"/>
  <c r="P77" i="19"/>
  <c r="R79" i="19"/>
  <c r="P79" i="19"/>
  <c r="R107" i="19"/>
  <c r="P107" i="19"/>
  <c r="R105" i="19"/>
  <c r="P105" i="19"/>
  <c r="X21" i="19"/>
  <c r="R49" i="19"/>
  <c r="P49" i="19"/>
  <c r="R23" i="19"/>
  <c r="P23" i="19"/>
  <c r="I37" i="19"/>
  <c r="J37" i="19"/>
  <c r="H37" i="19"/>
  <c r="H63" i="19"/>
  <c r="J63" i="19"/>
  <c r="I63" i="19"/>
  <c r="L77" i="22"/>
  <c r="K77" i="22"/>
  <c r="J77" i="22"/>
  <c r="K63" i="22"/>
  <c r="J63" i="22"/>
  <c r="L63" i="22"/>
  <c r="L161" i="22"/>
  <c r="K161" i="22"/>
  <c r="J161" i="22"/>
  <c r="L49" i="22"/>
  <c r="K49" i="22"/>
  <c r="J49" i="22"/>
  <c r="L147" i="22"/>
  <c r="K147" i="22"/>
  <c r="J147" i="22"/>
  <c r="K35" i="22"/>
  <c r="J35" i="22"/>
  <c r="L35" i="22"/>
  <c r="L133" i="22"/>
  <c r="K133" i="22"/>
  <c r="J133" i="22"/>
  <c r="L119" i="22"/>
  <c r="K119" i="22"/>
  <c r="J119" i="22"/>
  <c r="K105" i="22"/>
  <c r="J105" i="22"/>
  <c r="L105" i="22"/>
  <c r="L91" i="22"/>
  <c r="K91" i="22"/>
  <c r="J91" i="22"/>
  <c r="L21" i="22"/>
  <c r="K21" i="22"/>
  <c r="J21" i="22"/>
  <c r="R22" i="21"/>
  <c r="Q22" i="21"/>
  <c r="I134" i="21"/>
  <c r="H134" i="21"/>
  <c r="X21" i="22"/>
  <c r="W21" i="22"/>
  <c r="V21" i="22"/>
  <c r="I36" i="21"/>
  <c r="H36" i="21"/>
  <c r="I120" i="21"/>
  <c r="H120" i="21"/>
  <c r="I162" i="21"/>
  <c r="H162" i="21"/>
  <c r="I118" i="26"/>
  <c r="K118" i="26"/>
  <c r="J118" i="26"/>
  <c r="K146" i="26"/>
  <c r="J146" i="26"/>
  <c r="I146" i="26"/>
  <c r="J104" i="26"/>
  <c r="I104" i="26"/>
  <c r="K104" i="26"/>
  <c r="K76" i="27"/>
  <c r="J76" i="27"/>
  <c r="I76" i="27"/>
  <c r="K20" i="26"/>
  <c r="J20" i="26"/>
  <c r="I20" i="26"/>
  <c r="I48" i="27"/>
  <c r="K48" i="27"/>
  <c r="J48" i="27"/>
  <c r="K146" i="27"/>
  <c r="I146" i="27"/>
  <c r="J146" i="27"/>
  <c r="K20" i="27"/>
  <c r="J20" i="27"/>
  <c r="I20" i="27"/>
  <c r="J62" i="27"/>
  <c r="K62" i="27"/>
  <c r="I62" i="27"/>
  <c r="K104" i="27"/>
  <c r="I104" i="27"/>
  <c r="J104" i="27"/>
  <c r="K160" i="27"/>
  <c r="J160" i="27"/>
  <c r="I160" i="27"/>
  <c r="K90" i="27"/>
  <c r="J90" i="27"/>
  <c r="I90" i="27"/>
  <c r="K132" i="27"/>
  <c r="I132" i="27"/>
  <c r="J132" i="27"/>
  <c r="K118" i="27"/>
  <c r="J118" i="27"/>
  <c r="I118" i="27"/>
  <c r="J76" i="26"/>
  <c r="I76" i="26"/>
  <c r="K76" i="26"/>
  <c r="I132" i="26"/>
  <c r="K132" i="26"/>
  <c r="J132" i="26"/>
  <c r="K34" i="26"/>
  <c r="J34" i="26"/>
  <c r="I34" i="26"/>
  <c r="M146" i="28"/>
  <c r="L146" i="28"/>
  <c r="K146" i="28"/>
  <c r="J146" i="28"/>
  <c r="I146" i="28"/>
  <c r="M160" i="28"/>
  <c r="L160" i="28"/>
  <c r="I160" i="28"/>
  <c r="K160" i="28"/>
  <c r="J160" i="28"/>
  <c r="K76" i="28"/>
  <c r="J76" i="28"/>
  <c r="I76" i="28"/>
  <c r="M76" i="28"/>
  <c r="L76" i="28"/>
  <c r="J34" i="28"/>
  <c r="I34" i="28"/>
  <c r="M34" i="28"/>
  <c r="L34" i="28"/>
  <c r="K34" i="28"/>
  <c r="K20" i="28"/>
  <c r="I20" i="28"/>
  <c r="M20" i="28"/>
  <c r="L20" i="28"/>
  <c r="J20" i="28"/>
  <c r="M118" i="28"/>
  <c r="L118" i="28"/>
  <c r="K118" i="28"/>
  <c r="J118" i="28"/>
  <c r="I118" i="28"/>
  <c r="I48" i="28"/>
  <c r="M48" i="28"/>
  <c r="L48" i="28"/>
  <c r="K48" i="28"/>
  <c r="J48" i="28"/>
  <c r="J62" i="28"/>
  <c r="I62" i="28"/>
  <c r="M62" i="28"/>
  <c r="L62" i="28"/>
  <c r="K62" i="28"/>
  <c r="L129" i="39"/>
  <c r="K129" i="39"/>
  <c r="O129" i="39"/>
  <c r="N129" i="39"/>
  <c r="M129" i="39"/>
  <c r="L16" i="43"/>
  <c r="N16" i="43"/>
  <c r="M16" i="43"/>
  <c r="R16" i="43"/>
  <c r="Q16" i="43"/>
  <c r="P16" i="43"/>
  <c r="T16" i="43"/>
  <c r="S16" i="43"/>
  <c r="J16" i="43"/>
  <c r="H16" i="43"/>
  <c r="I16" i="43"/>
  <c r="O146" i="45"/>
  <c r="N146" i="45"/>
  <c r="M146" i="45"/>
  <c r="L146" i="45"/>
  <c r="I146" i="45"/>
  <c r="H146" i="45"/>
  <c r="K146" i="45" s="1"/>
  <c r="G146" i="45"/>
  <c r="E95" i="51" l="1"/>
  <c r="E161" i="51"/>
  <c r="C7" i="51"/>
  <c r="E73" i="51"/>
  <c r="E183" i="51"/>
  <c r="E205" i="51"/>
  <c r="E51" i="51"/>
  <c r="E139" i="51"/>
  <c r="E29" i="51"/>
  <c r="E117" i="51"/>
  <c r="E253" i="51"/>
  <c r="E227" i="51"/>
  <c r="E51" i="52"/>
  <c r="E29" i="52"/>
  <c r="C7" i="52"/>
  <c r="F8" i="52" s="1"/>
  <c r="E73" i="52"/>
  <c r="F8" i="50"/>
  <c r="C7" i="50"/>
  <c r="C227" i="49"/>
  <c r="D228" i="49" s="1"/>
  <c r="C139" i="49"/>
  <c r="D140" i="49" s="1"/>
  <c r="C29" i="49"/>
  <c r="D30" i="49" s="1"/>
  <c r="C271" i="49"/>
  <c r="D272" i="49" s="1"/>
  <c r="C183" i="49"/>
  <c r="D184" i="49" s="1"/>
  <c r="C73" i="49"/>
  <c r="D74" i="49" s="1"/>
  <c r="C95" i="49"/>
  <c r="D96" i="49" s="1"/>
  <c r="C249" i="49"/>
  <c r="D250" i="49" s="1"/>
  <c r="C161" i="49"/>
  <c r="D162" i="49" s="1"/>
  <c r="D8" i="49"/>
  <c r="C205" i="49"/>
  <c r="D206" i="49" s="1"/>
  <c r="C117" i="49"/>
  <c r="D118" i="49" s="1"/>
  <c r="C51" i="49"/>
  <c r="D52" i="49" s="1"/>
  <c r="K133" i="19"/>
  <c r="Q133" i="19" s="1"/>
  <c r="K107" i="19"/>
  <c r="Q107" i="19" s="1"/>
  <c r="K105" i="19"/>
  <c r="Q105" i="19" s="1"/>
  <c r="K79" i="19"/>
  <c r="Q79" i="19" s="1"/>
  <c r="K77" i="19"/>
  <c r="Q77" i="19" s="1"/>
  <c r="K149" i="19"/>
  <c r="Q149" i="19" s="1"/>
  <c r="K147" i="19"/>
  <c r="Q147" i="19" s="1"/>
  <c r="K161" i="19"/>
  <c r="Q161" i="19" s="1"/>
  <c r="K119" i="19"/>
  <c r="Q119" i="19" s="1"/>
  <c r="K37" i="19"/>
  <c r="Q37" i="19" s="1"/>
  <c r="K121" i="19"/>
  <c r="Q121" i="19" s="1"/>
  <c r="K91" i="19"/>
  <c r="Q91" i="19" s="1"/>
  <c r="K65" i="19"/>
  <c r="Q65" i="19" s="1"/>
  <c r="K93" i="19"/>
  <c r="Q93" i="19" s="1"/>
  <c r="K135" i="19"/>
  <c r="Q135" i="19" s="1"/>
  <c r="K51" i="19"/>
  <c r="Q51" i="19" s="1"/>
  <c r="K35" i="19"/>
  <c r="Q35" i="19" s="1"/>
  <c r="K23" i="19"/>
  <c r="Q23" i="19" s="1"/>
  <c r="K49" i="19"/>
  <c r="Q49" i="19" s="1"/>
  <c r="K21" i="19"/>
  <c r="Q21" i="19" s="1"/>
  <c r="K9" i="19"/>
  <c r="Q9" i="19" s="1"/>
  <c r="Q7" i="19"/>
  <c r="K63" i="19"/>
  <c r="Q63" i="19" s="1"/>
  <c r="U35" i="19"/>
  <c r="T161" i="19"/>
  <c r="T121" i="19"/>
  <c r="T119" i="19"/>
  <c r="T93" i="19"/>
  <c r="T91" i="19"/>
  <c r="T135" i="19"/>
  <c r="T147" i="19"/>
  <c r="T133" i="19"/>
  <c r="T107" i="19"/>
  <c r="T77" i="19"/>
  <c r="T63" i="19"/>
  <c r="T79" i="19"/>
  <c r="T65" i="19"/>
  <c r="T149" i="19"/>
  <c r="T105" i="19"/>
  <c r="T49" i="19"/>
  <c r="T9" i="19"/>
  <c r="T21" i="19"/>
  <c r="T37" i="19"/>
  <c r="T51" i="19"/>
  <c r="T23" i="19"/>
  <c r="S7" i="19"/>
  <c r="Y7" i="19" s="1"/>
  <c r="T35" i="19"/>
  <c r="U37" i="19"/>
  <c r="Z37" i="19" s="1"/>
  <c r="Z38" i="19"/>
  <c r="Z66" i="19"/>
  <c r="U65" i="19"/>
  <c r="Z65" i="19" s="1"/>
  <c r="U79" i="19"/>
  <c r="U21" i="19"/>
  <c r="U9" i="19"/>
  <c r="Z97" i="19"/>
  <c r="U105" i="19"/>
  <c r="Z105" i="19" s="1"/>
  <c r="Z69" i="19"/>
  <c r="U77" i="19"/>
  <c r="Z77" i="19" s="1"/>
  <c r="Z94" i="19"/>
  <c r="U93" i="19"/>
  <c r="Z93" i="19" s="1"/>
  <c r="Z108" i="19"/>
  <c r="U107" i="19"/>
  <c r="Z107" i="19" s="1"/>
  <c r="U149" i="19"/>
  <c r="Z149" i="19" s="1"/>
  <c r="Z150" i="19"/>
  <c r="U121" i="19"/>
  <c r="U23" i="19"/>
  <c r="U49" i="19"/>
  <c r="Z41" i="19"/>
  <c r="U51" i="19"/>
  <c r="Z51" i="19" s="1"/>
  <c r="Z52" i="19"/>
  <c r="Z83" i="19"/>
  <c r="U91" i="19"/>
  <c r="Z91" i="19" s="1"/>
  <c r="U63" i="19"/>
  <c r="Z63" i="19" s="1"/>
  <c r="Z55" i="19"/>
  <c r="Z111" i="19"/>
  <c r="U119" i="19"/>
  <c r="Z119" i="19" s="1"/>
  <c r="Z125" i="19"/>
  <c r="U133" i="19"/>
  <c r="Z133" i="19" s="1"/>
  <c r="U147" i="19"/>
  <c r="U135" i="19"/>
  <c r="U161" i="19"/>
  <c r="Z161" i="19" s="1"/>
  <c r="Z153" i="19"/>
  <c r="F61" i="10"/>
  <c r="F58" i="10"/>
  <c r="F54" i="10"/>
  <c r="F56" i="10"/>
  <c r="F60" i="10"/>
  <c r="F62" i="10"/>
  <c r="F64" i="10"/>
  <c r="C51" i="10"/>
  <c r="D52" i="10" s="1"/>
  <c r="F59" i="10"/>
  <c r="F55" i="10"/>
  <c r="F57" i="10"/>
  <c r="F53" i="10"/>
  <c r="F52" i="10"/>
  <c r="F63" i="10"/>
  <c r="F65" i="10"/>
  <c r="F39" i="10"/>
  <c r="F36" i="10"/>
  <c r="F32" i="10"/>
  <c r="F42" i="10"/>
  <c r="F30" i="10"/>
  <c r="F37" i="10"/>
  <c r="C29" i="10"/>
  <c r="F35" i="10"/>
  <c r="F33" i="10"/>
  <c r="F41" i="10"/>
  <c r="F43" i="10"/>
  <c r="F31" i="10"/>
  <c r="F38" i="10"/>
  <c r="F40" i="10"/>
  <c r="F34" i="10"/>
  <c r="F82" i="10"/>
  <c r="C73" i="10"/>
  <c r="D74" i="10" s="1"/>
  <c r="F85" i="10"/>
  <c r="F79" i="10"/>
  <c r="F75" i="10"/>
  <c r="F87" i="10"/>
  <c r="F74" i="10"/>
  <c r="F80" i="10"/>
  <c r="F76" i="10"/>
  <c r="F78" i="10"/>
  <c r="F84" i="10"/>
  <c r="F86" i="10"/>
  <c r="F81" i="10"/>
  <c r="F77" i="10"/>
  <c r="F83" i="10"/>
  <c r="C183" i="51" l="1"/>
  <c r="D184" i="51" s="1"/>
  <c r="C161" i="51"/>
  <c r="D162" i="51" s="1"/>
  <c r="C253" i="51"/>
  <c r="D254" i="51" s="1"/>
  <c r="C95" i="51"/>
  <c r="D96" i="51" s="1"/>
  <c r="C139" i="51"/>
  <c r="D140" i="51" s="1"/>
  <c r="C227" i="51"/>
  <c r="D228" i="51" s="1"/>
  <c r="C73" i="51"/>
  <c r="D74" i="51" s="1"/>
  <c r="C51" i="51"/>
  <c r="D52" i="51" s="1"/>
  <c r="F8" i="51"/>
  <c r="C29" i="51"/>
  <c r="D30" i="51" s="1"/>
  <c r="C117" i="51"/>
  <c r="D118" i="51" s="1"/>
  <c r="D8" i="51"/>
  <c r="C205" i="51"/>
  <c r="D206" i="51" s="1"/>
  <c r="C51" i="52"/>
  <c r="D52" i="52" s="1"/>
  <c r="C73" i="52"/>
  <c r="D74" i="52" s="1"/>
  <c r="D8" i="52"/>
  <c r="C29" i="52"/>
  <c r="D30" i="52" s="1"/>
  <c r="H74" i="52"/>
  <c r="H52" i="52"/>
  <c r="H30" i="52"/>
  <c r="E73" i="50"/>
  <c r="F74" i="50" s="1"/>
  <c r="C73" i="50"/>
  <c r="D74" i="50" s="1"/>
  <c r="E51" i="50"/>
  <c r="F52" i="50" s="1"/>
  <c r="C51" i="50"/>
  <c r="D52" i="50" s="1"/>
  <c r="D8" i="50"/>
  <c r="E29" i="50"/>
  <c r="F30" i="50" s="1"/>
  <c r="C29" i="50"/>
  <c r="D30" i="50" s="1"/>
  <c r="Z9" i="19"/>
  <c r="Z160" i="19"/>
  <c r="Z34" i="19"/>
  <c r="Z104" i="19"/>
  <c r="Z86" i="19"/>
  <c r="Z29" i="19"/>
  <c r="Z114" i="19"/>
  <c r="Z159" i="19"/>
  <c r="Z123" i="19"/>
  <c r="Z32" i="19"/>
  <c r="Z110" i="19"/>
  <c r="Z82" i="19"/>
  <c r="Z20" i="19"/>
  <c r="Z99" i="19"/>
  <c r="Z157" i="19"/>
  <c r="Z118" i="19"/>
  <c r="Z30" i="19"/>
  <c r="Z62" i="19"/>
  <c r="Z132" i="19"/>
  <c r="Z124" i="19"/>
  <c r="Z11" i="19"/>
  <c r="Z155" i="19"/>
  <c r="Z154" i="19"/>
  <c r="Z28" i="19"/>
  <c r="Z75" i="19"/>
  <c r="Z129" i="19"/>
  <c r="Z18" i="19"/>
  <c r="Z70" i="19"/>
  <c r="Z158" i="19"/>
  <c r="Z151" i="19"/>
  <c r="Z141" i="19"/>
  <c r="Z26" i="19"/>
  <c r="Z89" i="19"/>
  <c r="Z126" i="19"/>
  <c r="Z31" i="19"/>
  <c r="Z59" i="19"/>
  <c r="Z116" i="19"/>
  <c r="Z146" i="19"/>
  <c r="Z156" i="19"/>
  <c r="Z19" i="19"/>
  <c r="Z85" i="19"/>
  <c r="Z115" i="19"/>
  <c r="Z12" i="19"/>
  <c r="Z14" i="19"/>
  <c r="Z101" i="19"/>
  <c r="Z144" i="19"/>
  <c r="Z143" i="19"/>
  <c r="Z17" i="19"/>
  <c r="Z81" i="19"/>
  <c r="Z117" i="19"/>
  <c r="Z61" i="19"/>
  <c r="Z142" i="19"/>
  <c r="Z98" i="19"/>
  <c r="Z15" i="19"/>
  <c r="Z74" i="19"/>
  <c r="Z103" i="19"/>
  <c r="Z40" i="19"/>
  <c r="Z87" i="19"/>
  <c r="Z140" i="19"/>
  <c r="Z71" i="19"/>
  <c r="Z73" i="19"/>
  <c r="Z57" i="19"/>
  <c r="Z95" i="19"/>
  <c r="Z102" i="19"/>
  <c r="Z138" i="19"/>
  <c r="Z68" i="19"/>
  <c r="Z130" i="19"/>
  <c r="Z53" i="19"/>
  <c r="Z113" i="19"/>
  <c r="Z56" i="19"/>
  <c r="Z112" i="19"/>
  <c r="Z137" i="19"/>
  <c r="Z109" i="19"/>
  <c r="Z127" i="19"/>
  <c r="Z48" i="19"/>
  <c r="Z60" i="19"/>
  <c r="Z16" i="19"/>
  <c r="Z152" i="19"/>
  <c r="Z47" i="19"/>
  <c r="Z96" i="19"/>
  <c r="Z44" i="19"/>
  <c r="Z76" i="19"/>
  <c r="Z88" i="19"/>
  <c r="Z128" i="19"/>
  <c r="Z45" i="19"/>
  <c r="Z72" i="19"/>
  <c r="Z42" i="19"/>
  <c r="Z67" i="19"/>
  <c r="Z33" i="19"/>
  <c r="Z145" i="19"/>
  <c r="Z43" i="19"/>
  <c r="Z58" i="19"/>
  <c r="Z100" i="19"/>
  <c r="Z84" i="19"/>
  <c r="Z25" i="19"/>
  <c r="Z131" i="19"/>
  <c r="Z39" i="19"/>
  <c r="Z90" i="19"/>
  <c r="Z54" i="19"/>
  <c r="Z46" i="19"/>
  <c r="Z49" i="19"/>
  <c r="Z10" i="19"/>
  <c r="Z35" i="19"/>
  <c r="Z136" i="19"/>
  <c r="Z23" i="19"/>
  <c r="Z13" i="19"/>
  <c r="Z27" i="19"/>
  <c r="Z135" i="19"/>
  <c r="Z24" i="19"/>
  <c r="Z21" i="19"/>
  <c r="Z147" i="19"/>
  <c r="Z122" i="19"/>
  <c r="Z79" i="19"/>
  <c r="Z139" i="19"/>
  <c r="Z121" i="19"/>
  <c r="Z80" i="19"/>
  <c r="D30" i="10"/>
  <c r="S149" i="19"/>
  <c r="Y149" i="19" s="1"/>
  <c r="S121" i="19"/>
  <c r="Y121" i="19" s="1"/>
  <c r="S119" i="19"/>
  <c r="Y119" i="19" s="1"/>
  <c r="S93" i="19"/>
  <c r="Y93" i="19" s="1"/>
  <c r="S91" i="19"/>
  <c r="Y91" i="19" s="1"/>
  <c r="S135" i="19"/>
  <c r="Y135" i="19" s="1"/>
  <c r="S161" i="19"/>
  <c r="Y161" i="19" s="1"/>
  <c r="S147" i="19"/>
  <c r="Y147" i="19" s="1"/>
  <c r="S133" i="19"/>
  <c r="Y133" i="19" s="1"/>
  <c r="S77" i="19"/>
  <c r="Y77" i="19" s="1"/>
  <c r="S51" i="19"/>
  <c r="Y51" i="19" s="1"/>
  <c r="S49" i="19"/>
  <c r="Y49" i="19" s="1"/>
  <c r="S79" i="19"/>
  <c r="Y79" i="19" s="1"/>
  <c r="S65" i="19"/>
  <c r="Y65" i="19" s="1"/>
  <c r="S107" i="19"/>
  <c r="Y107" i="19" s="1"/>
  <c r="S105" i="19"/>
  <c r="Y105" i="19" s="1"/>
  <c r="S9" i="19"/>
  <c r="Y9" i="19" s="1"/>
  <c r="S21" i="19"/>
  <c r="Y21" i="19" s="1"/>
  <c r="S37" i="19"/>
  <c r="Y37" i="19" s="1"/>
  <c r="S35" i="19"/>
  <c r="Y35" i="19" s="1"/>
  <c r="S63" i="19"/>
  <c r="Y63" i="19" s="1"/>
  <c r="S23" i="19"/>
  <c r="Y23" i="19" s="1"/>
  <c r="F52" i="52" l="1"/>
  <c r="F74" i="52"/>
  <c r="F30" i="52"/>
</calcChain>
</file>

<file path=xl/sharedStrings.xml><?xml version="1.0" encoding="utf-8"?>
<sst xmlns="http://schemas.openxmlformats.org/spreadsheetml/2006/main" count="5967" uniqueCount="318">
  <si>
    <t>Total</t>
  </si>
  <si>
    <t>Estadísticas indicadores alojativos</t>
  </si>
  <si>
    <t>Comparativa Canarias e islas</t>
  </si>
  <si>
    <t>Resumen indicadores municipios Tenerife</t>
  </si>
  <si>
    <t>Oferta alojativa en funcionamiento</t>
  </si>
  <si>
    <t>Plazas alojativas Tenerife y municipios</t>
  </si>
  <si>
    <t>Establecimientos alojativos Tenerife y municipios</t>
  </si>
  <si>
    <t>Indicadores alojativos hotel + apartamento</t>
  </si>
  <si>
    <t>Viajeros entrados</t>
  </si>
  <si>
    <t>Viajeros peninsulares entrados en los hoteles y apartamentos de Tenerife por municipio de alojamiento - acumulado</t>
  </si>
  <si>
    <t xml:space="preserve">Viajeros entrados en los establecimientos alojativos de Tenerife por municipio y categoría </t>
  </si>
  <si>
    <t>Viajeros entrados en los establecimientos alojativos de Tenerife según lugar de residencia y municipio de alojamiento - año</t>
  </si>
  <si>
    <t>Viajeros entrados en los establecimientos alojativos de Tenerife según lugar de residencia y municipio de alojamiento - mes</t>
  </si>
  <si>
    <t>Viajeros entrados en los establecimientos alojativos de Tenerife según lugar de residencia y municipio de alojamiento - acumulado</t>
  </si>
  <si>
    <t>Viajeros entrados en los hoteles de Tenerife según lugar de residencia y municipio de alojamiento - acumulado</t>
  </si>
  <si>
    <t>Viajeros entrados en los apartamentos de Tenerife según lugar de residencia y municipio de alojamiento - acumulado</t>
  </si>
  <si>
    <t>Viajeros entrados en los establecimientos hoteleros de Tenerife según lugar de residencia, categoría y municipio del alojamiento - acumulado</t>
  </si>
  <si>
    <t>Viajeros entrados en los establecimientos hoteleros de Tenerife según lugar de residencia, categoría y municipio del alojamiento - año</t>
  </si>
  <si>
    <t>Viajeros alojados</t>
  </si>
  <si>
    <t>Viajeros alojados en los establecimientos alojativos de Tenerife según lugar de residencia y municipio de alojamiento - mes</t>
  </si>
  <si>
    <t>Viajeros alojados en los establecimientos alojativos de Tenerife según lugar de residencia y municipio de alojamiento - acumulado</t>
  </si>
  <si>
    <t>Pernoctaciones</t>
  </si>
  <si>
    <t>Estancia media</t>
  </si>
  <si>
    <t>Tasa de ocupación</t>
  </si>
  <si>
    <t>indicadores rentabilidad</t>
  </si>
  <si>
    <t xml:space="preserve">Indicadores de rentabilidad:Tarifa media diaria (ADR); ingresos por habitación disponible (RevPAR); ingresos totales en los establecimientos alojativos Tenerife por municipio  (hotel + apartamento) </t>
  </si>
  <si>
    <t>Tarifa media diaria (ADR) Tenerife y municipios</t>
  </si>
  <si>
    <t>Ingresos medios por habitación (RevPar) Tenerife y municipios</t>
  </si>
  <si>
    <t>Viajeros españoles entrados en hoteles y apartamentos</t>
  </si>
  <si>
    <t>Viajeros españoles entrados en los hoteles y apartamentos de Tenerife por municipio de alojamiento</t>
  </si>
  <si>
    <t>Viajeros peninsulares entrados en los hoteles y apartamentos de Tenerife por municipio de alojamiento</t>
  </si>
  <si>
    <t>Viajeros canarios entrados en los hoteles y apartamentos de Tenerife por municipio de alojamiento</t>
  </si>
  <si>
    <t>total</t>
  </si>
  <si>
    <t>hoteleros</t>
  </si>
  <si>
    <t>apartamentos</t>
  </si>
  <si>
    <t>Viajeros alojados*</t>
  </si>
  <si>
    <t>Ocupación por plaza</t>
  </si>
  <si>
    <t>Plazas estimadas en el mes</t>
  </si>
  <si>
    <t>*dato publicado ISTAC
FUENTE: Encuestas Alojamientos Turísticos (ISTAC). ELABORACIÓN: Turismo de Tenerife.</t>
  </si>
  <si>
    <t>Plazas estimadas
promedio</t>
  </si>
  <si>
    <t>*dato calculado viajeros alodos periodo=viajeros alojados en enero + SUM(viajeros entrados febrero hasta mes actual)
FUENTE: Encuestas Alojamientos Turísticos (ISTAC). ELABORACIÓN: Turismo de Tenerife.</t>
  </si>
  <si>
    <t>Plazas estimadas
Promedio anual</t>
  </si>
  <si>
    <t>Nota: el ISTAC solo oferce información de desagregada de los municipios que figuran en las tablas. 
Para cualquier consulta contactar con ISTAC a través del correo consultas.istac@gobiernodecanarias.org</t>
  </si>
  <si>
    <t>Resumen de indicadores turísticos municipios turísticos de Tenerife</t>
  </si>
  <si>
    <t>INDICADORES TURÍSTICOS</t>
  </si>
  <si>
    <t>Tenerife</t>
  </si>
  <si>
    <t>Adeje</t>
  </si>
  <si>
    <t>Arona</t>
  </si>
  <si>
    <t>Granadilla de Abona</t>
  </si>
  <si>
    <t>Guía de Isora</t>
  </si>
  <si>
    <t>Puerto de la Cruz</t>
  </si>
  <si>
    <t>San Cristóbal de La Laguna</t>
  </si>
  <si>
    <t>San Miguel de Abona</t>
  </si>
  <si>
    <t>Santa Cruz de Tenerife</t>
  </si>
  <si>
    <t>Santiago del Teide</t>
  </si>
  <si>
    <t>Resto de Tenerife</t>
  </si>
  <si>
    <t>Plazas estimadas del mes</t>
  </si>
  <si>
    <t>FUENTE: Encuestas Alojamientos Turísticos (ISTAC). ELABORACIÓN: Turismo de Tenerife.</t>
  </si>
  <si>
    <t>Resumen de indicadores turísticos Canarias e islas</t>
  </si>
  <si>
    <t>Plazas estimadas
promedio anual</t>
  </si>
  <si>
    <t>Promedio anual de plazas en funcionamiento</t>
  </si>
  <si>
    <t>plazas en funcionamiento en el mes</t>
  </si>
  <si>
    <t>Hotel</t>
  </si>
  <si>
    <t>4, 5 Estrellas</t>
  </si>
  <si>
    <t>1, 2, 3 Estrellas</t>
  </si>
  <si>
    <t>Apartamento</t>
  </si>
  <si>
    <t>Promedio anual de establecimientos en funcionamiento</t>
  </si>
  <si>
    <t>establecimientos en funcionamiento en el mes</t>
  </si>
  <si>
    <t>año 2020: 1.627.003 (-68,0%)</t>
  </si>
  <si>
    <t>acumulado diciembre 2021: 2.384.391 (46,6%)</t>
  </si>
  <si>
    <t>Total lugares de residencia</t>
  </si>
  <si>
    <t>dato</t>
  </si>
  <si>
    <t>ene</t>
  </si>
  <si>
    <t>Enero</t>
  </si>
  <si>
    <t>feb</t>
  </si>
  <si>
    <t>Febrero</t>
  </si>
  <si>
    <t>mar</t>
  </si>
  <si>
    <t>Marzo</t>
  </si>
  <si>
    <t>abr</t>
  </si>
  <si>
    <t>Abril</t>
  </si>
  <si>
    <t>may</t>
  </si>
  <si>
    <t>Mayo</t>
  </si>
  <si>
    <t>jun</t>
  </si>
  <si>
    <t>Junio</t>
  </si>
  <si>
    <t>jul</t>
  </si>
  <si>
    <t>Julio</t>
  </si>
  <si>
    <t>ago</t>
  </si>
  <si>
    <t>Agosto</t>
  </si>
  <si>
    <t>sep</t>
  </si>
  <si>
    <t>Septiembre</t>
  </si>
  <si>
    <t>oct</t>
  </si>
  <si>
    <t>Octubre</t>
  </si>
  <si>
    <t>nov</t>
  </si>
  <si>
    <t>Noviembre</t>
  </si>
  <si>
    <t>dic</t>
  </si>
  <si>
    <t>Diciembre</t>
  </si>
  <si>
    <t>año 2020: 491.164 (-58,4%)</t>
  </si>
  <si>
    <t>acumulado diciembre 2021: 846.190 (72,3%)</t>
  </si>
  <si>
    <t>España</t>
  </si>
  <si>
    <t>Total residentes en España</t>
  </si>
  <si>
    <t>año 2020: 256.364 (-61,2%)</t>
  </si>
  <si>
    <t>acumulado diciembre 2021: 401.165 (56,5%)</t>
  </si>
  <si>
    <t>Península</t>
  </si>
  <si>
    <t>año 2020: 234.800 (-54,8%)</t>
  </si>
  <si>
    <t>acumulado diciembre 2021: 445.025 (89,5%)</t>
  </si>
  <si>
    <t>Canarias</t>
  </si>
  <si>
    <t>año 2020: 1.135.839 (-70,9%)</t>
  </si>
  <si>
    <t>acumulado diciembre 2021: 1.538.201 (35,4%)</t>
  </si>
  <si>
    <t>Mundo (excluida España)</t>
  </si>
  <si>
    <t>Total residentes en el extranjero</t>
  </si>
  <si>
    <t>año 2020: 443.259 (-75,1%)</t>
  </si>
  <si>
    <t>acumulado diciembre 2021: 443.278 (0,0%)</t>
  </si>
  <si>
    <t>Reino Unido</t>
  </si>
  <si>
    <t>año 2020: 140.489 (-72,1%)</t>
  </si>
  <si>
    <t>acumulado diciembre 2021: 218.298 (55,4%)</t>
  </si>
  <si>
    <t>Alemania</t>
  </si>
  <si>
    <t>año 2020: 60.127 (-65,0%)</t>
  </si>
  <si>
    <t>acumulado diciembre 2021: 133.006 (121,2%)</t>
  </si>
  <si>
    <t>Francia</t>
  </si>
  <si>
    <t>año 2020: 55.839 (-58,8%)</t>
  </si>
  <si>
    <t>acumulado diciembre 2021: 93.108 (66,7%)</t>
  </si>
  <si>
    <t>Bélgica</t>
  </si>
  <si>
    <t>junio</t>
  </si>
  <si>
    <t>año 2020: 40.096 (-72,1%)</t>
  </si>
  <si>
    <t>acumulado diciembre 2021: 93.513 (133,2%)</t>
  </si>
  <si>
    <t>Países Bajos</t>
  </si>
  <si>
    <t>año 2020: 36.855 (-72,9%)</t>
  </si>
  <si>
    <t>acumulado diciembre 2021: 74.437 (102,0%)</t>
  </si>
  <si>
    <t>año 2020: 27.669 (-76,0%)</t>
  </si>
  <si>
    <t>acumulado diciembre 2021: 42.846 (54,9%)</t>
  </si>
  <si>
    <t>Dinamarca</t>
  </si>
  <si>
    <t>año 2020: 12.033 (-72,1%)</t>
  </si>
  <si>
    <t>acumulado diciembre 2021: 30.544 (153,8%)</t>
  </si>
  <si>
    <t>Suecia</t>
  </si>
  <si>
    <t>Total categorías</t>
  </si>
  <si>
    <t>var 16/15</t>
  </si>
  <si>
    <t>var 17/16</t>
  </si>
  <si>
    <t>var 18/17</t>
  </si>
  <si>
    <t>var 22/21</t>
  </si>
  <si>
    <t>hoteles</t>
  </si>
  <si>
    <t>viajeros entrados</t>
  </si>
  <si>
    <t>var interanual</t>
  </si>
  <si>
    <t>4, 5 estrellas</t>
  </si>
  <si>
    <t>Evolución de viajeros entrados en los hoteles de 4 estrellas de Tenerife</t>
  </si>
  <si>
    <t>1, 2, 3 estrellas</t>
  </si>
  <si>
    <t>Viajeros entrados en los establecimientos alojativos de Tenerife por municipio y categoría 
(hotel + apartamento)</t>
  </si>
  <si>
    <t>Holanda</t>
  </si>
  <si>
    <t>Otros países</t>
  </si>
  <si>
    <t>Mundo (Excluida España)</t>
  </si>
  <si>
    <t>año 2020: 165.282 (-66,0%)</t>
  </si>
  <si>
    <t>acumulado diciembre 2021: 310.940 (88,1%)</t>
  </si>
  <si>
    <t>4 y 5 estrellas</t>
  </si>
  <si>
    <t>año 2020: 0 (-39,9%)</t>
  </si>
  <si>
    <t>acumulado diciembre 2021: 1 (57,7%)</t>
  </si>
  <si>
    <t>Total establecimientos alojativos (hotel + apartamento)</t>
  </si>
  <si>
    <t>año 2020: 0 (-39,0%)</t>
  </si>
  <si>
    <t>acumulado diciembre 2021: 1 (13,3%)</t>
  </si>
  <si>
    <t>año 2020: 0 (-36,7%)</t>
  </si>
  <si>
    <t>acumulado diciembre 2021: 1 (20,6%)</t>
  </si>
  <si>
    <t>año 2020: 0 (-39,4%)</t>
  </si>
  <si>
    <t>acumulado diciembre 2021: 1 (13,1%)</t>
  </si>
  <si>
    <t>i</t>
  </si>
  <si>
    <t xml:space="preserve">Tarifa media diaria ADR por habitación en los establecimientos alojativos Tenerife por municipio  (hotel + apartamento) </t>
  </si>
  <si>
    <t>Ingresos por habitación disponible (RevPAR) en los establecimientos alojativos de Tenerife por municipio  (hotel + apartamento)</t>
  </si>
  <si>
    <t>Ingresos totales en los establecimientos alojativos de Tenerife por municipio  (hotel + apartamento)</t>
  </si>
  <si>
    <t>El ADR o Tarifa Media Diaria son los ingresos medios diarios obtenidos por habitación-apartamento ocupado. Los ingresos hacen referencia a aquellos percibidos por los hoteleros por la prestación del servicio de alojamiento, sin incluir otro tipo de servicios que sí pueda ofrecer el establecimiento.</t>
  </si>
  <si>
    <t>El RevPar o Ingreso por Habitación-Apartamento Disponible son los ingresos medios diarios obtenidos por habitación-apartamento disponible. Los ingresos hacen referencia a aquellos percibidos por los hoteleros por la prestación del servicio de alojamiento, sin incluir otro tipo de servicios que sí pueda ofrecer el establecimiento.</t>
  </si>
  <si>
    <t>Los Ingresos totales son el producto del ADR por las habitaciones ocupadas</t>
  </si>
  <si>
    <t>Los datos del acumulado están calculados como la división entre el aumulado de los ingresos y el acumulados de las habitaciones ocupadas</t>
  </si>
  <si>
    <t>Los datos del acumulado están calculados como la división entre el aumulado de los ingresos y el acumulados de las habitaciones disponibles</t>
  </si>
  <si>
    <t xml:space="preserve">Tarifa media diaria ADR por habitación en los establecimientos alojativos Canarias e islas  (hotel + apartamento) </t>
  </si>
  <si>
    <t>Ingresos por habitación disponible (RevPAR) en los establecimientos alojativos Canarias e islas  (hotel + apartamento)</t>
  </si>
  <si>
    <t>Ingresos totales en los establecimientos alojativos Canarias e islas  (hotel + apartamento)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</si>
  <si>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</si>
  <si>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</si>
  <si>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</si>
  <si>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</si>
  <si>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</si>
  <si>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</si>
  <si>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</si>
  <si>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</si>
  <si>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</si>
  <si>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</si>
  <si>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FUENTE: Desarrollo Económico, Cabildo Insular de Tenerife. ELABORACIÓN: Turismo de Tenerife.</t>
  </si>
  <si>
    <t>Alojados 
extrahoteleros</t>
  </si>
  <si>
    <t>Turismo español alojado en Tenerife por lugar de residencia</t>
  </si>
  <si>
    <t>%/s total España</t>
  </si>
  <si>
    <t>%/ total turistas</t>
  </si>
  <si>
    <t>Var. Interanual</t>
  </si>
  <si>
    <t>diferencia</t>
  </si>
  <si>
    <t>Distribución de viajeros peninsulares entrados en hoteles y apartamentos de Tenerife por lugar categoría del alojamiento</t>
  </si>
  <si>
    <t>Total viajeros españoles</t>
  </si>
  <si>
    <t>Hoteles</t>
  </si>
  <si>
    <t>Apartamentos</t>
  </si>
  <si>
    <t>,</t>
  </si>
  <si>
    <t>Viajeros españoles entrados en los hoteles y apartamentos de Tenerife por tipología y categoría de alojamiento</t>
  </si>
  <si>
    <t xml:space="preserve">Observación: en 2022 no se publica desagregación por categorías
FUENTE: Desarrollo Económico, Cabildo Insular de Tenerife. ELABORACIÓN: Turismo de Tenerife. </t>
  </si>
  <si>
    <t>Total viajeros peninsulares</t>
  </si>
  <si>
    <t>Viajeros peninsulares entrados en los hoteles y apartamentos de Tenerife por tipología y categoría de alojamiento</t>
  </si>
  <si>
    <t>Total viajeros canarios</t>
  </si>
  <si>
    <t>Viajeros canarios entrados en los hoteles y apartamentos de Tenerife por tipología y categoría de alojamiento</t>
  </si>
  <si>
    <t>Distribución de viajeros españoles entrados en hoteles y apartamentos de Tenerife por municipio de alojamiento</t>
  </si>
  <si>
    <t>Total Tenerife</t>
  </si>
  <si>
    <t>Resto de municipios de Tenerife</t>
  </si>
  <si>
    <t>Distribución de viajeros peninsulares entrados en hoteles y apartamentos de Tenerife por municipio de alojamiento</t>
  </si>
  <si>
    <t>Distribución de viajeros canarios entrados en hoteles y apartamentos de Tenerife por municipio de alojamiento</t>
  </si>
  <si>
    <t>Españoles</t>
  </si>
  <si>
    <t>peninsulares</t>
  </si>
  <si>
    <t>Canarios</t>
  </si>
  <si>
    <t>Acumulado junio 2025</t>
  </si>
  <si>
    <t>Resumen indicadores San Cristóbal de La Laguna</t>
  </si>
  <si>
    <t>Evolución mensual de viajeros entrados en San Cristóbal de La Laguna según lugar de residencia</t>
  </si>
  <si>
    <t>Evolución mensual de viajeros entrados en San Cristóbal de La Laguna según categoría del establecimiento</t>
  </si>
  <si>
    <t>Evolución anual de viajeros entrados en San Cristóbal de La Laguna según categoría del establecimiento</t>
  </si>
  <si>
    <t>Evolución mensual de pernoctaciones en San Cristóbal de La Laguna según lugar de residencia</t>
  </si>
  <si>
    <t>Evolución mensual de pernoctaciones en San Cristóbal de La Laguna según categoría del establecimiento</t>
  </si>
  <si>
    <t>Evolución mensual de estancia media en San Cristóbal de La Laguna según lugar de residencia</t>
  </si>
  <si>
    <t>Evolución mensual de estancia media en San Cristóbal de La Laguna según categoría del establecimiento</t>
  </si>
  <si>
    <t>Evolución mensual de tasa de ocupación en San Cristóbal de La Laguna según categoría del establecimiento</t>
  </si>
  <si>
    <t>Viajeros españoles entrados en los hoteles y apartamentos de San Cristóbal de La Laguna según lugar de residencia - acumulado</t>
  </si>
  <si>
    <t>Viajeros españoles entrados en los hoteles y apartamentos de San Cristóbal de La Laguna por tipología y categoría de alojamiento - acumulado</t>
  </si>
  <si>
    <t>Viajeros peninsulares entrados en los hoteles y apartamentos de San Cristóbal de La Laguna por tipología y categoría de alojamiento - acumulado</t>
  </si>
  <si>
    <t>Viajeros canarios entrados en los hoteles y apartamentos de San Cristóbal de La Laguna por tipología y categoría de alojamiento - acumulado</t>
  </si>
  <si>
    <t>Resumen de indicadores turísticos de Tenerife-San Cristóbal de La Laguna</t>
  </si>
  <si>
    <t>junio 2021</t>
  </si>
  <si>
    <t>junio 2022</t>
  </si>
  <si>
    <t>junio 2023</t>
  </si>
  <si>
    <t>junio 2024</t>
  </si>
  <si>
    <t>junio 2025</t>
  </si>
  <si>
    <t>-</t>
  </si>
  <si>
    <t>acumulado a junio 2021</t>
  </si>
  <si>
    <t>acumulado a junio 2022</t>
  </si>
  <si>
    <t>acumulado a junio 2023</t>
  </si>
  <si>
    <t>acumulado a junio 2024</t>
  </si>
  <si>
    <t>acumulado a junio 2025</t>
  </si>
  <si>
    <t>Viajeros  entrados en los establecimientos alojativos de San Cristóbal de La Laguna 
(hotel + apartamento)</t>
  </si>
  <si>
    <t>Viajeros españoles entrados en los establecimientos alojativos de San Cristóbal de La Laguna 
(hotel + apartamento)</t>
  </si>
  <si>
    <t>Viajeros peninsulares entrados en los establecimientos alojativos de San Cristóbal de La Laguna 
(hotel + apartamento)</t>
  </si>
  <si>
    <t>Viajeros canarios entrados en los establecimientos alojativos de San Cristóbal de La Laguna 
(hotel + apartamento)</t>
  </si>
  <si>
    <t>Viajeros extranjeros entrados en los establecimientos alojativos de San Cristóbal de La Laguna 
(hotel + apartamento)</t>
  </si>
  <si>
    <t>Viajeros británicos entrados en los establecimientos alojativos de San Cristóbal de La Laguna 
(hotel + apartamento)</t>
  </si>
  <si>
    <t>Viajeros alemanes entrados en los establecimientos alojativos de San Cristóbal de La Laguna 
(hotel + apartamento)</t>
  </si>
  <si>
    <t>Viajeros franceses entrados en los establecimientos alojativos de San Cristóbal de La Laguna 
(hotel + apartamento)</t>
  </si>
  <si>
    <t>Viajeros belgas entrados en los establecimientos alojativos de San Cristóbal de La Laguna 
(hotel + apartamento)</t>
  </si>
  <si>
    <t>Viajeros holandeses entrados en los establecimientos alojativos de San Cristóbal de La Laguna 
(hotel + apartamento)</t>
  </si>
  <si>
    <t>Viajeros daneses entrados en los establecimientos alojativos de San Cristóbal de La Laguna 
(hotel + apartamento)</t>
  </si>
  <si>
    <t>Viajeros suecos entrados en los establecimientos alojativos de San Cristóbal de La Laguna 
(hotel + apartamento)</t>
  </si>
  <si>
    <t>var 23/22</t>
  </si>
  <si>
    <t>var 24/23</t>
  </si>
  <si>
    <t>Viajeros entrados en los establecimientos alojativos de San Cristóbal de La Laguna 
(hotel + apartamento)</t>
  </si>
  <si>
    <t>Viajeros entrados en los hoteles de San Cristóbal de La Laguna</t>
  </si>
  <si>
    <t>Viajeros entrados en los hoteles de 4, 5 estrellas San Cristóbal de La Laguna</t>
  </si>
  <si>
    <t>Viajeros entrados en los hoteles de 1, 2, 3 estrellas San Cristóbal de La Laguna</t>
  </si>
  <si>
    <t>Evolución de viajeros entrados en los establecimientos alojativos de San Cristóbal de La Laguna 
(hotel + apartamento)</t>
  </si>
  <si>
    <t>Evolución de viajeros entrados en los hoteles de San Cristóbal de La Laguna</t>
  </si>
  <si>
    <t>Evolución de viajeros entrados en los hoteles de 4, 5 estrellas de San Cristóbal de La Laguna</t>
  </si>
  <si>
    <t>Evolución de viajeros entrados en los apartamentos de San Cristóbal de La Laguna</t>
  </si>
  <si>
    <t>acumulado a junio 2020</t>
  </si>
  <si>
    <t>junio 2020</t>
  </si>
  <si>
    <t>Viajeros entrados en los establecimientos alojativos de San Cristóbal de La Laguna según lugar de residencia (hotel + apartamento)</t>
  </si>
  <si>
    <t>acumulado junio 2020</t>
  </si>
  <si>
    <t>acumulado junio 2021</t>
  </si>
  <si>
    <t>acumulado junio 2022</t>
  </si>
  <si>
    <t>acumulado junio 2023</t>
  </si>
  <si>
    <t>acumulado junio 2024</t>
  </si>
  <si>
    <t>acumulado junio 2025</t>
  </si>
  <si>
    <t>Viajeros entrados en los hoteles de San Cristóbal de La Laguna según lugar de residencia (hotel + apartamento)</t>
  </si>
  <si>
    <t>Viajeros entrados en los apartamentos de San Cristóbal de La Laguna según lugar de residencia (hotel + apartamento)</t>
  </si>
  <si>
    <t>Viajeros alojados en los establecimientos alojativos de San Cristóbal de La Laguna según lugar de residencia (hotel + apartamento)</t>
  </si>
  <si>
    <t>acumulado junio 2019</t>
  </si>
  <si>
    <t>Pernoctaciones realizadas por los turistas en los establecimientos alojativos de San Cristóbal de La Laguna (hotel + apartamento)</t>
  </si>
  <si>
    <t>Pernoctaciones realizadas por los turistas españoles en los establecimientos alojativos de San Cristóbal de La Laguna (hotel + apartamento)</t>
  </si>
  <si>
    <t>var 25/24</t>
  </si>
  <si>
    <t>Pernoctaciones realizadas por los procedentes de Península en los establecimientos alojativos de San Cristóbal de La Laguna (hotel + apartamento)</t>
  </si>
  <si>
    <t>Pernoctaciones realizadas por los procedentes de Canarias en los establecimientos alojativos de San Cristóbal de La Laguna (hotel + apartamento)</t>
  </si>
  <si>
    <t>Pernoctaciones realizadas por los procedentes de Total residentes en el extranjero en los establecimientos alojativos de San Cristóbal de La Laguna (hotel + apartamento)</t>
  </si>
  <si>
    <t>Pernoctaciones realizadas por los procedentes de Reino Unido en los establecimientos alojativos de San Cristóbal de La Laguna (hotel + apartamento)</t>
  </si>
  <si>
    <t>Pernoctaciones realizadas por los procedentes de Alemania en los establecimientos alojativos de San Cristóbal de La Laguna (hotel + apartamento)</t>
  </si>
  <si>
    <t>Pernoctaciones realizadas por los procedentes de Francia en los establecimientos alojativos de San Cristóbal de La Laguna (hotel + apartamento)</t>
  </si>
  <si>
    <t>Pernoctaciones realizadas por los procedentes de Bélgica en los establecimientos alojativos de San Cristóbal de La Laguna (hotel + apartamento)</t>
  </si>
  <si>
    <t>Pernoctaciones realizadas por los procedentes de Países Bajos en los establecimientos alojativos de San Cristóbal de La Laguna (hotel + apartamento)</t>
  </si>
  <si>
    <t>Pernoctaciones realizadas por los procedentes de Dinamarca en los establecimientos alojativos de San Cristóbal de La Laguna (hotel + apartamento)</t>
  </si>
  <si>
    <t>Pernoctaciones realizadas por los procedentes de Suecia en los establecimientos alojativos de San Cristóbal de La Laguna (hotel + apartamento)</t>
  </si>
  <si>
    <t>Pernoctaciones realizadas por los turistas en los hoteles de San Cristóbal de La Laguna</t>
  </si>
  <si>
    <t>Pernoctaciones realizadas por los turistas en los hoteles de 4 y 5 estrellas de San Cristóbal de La Laguna</t>
  </si>
  <si>
    <t>Pernoctaciones realizadas por los turistas en los hoteles de 1, 2, 3 estrellas de San Cristóbal de La Laguna</t>
  </si>
  <si>
    <t>Estancia Media en los establecimientos alojativos de San Cristóbal de La Laguna
(hotel + apartamento)</t>
  </si>
  <si>
    <t>Estancia media de los viajeros españoles entrados en los establecimientos alojativos de San Cristóbal de La Laguna (hotel + apartamento)</t>
  </si>
  <si>
    <t>Estancia media de los viajeros peninsulares entrados en los establecimientos alojativos de San Cristóbal de La Laguna (hotel + apartamento)</t>
  </si>
  <si>
    <t>Estancia media de los viajeros canarios entrados en los establecimientos alojativos de San Cristóbal de La Laguna (hotel + apartamento)</t>
  </si>
  <si>
    <t>Estancia media de los viajeros extranjeros entrados en los establecimientos alojativos de San Cristóbal de La Laguna (hotel + apartamento)</t>
  </si>
  <si>
    <t>Estancia media de los viajeros británicos entrados en los establecimientos alojativos de San Cristóbal de La Laguna (hotel + apartamento)</t>
  </si>
  <si>
    <t>Estancia media de los viajeros alemanes entrados en los establecimientos alojativos de San Cristóbal de La Laguna (hotel + apartamento)</t>
  </si>
  <si>
    <t>Estancia media de los viajeros franceses entrados en los establecimientos alojativos de San Cristóbal de La Laguna (hotel + apartamento)</t>
  </si>
  <si>
    <t>Estancia media de los viajeros belgas entrados en los establecimientos alojativos de San Cristóbal de La Laguna (hotel + apartamento)</t>
  </si>
  <si>
    <t>Estancia media de los viajeros holandeses entrados en los establecimientos alojativos de San Cristóbal de La Laguna (hotel + apartamento)</t>
  </si>
  <si>
    <t>Estancia media de los viajeros daneses entrados en los establecimientos alojativos de San Cristóbal de La Laguna (hotel + apartamento)</t>
  </si>
  <si>
    <t>Estancia media de los viajeros suecos entrados en los establecimientos alojativos de San Cristóbal de La Laguna (hotel + apartamento)</t>
  </si>
  <si>
    <t>Estancia Media en los hoteles de San Cristóbal de La Laguna</t>
  </si>
  <si>
    <t>Estancia Media en los hoteles de 4, 5 estrellas de San Cristóbal de La Laguna</t>
  </si>
  <si>
    <t>Estancia Media en los hoteles de 1, 2, 3 Estrellas de San Cristóbal de La Laguna</t>
  </si>
  <si>
    <t>Tasa de ocupación por plaza en los establecimientos alojativos de San Cristóbal de La Laguna
(hotel + apartamento)</t>
  </si>
  <si>
    <t>Tasa de ocupación por plaza en los hoteles de San Cristóbal de La Laguna</t>
  </si>
  <si>
    <t>Tasa de ocupación por plaza en los hoteles de 4, 5 Estrellas de San Cristóbal de La Laguna</t>
  </si>
  <si>
    <t>Tasa de ocupación por plaza en los hoteles de 1, 2, 3 Estrellas de San Cristóbal de La Laguna</t>
  </si>
  <si>
    <t>Distribución de viajeros españoles entrados en hoteles y apartamentos de San Cristóbal de La Laguna  por lugar de residencia</t>
  </si>
  <si>
    <t>Viajeros españoles entrados en los hoteles y apartamentos de San Cristóbal de La Laguna según lugar de residencia</t>
  </si>
  <si>
    <t>Viajeros españoles entrados en los hoteles y apartamentos de San Cristóbal de La Laguna por tipología y categoría de alojamiento</t>
  </si>
  <si>
    <t>Viajeros peninsulares entrados en los hoteles y apartamentos de San Cristóbal de La Laguna por tipología y categoría de alojamiento</t>
  </si>
  <si>
    <t>Viajeros canarios entrados en los hoteles y apartamentos de San Cristóbal de La Laguna por tipología y categoría de alojamiento</t>
  </si>
  <si>
    <t>Evolución de viajeros españoles entrados en los establecimientos alojativos de San Cristóbal de La Laguna
(hotel + apartamento)</t>
  </si>
  <si>
    <t>Evolución de viajeros peninsulares entrados en los establecimientos alojativos de San Cristóbal de La Laguna
(hotel + apartamento)</t>
  </si>
  <si>
    <t>Evolución de viajeros canarios entrados en los establecimientos alojativos de San Cristóbal de La Laguna
(hotel + apartamento)</t>
  </si>
  <si>
    <t>nd</t>
  </si>
  <si>
    <t>2020</t>
  </si>
  <si>
    <t>2021</t>
  </si>
  <si>
    <t>2022</t>
  </si>
  <si>
    <t>var 20/19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</si>
</sst>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%"/>
    <numFmt numFmtId="165" formatCode="#,##0.0\ &quot;€&quot;"/>
    <numFmt numFmtId="166" formatCode="#,##0\ &quot;€&quot;"/>
    <numFmt numFmtId="167" formatCode="#,##0.00\ &quot;€&quot;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8"/>
      <color theme="1" tint="0.34998626667073579"/>
      <name val="Aptos Narrow"/>
      <family val="2"/>
      <scheme val="minor"/>
    </font>
    <font>
      <b/>
      <sz val="18"/>
      <color theme="1" tint="0.34998626667073579"/>
      <name val="Aptos Narrow"/>
      <family val="2"/>
      <scheme val="minor"/>
    </font>
    <font>
      <sz val="11"/>
      <color theme="1" tint="0.34998626667073579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2"/>
      <color theme="1" tint="0.34998626667073579"/>
      <name val="Aptos Narrow"/>
      <family val="2"/>
      <scheme val="minor"/>
    </font>
    <font>
      <b/>
      <sz val="14"/>
      <color theme="9"/>
      <name val="Aptos Narrow"/>
      <family val="2"/>
      <scheme val="minor"/>
    </font>
    <font>
      <sz val="16"/>
      <color theme="1" tint="0.34998626667073579"/>
      <name val="Aptos Narrow"/>
      <family val="2"/>
      <scheme val="minor"/>
    </font>
    <font>
      <sz val="9"/>
      <color theme="1" tint="0.34998626667073579"/>
      <name val="Aptos Narrow"/>
      <family val="2"/>
      <scheme val="minor"/>
    </font>
    <font>
      <sz val="11"/>
      <color theme="1" tint="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0"/>
      <color theme="1" tint="0.34998626667073579"/>
      <name val="Aptos Narrow"/>
      <family val="2"/>
      <scheme val="minor"/>
    </font>
    <font>
      <b/>
      <sz val="11"/>
      <color theme="9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 tint="0.34998626667073579"/>
      <name val="Aptos Narrow"/>
      <family val="2"/>
      <scheme val="minor"/>
    </font>
    <font>
      <sz val="10"/>
      <name val="Arial"/>
      <family val="2"/>
    </font>
    <font>
      <b/>
      <sz val="12"/>
      <color theme="9"/>
      <name val="Aptos Narrow"/>
      <family val="2"/>
      <scheme val="minor"/>
    </font>
    <font>
      <sz val="18"/>
      <color rgb="FFFF0000"/>
      <name val="Aptos Narrow"/>
      <family val="2"/>
      <scheme val="minor"/>
    </font>
    <font>
      <sz val="12"/>
      <color theme="9"/>
      <name val="Aptos Narrow"/>
      <family val="2"/>
      <scheme val="minor"/>
    </font>
    <font>
      <sz val="18"/>
      <color theme="1" tint="0.34998626667073579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0" tint="-0.1499679555650502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3"/>
      </top>
      <bottom style="thin">
        <color theme="1" tint="0.49998474074526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ck">
        <color theme="0" tint="-0.14981536301767021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/>
      <top style="thick">
        <color theme="0" tint="-0.14981536301767021"/>
      </top>
      <bottom style="thick">
        <color theme="0" tint="-0.14981536301767021"/>
      </bottom>
      <diagonal/>
    </border>
    <border>
      <left/>
      <right style="thin">
        <color theme="0" tint="-0.14993743705557422"/>
      </right>
      <top style="thick">
        <color theme="0" tint="-0.14981536301767021"/>
      </top>
      <bottom style="thick">
        <color theme="0" tint="-0.14981536301767021"/>
      </bottom>
      <diagonal/>
    </border>
    <border>
      <left style="thin">
        <color theme="0" tint="-0.14993743705557422"/>
      </left>
      <right/>
      <top style="thick">
        <color theme="0" tint="-0.14981536301767021"/>
      </top>
      <bottom style="thick">
        <color theme="0" tint="-0.14981536301767021"/>
      </bottom>
      <diagonal/>
    </border>
    <border>
      <left style="thick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medium">
        <color theme="0"/>
      </bottom>
      <diagonal/>
    </border>
    <border>
      <left style="thick">
        <color theme="0" tint="-0.14993743705557422"/>
      </left>
      <right style="medium">
        <color theme="0"/>
      </right>
      <top/>
      <bottom style="medium">
        <color theme="0"/>
      </bottom>
      <diagonal/>
    </border>
    <border>
      <left style="thick">
        <color theme="0" tint="-0.14984588152714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ck">
        <color theme="0" tint="-0.149845881527146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dashed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/>
      </left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/>
      <diagonal/>
    </border>
    <border>
      <left/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14993743705557422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1" fontId="21" fillId="0" borderId="0">
      <alignment vertical="center"/>
    </xf>
  </cellStyleXfs>
  <cellXfs count="32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0" xfId="2" applyFont="1" applyAlignment="1">
      <alignment horizontal="left" indent="3"/>
    </xf>
    <xf numFmtId="0" fontId="10" fillId="0" borderId="2" xfId="2" applyFont="1" applyFill="1" applyBorder="1" applyAlignment="1">
      <alignment horizontal="left" indent="1"/>
    </xf>
    <xf numFmtId="0" fontId="10" fillId="0" borderId="0" xfId="2" applyFont="1" applyFill="1" applyAlignment="1">
      <alignment horizontal="left" indent="1"/>
    </xf>
    <xf numFmtId="0" fontId="4" fillId="0" borderId="0" xfId="2" applyAlignment="1">
      <alignment horizontal="left" indent="3"/>
    </xf>
    <xf numFmtId="0" fontId="9" fillId="2" borderId="0" xfId="2" applyFont="1" applyFill="1" applyAlignment="1">
      <alignment horizontal="left" indent="3"/>
    </xf>
    <xf numFmtId="0" fontId="9" fillId="0" borderId="0" xfId="2" applyFont="1" applyAlignment="1">
      <alignment horizontal="left" wrapText="1" indent="3"/>
    </xf>
    <xf numFmtId="0" fontId="0" fillId="0" borderId="3" xfId="0" applyBorder="1"/>
    <xf numFmtId="17" fontId="7" fillId="3" borderId="4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4" borderId="7" xfId="0" applyFont="1" applyFill="1" applyBorder="1"/>
    <xf numFmtId="3" fontId="7" fillId="4" borderId="7" xfId="0" applyNumberFormat="1" applyFont="1" applyFill="1" applyBorder="1"/>
    <xf numFmtId="164" fontId="7" fillId="4" borderId="7" xfId="1" applyNumberFormat="1" applyFont="1" applyFill="1" applyBorder="1" applyAlignment="1">
      <alignment horizontal="right"/>
    </xf>
    <xf numFmtId="164" fontId="7" fillId="4" borderId="7" xfId="1" applyNumberFormat="1" applyFont="1" applyFill="1" applyBorder="1"/>
    <xf numFmtId="0" fontId="7" fillId="4" borderId="0" xfId="0" applyFont="1" applyFill="1"/>
    <xf numFmtId="3" fontId="7" fillId="4" borderId="0" xfId="0" applyNumberFormat="1" applyFont="1" applyFill="1"/>
    <xf numFmtId="164" fontId="7" fillId="4" borderId="0" xfId="1" applyNumberFormat="1" applyFont="1" applyFill="1" applyAlignment="1">
      <alignment horizontal="right"/>
    </xf>
    <xf numFmtId="164" fontId="7" fillId="4" borderId="0" xfId="1" applyNumberFormat="1" applyFont="1" applyFill="1"/>
    <xf numFmtId="0" fontId="7" fillId="4" borderId="9" xfId="0" applyFont="1" applyFill="1" applyBorder="1"/>
    <xf numFmtId="3" fontId="7" fillId="4" borderId="9" xfId="0" applyNumberFormat="1" applyFont="1" applyFill="1" applyBorder="1" applyAlignment="1">
      <alignment horizontal="right"/>
    </xf>
    <xf numFmtId="164" fontId="7" fillId="4" borderId="9" xfId="1" applyNumberFormat="1" applyFont="1" applyFill="1" applyBorder="1" applyAlignment="1">
      <alignment horizontal="right"/>
    </xf>
    <xf numFmtId="0" fontId="7" fillId="0" borderId="7" xfId="0" applyFont="1" applyBorder="1"/>
    <xf numFmtId="3" fontId="7" fillId="0" borderId="7" xfId="0" applyNumberFormat="1" applyFont="1" applyBorder="1"/>
    <xf numFmtId="164" fontId="7" fillId="0" borderId="7" xfId="1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1" applyNumberFormat="1" applyFont="1" applyAlignment="1">
      <alignment horizontal="right"/>
    </xf>
    <xf numFmtId="164" fontId="7" fillId="0" borderId="0" xfId="1" applyNumberFormat="1" applyFont="1"/>
    <xf numFmtId="0" fontId="7" fillId="0" borderId="9" xfId="0" applyFont="1" applyBorder="1"/>
    <xf numFmtId="3" fontId="7" fillId="0" borderId="9" xfId="0" applyNumberFormat="1" applyFont="1" applyBorder="1" applyAlignment="1">
      <alignment horizontal="right"/>
    </xf>
    <xf numFmtId="164" fontId="7" fillId="0" borderId="9" xfId="1" applyNumberFormat="1" applyFont="1" applyBorder="1" applyAlignment="1">
      <alignment horizontal="right"/>
    </xf>
    <xf numFmtId="2" fontId="7" fillId="0" borderId="7" xfId="0" applyNumberFormat="1" applyFont="1" applyBorder="1"/>
    <xf numFmtId="164" fontId="7" fillId="0" borderId="7" xfId="1" applyNumberFormat="1" applyFont="1" applyFill="1" applyBorder="1" applyAlignment="1">
      <alignment horizontal="right"/>
    </xf>
    <xf numFmtId="4" fontId="7" fillId="0" borderId="7" xfId="0" applyNumberFormat="1" applyFont="1" applyBorder="1"/>
    <xf numFmtId="164" fontId="7" fillId="0" borderId="7" xfId="1" applyNumberFormat="1" applyFont="1" applyFill="1" applyBorder="1"/>
    <xf numFmtId="2" fontId="7" fillId="0" borderId="0" xfId="0" applyNumberFormat="1" applyFont="1"/>
    <xf numFmtId="164" fontId="7" fillId="0" borderId="0" xfId="1" applyNumberFormat="1" applyFont="1" applyFill="1" applyAlignment="1">
      <alignment horizontal="right"/>
    </xf>
    <xf numFmtId="4" fontId="7" fillId="0" borderId="0" xfId="0" applyNumberFormat="1" applyFont="1"/>
    <xf numFmtId="164" fontId="7" fillId="0" borderId="0" xfId="1" applyNumberFormat="1" applyFont="1" applyFill="1"/>
    <xf numFmtId="2" fontId="7" fillId="0" borderId="9" xfId="0" applyNumberFormat="1" applyFont="1" applyBorder="1" applyAlignment="1">
      <alignment horizontal="right"/>
    </xf>
    <xf numFmtId="4" fontId="7" fillId="4" borderId="7" xfId="0" applyNumberFormat="1" applyFont="1" applyFill="1" applyBorder="1"/>
    <xf numFmtId="0" fontId="7" fillId="4" borderId="0" xfId="0" applyFont="1" applyFill="1" applyAlignment="1">
      <alignment horizontal="left" vertical="center" wrapText="1"/>
    </xf>
    <xf numFmtId="4" fontId="7" fillId="4" borderId="0" xfId="0" applyNumberFormat="1" applyFont="1" applyFill="1"/>
    <xf numFmtId="164" fontId="7" fillId="4" borderId="9" xfId="1" applyNumberFormat="1" applyFont="1" applyFill="1" applyBorder="1"/>
    <xf numFmtId="0" fontId="0" fillId="0" borderId="11" xfId="0" applyBorder="1"/>
    <xf numFmtId="0" fontId="12" fillId="0" borderId="0" xfId="0" applyFont="1" applyAlignment="1">
      <alignment horizontal="left"/>
    </xf>
    <xf numFmtId="3" fontId="7" fillId="4" borderId="7" xfId="0" applyNumberFormat="1" applyFont="1" applyFill="1" applyBorder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7" fillId="0" borderId="7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2" fontId="7" fillId="0" borderId="7" xfId="0" applyNumberFormat="1" applyFont="1" applyBorder="1" applyAlignment="1">
      <alignment horizontal="right"/>
    </xf>
    <xf numFmtId="2" fontId="7" fillId="0" borderId="0" xfId="0" applyNumberFormat="1" applyFont="1" applyAlignment="1">
      <alignment horizontal="right"/>
    </xf>
    <xf numFmtId="164" fontId="7" fillId="0" borderId="9" xfId="1" applyNumberFormat="1" applyFont="1" applyFill="1" applyBorder="1"/>
    <xf numFmtId="0" fontId="2" fillId="0" borderId="0" xfId="0" applyFont="1"/>
    <xf numFmtId="164" fontId="13" fillId="4" borderId="7" xfId="1" applyNumberFormat="1" applyFont="1" applyFill="1" applyBorder="1" applyAlignment="1">
      <alignment horizontal="right"/>
    </xf>
    <xf numFmtId="164" fontId="13" fillId="4" borderId="0" xfId="1" applyNumberFormat="1" applyFont="1" applyFill="1" applyAlignment="1">
      <alignment horizontal="right"/>
    </xf>
    <xf numFmtId="164" fontId="13" fillId="4" borderId="9" xfId="1" applyNumberFormat="1" applyFont="1" applyFill="1" applyBorder="1" applyAlignment="1">
      <alignment horizontal="right"/>
    </xf>
    <xf numFmtId="164" fontId="13" fillId="4" borderId="0" xfId="1" applyNumberFormat="1" applyFont="1" applyFill="1" applyBorder="1" applyAlignment="1">
      <alignment horizontal="right"/>
    </xf>
    <xf numFmtId="164" fontId="7" fillId="4" borderId="0" xfId="1" applyNumberFormat="1" applyFont="1" applyFill="1" applyBorder="1" applyAlignment="1">
      <alignment horizontal="right"/>
    </xf>
    <xf numFmtId="164" fontId="7" fillId="4" borderId="0" xfId="1" applyNumberFormat="1" applyFont="1" applyFill="1" applyBorder="1"/>
    <xf numFmtId="0" fontId="14" fillId="0" borderId="0" xfId="0" applyFont="1"/>
    <xf numFmtId="164" fontId="7" fillId="0" borderId="9" xfId="1" applyNumberFormat="1" applyFont="1" applyFill="1" applyBorder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15" fillId="2" borderId="7" xfId="0" applyFont="1" applyFill="1" applyBorder="1"/>
    <xf numFmtId="3" fontId="7" fillId="2" borderId="7" xfId="0" applyNumberFormat="1" applyFont="1" applyFill="1" applyBorder="1"/>
    <xf numFmtId="164" fontId="7" fillId="2" borderId="7" xfId="1" applyNumberFormat="1" applyFont="1" applyFill="1" applyBorder="1"/>
    <xf numFmtId="0" fontId="0" fillId="0" borderId="0" xfId="0" applyAlignment="1">
      <alignment horizontal="left"/>
    </xf>
    <xf numFmtId="3" fontId="7" fillId="4" borderId="9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3" fontId="7" fillId="0" borderId="9" xfId="0" applyNumberFormat="1" applyFont="1" applyBorder="1"/>
    <xf numFmtId="164" fontId="7" fillId="0" borderId="9" xfId="1" applyNumberFormat="1" applyFont="1" applyBorder="1"/>
    <xf numFmtId="4" fontId="7" fillId="2" borderId="7" xfId="0" applyNumberFormat="1" applyFont="1" applyFill="1" applyBorder="1"/>
    <xf numFmtId="164" fontId="7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/>
    <xf numFmtId="2" fontId="7" fillId="0" borderId="9" xfId="0" applyNumberFormat="1" applyFont="1" applyBorder="1"/>
    <xf numFmtId="4" fontId="7" fillId="0" borderId="9" xfId="0" applyNumberFormat="1" applyFont="1" applyBorder="1"/>
    <xf numFmtId="4" fontId="7" fillId="4" borderId="9" xfId="0" applyNumberFormat="1" applyFont="1" applyFill="1" applyBorder="1"/>
    <xf numFmtId="164" fontId="0" fillId="0" borderId="0" xfId="1" applyNumberFormat="1" applyFont="1"/>
    <xf numFmtId="164" fontId="7" fillId="0" borderId="7" xfId="1" applyNumberFormat="1" applyFont="1" applyBorder="1"/>
    <xf numFmtId="164" fontId="7" fillId="0" borderId="0" xfId="1" applyNumberFormat="1" applyFont="1" applyBorder="1"/>
    <xf numFmtId="0" fontId="8" fillId="0" borderId="3" xfId="3" applyFont="1" applyBorder="1" applyAlignment="1">
      <alignment vertical="center" readingOrder="1"/>
    </xf>
    <xf numFmtId="0" fontId="8" fillId="0" borderId="0" xfId="0" applyFont="1" applyAlignment="1">
      <alignment horizontal="left" vertical="center" wrapText="1" readingOrder="1"/>
    </xf>
    <xf numFmtId="0" fontId="8" fillId="0" borderId="15" xfId="0" applyFont="1" applyBorder="1" applyAlignment="1">
      <alignment horizontal="left" vertical="center" wrapText="1" readingOrder="1"/>
    </xf>
    <xf numFmtId="0" fontId="1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right" vertical="center"/>
    </xf>
    <xf numFmtId="17" fontId="7" fillId="3" borderId="19" xfId="0" applyNumberFormat="1" applyFont="1" applyFill="1" applyBorder="1" applyAlignment="1">
      <alignment horizontal="right" vertical="center" wrapText="1"/>
    </xf>
    <xf numFmtId="0" fontId="17" fillId="2" borderId="20" xfId="0" applyFont="1" applyFill="1" applyBorder="1"/>
    <xf numFmtId="3" fontId="17" fillId="2" borderId="21" xfId="0" applyNumberFormat="1" applyFont="1" applyFill="1" applyBorder="1" applyAlignment="1">
      <alignment horizontal="right"/>
    </xf>
    <xf numFmtId="164" fontId="17" fillId="2" borderId="21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left" indent="1"/>
    </xf>
    <xf numFmtId="3" fontId="18" fillId="0" borderId="20" xfId="0" applyNumberFormat="1" applyFont="1" applyBorder="1" applyAlignment="1">
      <alignment horizontal="right"/>
    </xf>
    <xf numFmtId="164" fontId="18" fillId="0" borderId="20" xfId="0" applyNumberFormat="1" applyFont="1" applyBorder="1" applyAlignment="1">
      <alignment horizontal="right"/>
    </xf>
    <xf numFmtId="0" fontId="7" fillId="0" borderId="0" xfId="0" applyFont="1" applyAlignment="1">
      <alignment horizontal="left" indent="2"/>
    </xf>
    <xf numFmtId="164" fontId="7" fillId="0" borderId="0" xfId="0" applyNumberFormat="1" applyFont="1" applyAlignment="1">
      <alignment horizontal="right"/>
    </xf>
    <xf numFmtId="3" fontId="17" fillId="2" borderId="20" xfId="0" applyNumberFormat="1" applyFont="1" applyFill="1" applyBorder="1" applyAlignment="1">
      <alignment horizontal="right"/>
    </xf>
    <xf numFmtId="164" fontId="17" fillId="2" borderId="20" xfId="0" applyNumberFormat="1" applyFont="1" applyFill="1" applyBorder="1" applyAlignment="1">
      <alignment horizontal="right"/>
    </xf>
    <xf numFmtId="0" fontId="7" fillId="0" borderId="22" xfId="0" applyFont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164" fontId="7" fillId="0" borderId="22" xfId="0" applyNumberFormat="1" applyFont="1" applyBorder="1"/>
    <xf numFmtId="0" fontId="12" fillId="0" borderId="24" xfId="0" applyFont="1" applyBorder="1"/>
    <xf numFmtId="0" fontId="8" fillId="0" borderId="15" xfId="0" applyFont="1" applyBorder="1" applyAlignment="1">
      <alignment vertical="center" readingOrder="1"/>
    </xf>
    <xf numFmtId="3" fontId="8" fillId="0" borderId="15" xfId="0" applyNumberFormat="1" applyFont="1" applyBorder="1" applyAlignment="1">
      <alignment vertical="center" readingOrder="1"/>
    </xf>
    <xf numFmtId="0" fontId="1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3" fontId="15" fillId="3" borderId="29" xfId="0" applyNumberFormat="1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3" fontId="7" fillId="0" borderId="32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22" fillId="0" borderId="34" xfId="4" applyNumberFormat="1" applyFont="1" applyBorder="1" applyAlignment="1" applyProtection="1">
      <alignment horizontal="center" vertical="center" wrapText="1"/>
      <protection hidden="1"/>
    </xf>
    <xf numFmtId="3" fontId="22" fillId="0" borderId="35" xfId="1" applyNumberFormat="1" applyFont="1" applyBorder="1" applyAlignment="1" applyProtection="1">
      <alignment vertical="center"/>
      <protection hidden="1"/>
    </xf>
    <xf numFmtId="164" fontId="22" fillId="0" borderId="36" xfId="4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3" fontId="19" fillId="0" borderId="0" xfId="0" applyNumberFormat="1" applyFont="1" applyAlignment="1">
      <alignment vertical="center" readingOrder="1"/>
    </xf>
    <xf numFmtId="9" fontId="0" fillId="0" borderId="0" xfId="1" applyFont="1"/>
    <xf numFmtId="4" fontId="7" fillId="0" borderId="32" xfId="0" applyNumberFormat="1" applyFont="1" applyBorder="1" applyAlignment="1">
      <alignment horizontal="right"/>
    </xf>
    <xf numFmtId="164" fontId="12" fillId="0" borderId="24" xfId="1" applyNumberFormat="1" applyFont="1" applyBorder="1"/>
    <xf numFmtId="0" fontId="23" fillId="0" borderId="0" xfId="0" applyFont="1"/>
    <xf numFmtId="0" fontId="7" fillId="3" borderId="37" xfId="0" applyFont="1" applyFill="1" applyBorder="1" applyAlignment="1">
      <alignment horizontal="right" vertical="center" wrapText="1"/>
    </xf>
    <xf numFmtId="0" fontId="7" fillId="3" borderId="38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right" vertical="center" wrapText="1"/>
    </xf>
    <xf numFmtId="0" fontId="22" fillId="2" borderId="0" xfId="0" applyFont="1" applyFill="1"/>
    <xf numFmtId="3" fontId="2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164" fontId="24" fillId="2" borderId="39" xfId="0" applyNumberFormat="1" applyFont="1" applyFill="1" applyBorder="1" applyAlignment="1">
      <alignment horizontal="right"/>
    </xf>
    <xf numFmtId="0" fontId="24" fillId="0" borderId="40" xfId="0" applyFont="1" applyBorder="1" applyAlignment="1">
      <alignment horizontal="left" indent="1"/>
    </xf>
    <xf numFmtId="3" fontId="24" fillId="0" borderId="40" xfId="0" applyNumberFormat="1" applyFont="1" applyBorder="1" applyAlignment="1">
      <alignment horizontal="right"/>
    </xf>
    <xf numFmtId="164" fontId="24" fillId="0" borderId="40" xfId="0" applyNumberFormat="1" applyFont="1" applyBorder="1" applyAlignment="1">
      <alignment horizontal="right"/>
    </xf>
    <xf numFmtId="0" fontId="24" fillId="0" borderId="0" xfId="0" applyFont="1" applyAlignment="1">
      <alignment horizontal="left" indent="1"/>
    </xf>
    <xf numFmtId="3" fontId="24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3" fillId="0" borderId="0" xfId="1" applyNumberFormat="1" applyFont="1"/>
    <xf numFmtId="0" fontId="8" fillId="0" borderId="3" xfId="0" applyFont="1" applyBorder="1" applyAlignment="1">
      <alignment horizontal="left" vertical="center" readingOrder="1"/>
    </xf>
    <xf numFmtId="0" fontId="8" fillId="0" borderId="3" xfId="0" applyFont="1" applyBorder="1" applyAlignment="1">
      <alignment vertical="center" wrapText="1" readingOrder="1"/>
    </xf>
    <xf numFmtId="0" fontId="0" fillId="3" borderId="6" xfId="0" applyFill="1" applyBorder="1"/>
    <xf numFmtId="0" fontId="0" fillId="0" borderId="0" xfId="0" applyAlignment="1">
      <alignment wrapText="1"/>
    </xf>
    <xf numFmtId="0" fontId="25" fillId="3" borderId="10" xfId="0" applyFont="1" applyFill="1" applyBorder="1" applyAlignment="1">
      <alignment horizontal="center" vertical="center" wrapText="1"/>
    </xf>
    <xf numFmtId="1" fontId="7" fillId="3" borderId="43" xfId="0" applyNumberFormat="1" applyFont="1" applyFill="1" applyBorder="1" applyAlignment="1">
      <alignment horizontal="right" vertical="center" wrapText="1"/>
    </xf>
    <xf numFmtId="1" fontId="7" fillId="3" borderId="44" xfId="0" applyNumberFormat="1" applyFont="1" applyFill="1" applyBorder="1" applyAlignment="1">
      <alignment horizontal="right" vertical="center" wrapText="1"/>
    </xf>
    <xf numFmtId="164" fontId="7" fillId="3" borderId="45" xfId="0" applyNumberFormat="1" applyFont="1" applyFill="1" applyBorder="1" applyAlignment="1">
      <alignment horizontal="right" vertical="center" wrapText="1"/>
    </xf>
    <xf numFmtId="3" fontId="7" fillId="3" borderId="4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/>
    <xf numFmtId="3" fontId="17" fillId="2" borderId="7" xfId="0" applyNumberFormat="1" applyFont="1" applyFill="1" applyBorder="1" applyAlignment="1">
      <alignment horizontal="right"/>
    </xf>
    <xf numFmtId="164" fontId="17" fillId="2" borderId="7" xfId="0" applyNumberFormat="1" applyFont="1" applyFill="1" applyBorder="1" applyAlignment="1">
      <alignment horizontal="right"/>
    </xf>
    <xf numFmtId="0" fontId="17" fillId="2" borderId="8" xfId="0" applyFont="1" applyFill="1" applyBorder="1"/>
    <xf numFmtId="0" fontId="17" fillId="0" borderId="8" xfId="0" applyFont="1" applyBorder="1"/>
    <xf numFmtId="3" fontId="17" fillId="0" borderId="47" xfId="0" applyNumberFormat="1" applyFont="1" applyBorder="1" applyAlignment="1">
      <alignment horizontal="right"/>
    </xf>
    <xf numFmtId="164" fontId="17" fillId="0" borderId="48" xfId="0" applyNumberFormat="1" applyFont="1" applyBorder="1" applyAlignment="1">
      <alignment horizontal="right"/>
    </xf>
    <xf numFmtId="0" fontId="18" fillId="0" borderId="8" xfId="0" applyFont="1" applyBorder="1"/>
    <xf numFmtId="3" fontId="18" fillId="0" borderId="47" xfId="0" applyNumberFormat="1" applyFont="1" applyBorder="1" applyAlignment="1">
      <alignment horizontal="right"/>
    </xf>
    <xf numFmtId="164" fontId="18" fillId="0" borderId="48" xfId="0" applyNumberFormat="1" applyFont="1" applyBorder="1" applyAlignment="1">
      <alignment horizontal="right"/>
    </xf>
    <xf numFmtId="0" fontId="3" fillId="0" borderId="8" xfId="0" applyFont="1" applyBorder="1"/>
    <xf numFmtId="0" fontId="7" fillId="0" borderId="8" xfId="0" applyFont="1" applyBorder="1"/>
    <xf numFmtId="3" fontId="7" fillId="0" borderId="47" xfId="0" applyNumberFormat="1" applyFont="1" applyBorder="1" applyAlignment="1">
      <alignment horizontal="right"/>
    </xf>
    <xf numFmtId="164" fontId="7" fillId="0" borderId="48" xfId="0" applyNumberFormat="1" applyFont="1" applyBorder="1" applyAlignment="1">
      <alignment horizontal="right"/>
    </xf>
    <xf numFmtId="164" fontId="2" fillId="0" borderId="0" xfId="1" applyNumberFormat="1" applyFont="1"/>
    <xf numFmtId="0" fontId="3" fillId="0" borderId="10" xfId="0" applyFont="1" applyBorder="1"/>
    <xf numFmtId="0" fontId="7" fillId="0" borderId="10" xfId="0" applyFont="1" applyBorder="1"/>
    <xf numFmtId="3" fontId="7" fillId="0" borderId="49" xfId="0" applyNumberFormat="1" applyFont="1" applyBorder="1" applyAlignment="1">
      <alignment horizontal="right"/>
    </xf>
    <xf numFmtId="164" fontId="7" fillId="0" borderId="50" xfId="0" applyNumberFormat="1" applyFont="1" applyBorder="1" applyAlignment="1">
      <alignment horizontal="right"/>
    </xf>
    <xf numFmtId="0" fontId="12" fillId="0" borderId="0" xfId="0" applyFont="1"/>
    <xf numFmtId="3" fontId="7" fillId="3" borderId="53" xfId="0" applyNumberFormat="1" applyFont="1" applyFill="1" applyBorder="1" applyAlignment="1">
      <alignment horizontal="right" vertical="center" wrapText="1"/>
    </xf>
    <xf numFmtId="164" fontId="7" fillId="3" borderId="54" xfId="0" applyNumberFormat="1" applyFont="1" applyFill="1" applyBorder="1" applyAlignment="1">
      <alignment horizontal="right" vertical="center" wrapText="1"/>
    </xf>
    <xf numFmtId="3" fontId="17" fillId="2" borderId="0" xfId="0" applyNumberFormat="1" applyFont="1" applyFill="1" applyAlignment="1">
      <alignment horizontal="right"/>
    </xf>
    <xf numFmtId="164" fontId="17" fillId="2" borderId="0" xfId="0" applyNumberFormat="1" applyFont="1" applyFill="1" applyAlignment="1">
      <alignment horizontal="right"/>
    </xf>
    <xf numFmtId="3" fontId="17" fillId="0" borderId="55" xfId="0" applyNumberFormat="1" applyFont="1" applyBorder="1" applyAlignment="1">
      <alignment horizontal="right"/>
    </xf>
    <xf numFmtId="164" fontId="17" fillId="0" borderId="56" xfId="0" applyNumberFormat="1" applyFont="1" applyBorder="1" applyAlignment="1">
      <alignment horizontal="right"/>
    </xf>
    <xf numFmtId="164" fontId="18" fillId="0" borderId="48" xfId="1" applyNumberFormat="1" applyFont="1" applyBorder="1" applyAlignment="1">
      <alignment horizontal="right"/>
    </xf>
    <xf numFmtId="164" fontId="7" fillId="0" borderId="48" xfId="1" applyNumberFormat="1" applyFont="1" applyBorder="1" applyAlignment="1">
      <alignment horizontal="right"/>
    </xf>
    <xf numFmtId="164" fontId="7" fillId="0" borderId="50" xfId="1" applyNumberFormat="1" applyFont="1" applyBorder="1" applyAlignment="1">
      <alignment horizontal="right"/>
    </xf>
    <xf numFmtId="0" fontId="18" fillId="0" borderId="8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0" fillId="3" borderId="8" xfId="0" applyFill="1" applyBorder="1"/>
    <xf numFmtId="1" fontId="7" fillId="3" borderId="53" xfId="0" applyNumberFormat="1" applyFont="1" applyFill="1" applyBorder="1" applyAlignment="1">
      <alignment horizontal="right" vertical="center" wrapText="1"/>
    </xf>
    <xf numFmtId="0" fontId="25" fillId="3" borderId="8" xfId="0" applyFont="1" applyFill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right"/>
    </xf>
    <xf numFmtId="2" fontId="7" fillId="0" borderId="33" xfId="0" applyNumberFormat="1" applyFont="1" applyBorder="1" applyAlignment="1">
      <alignment horizontal="right"/>
    </xf>
    <xf numFmtId="2" fontId="22" fillId="0" borderId="35" xfId="1" applyNumberFormat="1" applyFont="1" applyBorder="1" applyAlignment="1" applyProtection="1">
      <alignment vertical="center"/>
      <protection hidden="1"/>
    </xf>
    <xf numFmtId="2" fontId="22" fillId="0" borderId="36" xfId="4" applyNumberFormat="1" applyFont="1" applyBorder="1" applyAlignment="1" applyProtection="1">
      <alignment horizontal="right" vertical="center" wrapText="1"/>
      <protection hidden="1"/>
    </xf>
    <xf numFmtId="2" fontId="8" fillId="0" borderId="15" xfId="0" applyNumberFormat="1" applyFont="1" applyBorder="1" applyAlignment="1">
      <alignment vertical="center" readingOrder="1"/>
    </xf>
    <xf numFmtId="2" fontId="0" fillId="0" borderId="0" xfId="0" applyNumberFormat="1"/>
    <xf numFmtId="2" fontId="12" fillId="0" borderId="24" xfId="0" applyNumberFormat="1" applyFont="1" applyBorder="1"/>
    <xf numFmtId="2" fontId="0" fillId="0" borderId="0" xfId="1" applyNumberFormat="1" applyFont="1"/>
    <xf numFmtId="0" fontId="26" fillId="0" borderId="0" xfId="0" applyFont="1"/>
    <xf numFmtId="164" fontId="7" fillId="0" borderId="32" xfId="1" applyNumberFormat="1" applyFont="1" applyBorder="1" applyAlignment="1">
      <alignment horizontal="right"/>
    </xf>
    <xf numFmtId="10" fontId="0" fillId="0" borderId="0" xfId="1" applyNumberFormat="1" applyFont="1"/>
    <xf numFmtId="164" fontId="22" fillId="0" borderId="35" xfId="1" applyNumberFormat="1" applyFont="1" applyBorder="1" applyAlignment="1" applyProtection="1">
      <alignment vertical="center"/>
      <protection hidden="1"/>
    </xf>
    <xf numFmtId="164" fontId="0" fillId="0" borderId="0" xfId="0" applyNumberFormat="1"/>
    <xf numFmtId="164" fontId="27" fillId="0" borderId="35" xfId="1" applyNumberFormat="1" applyFont="1" applyBorder="1" applyAlignment="1" applyProtection="1">
      <alignment vertical="center"/>
      <protection hidden="1"/>
    </xf>
    <xf numFmtId="164" fontId="27" fillId="0" borderId="36" xfId="4" applyNumberFormat="1" applyFont="1" applyBorder="1" applyAlignment="1" applyProtection="1">
      <alignment horizontal="right" vertical="center" wrapText="1"/>
      <protection hidden="1"/>
    </xf>
    <xf numFmtId="164" fontId="27" fillId="0" borderId="35" xfId="1" applyNumberFormat="1" applyFont="1" applyBorder="1" applyAlignment="1" applyProtection="1">
      <alignment horizontal="right" vertical="center"/>
      <protection hidden="1"/>
    </xf>
    <xf numFmtId="165" fontId="0" fillId="0" borderId="0" xfId="0" applyNumberFormat="1"/>
    <xf numFmtId="17" fontId="7" fillId="3" borderId="57" xfId="0" applyNumberFormat="1" applyFont="1" applyFill="1" applyBorder="1" applyAlignment="1">
      <alignment horizontal="right" vertical="center" wrapText="1"/>
    </xf>
    <xf numFmtId="17" fontId="7" fillId="3" borderId="58" xfId="0" applyNumberFormat="1" applyFont="1" applyFill="1" applyBorder="1" applyAlignment="1">
      <alignment horizontal="right" vertical="center" wrapText="1"/>
    </xf>
    <xf numFmtId="0" fontId="7" fillId="3" borderId="59" xfId="0" applyFont="1" applyFill="1" applyBorder="1" applyAlignment="1">
      <alignment horizontal="right" vertical="center" wrapText="1"/>
    </xf>
    <xf numFmtId="164" fontId="7" fillId="3" borderId="0" xfId="0" applyNumberFormat="1" applyFont="1" applyFill="1" applyAlignment="1">
      <alignment horizontal="right" vertical="center"/>
    </xf>
    <xf numFmtId="0" fontId="17" fillId="2" borderId="7" xfId="0" applyFont="1" applyFill="1" applyBorder="1"/>
    <xf numFmtId="165" fontId="24" fillId="2" borderId="60" xfId="1" applyNumberFormat="1" applyFont="1" applyFill="1" applyBorder="1" applyAlignment="1">
      <alignment horizontal="right"/>
    </xf>
    <xf numFmtId="165" fontId="24" fillId="2" borderId="0" xfId="0" applyNumberFormat="1" applyFont="1" applyFill="1" applyAlignment="1">
      <alignment horizontal="right"/>
    </xf>
    <xf numFmtId="165" fontId="24" fillId="2" borderId="0" xfId="1" applyNumberFormat="1" applyFont="1" applyFill="1" applyBorder="1" applyAlignment="1">
      <alignment horizontal="right"/>
    </xf>
    <xf numFmtId="165" fontId="24" fillId="2" borderId="39" xfId="1" applyNumberFormat="1" applyFont="1" applyFill="1" applyBorder="1" applyAlignment="1">
      <alignment horizontal="right"/>
    </xf>
    <xf numFmtId="3" fontId="24" fillId="2" borderId="60" xfId="0" applyNumberFormat="1" applyFont="1" applyFill="1" applyBorder="1" applyAlignment="1">
      <alignment horizontal="right"/>
    </xf>
    <xf numFmtId="166" fontId="24" fillId="2" borderId="60" xfId="1" applyNumberFormat="1" applyFont="1" applyFill="1" applyBorder="1" applyAlignment="1">
      <alignment horizontal="right"/>
    </xf>
    <xf numFmtId="166" fontId="24" fillId="2" borderId="39" xfId="1" applyNumberFormat="1" applyFont="1" applyFill="1" applyBorder="1" applyAlignment="1">
      <alignment horizontal="right"/>
    </xf>
    <xf numFmtId="165" fontId="7" fillId="0" borderId="13" xfId="1" applyNumberFormat="1" applyFont="1" applyBorder="1" applyAlignment="1">
      <alignment horizontal="right"/>
    </xf>
    <xf numFmtId="165" fontId="7" fillId="0" borderId="0" xfId="1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166" fontId="7" fillId="0" borderId="13" xfId="1" applyNumberFormat="1" applyFont="1" applyBorder="1" applyAlignment="1">
      <alignment horizontal="right"/>
    </xf>
    <xf numFmtId="166" fontId="7" fillId="0" borderId="0" xfId="1" applyNumberFormat="1" applyFont="1" applyBorder="1" applyAlignment="1">
      <alignment horizontal="right"/>
    </xf>
    <xf numFmtId="164" fontId="7" fillId="0" borderId="0" xfId="0" applyNumberFormat="1" applyFont="1"/>
    <xf numFmtId="0" fontId="1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7" fillId="0" borderId="0" xfId="0" applyFont="1" applyAlignment="1">
      <alignment wrapText="1"/>
    </xf>
    <xf numFmtId="167" fontId="17" fillId="2" borderId="21" xfId="0" applyNumberFormat="1" applyFont="1" applyFill="1" applyBorder="1" applyAlignment="1">
      <alignment horizontal="right"/>
    </xf>
    <xf numFmtId="167" fontId="17" fillId="2" borderId="21" xfId="1" applyNumberFormat="1" applyFont="1" applyFill="1" applyBorder="1" applyAlignment="1">
      <alignment horizontal="right"/>
    </xf>
    <xf numFmtId="167" fontId="18" fillId="0" borderId="20" xfId="0" applyNumberFormat="1" applyFont="1" applyBorder="1" applyAlignment="1">
      <alignment horizontal="right"/>
    </xf>
    <xf numFmtId="167" fontId="18" fillId="0" borderId="20" xfId="1" applyNumberFormat="1" applyFont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7" fontId="7" fillId="0" borderId="0" xfId="1" applyNumberFormat="1" applyFont="1" applyAlignment="1">
      <alignment horizontal="right"/>
    </xf>
    <xf numFmtId="167" fontId="17" fillId="2" borderId="20" xfId="0" applyNumberFormat="1" applyFont="1" applyFill="1" applyBorder="1" applyAlignment="1">
      <alignment horizontal="right"/>
    </xf>
    <xf numFmtId="167" fontId="17" fillId="2" borderId="2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0" fillId="4" borderId="11" xfId="0" applyFont="1" applyFill="1" applyBorder="1"/>
    <xf numFmtId="3" fontId="22" fillId="4" borderId="11" xfId="0" applyNumberFormat="1" applyFont="1" applyFill="1" applyBorder="1" applyAlignment="1">
      <alignment horizontal="right" vertical="center" wrapText="1"/>
    </xf>
    <xf numFmtId="164" fontId="22" fillId="4" borderId="11" xfId="1" applyNumberFormat="1" applyFont="1" applyFill="1" applyBorder="1" applyAlignment="1">
      <alignment horizontal="right" vertical="center" wrapText="1"/>
    </xf>
    <xf numFmtId="0" fontId="24" fillId="0" borderId="11" xfId="0" applyFont="1" applyBorder="1"/>
    <xf numFmtId="3" fontId="18" fillId="0" borderId="11" xfId="0" applyNumberFormat="1" applyFont="1" applyBorder="1" applyAlignment="1">
      <alignment horizontal="right" vertical="center" wrapText="1"/>
    </xf>
    <xf numFmtId="164" fontId="18" fillId="0" borderId="11" xfId="1" applyNumberFormat="1" applyFont="1" applyBorder="1" applyAlignment="1">
      <alignment horizontal="right" vertical="center" wrapText="1"/>
    </xf>
    <xf numFmtId="0" fontId="15" fillId="0" borderId="7" xfId="0" applyFont="1" applyBorder="1"/>
    <xf numFmtId="3" fontId="15" fillId="0" borderId="0" xfId="0" applyNumberFormat="1" applyFont="1"/>
    <xf numFmtId="164" fontId="15" fillId="4" borderId="7" xfId="1" applyNumberFormat="1" applyFont="1" applyFill="1" applyBorder="1"/>
    <xf numFmtId="3" fontId="15" fillId="4" borderId="7" xfId="0" applyNumberFormat="1" applyFont="1" applyFill="1" applyBorder="1"/>
    <xf numFmtId="164" fontId="15" fillId="0" borderId="7" xfId="1" applyNumberFormat="1" applyFont="1" applyBorder="1"/>
    <xf numFmtId="0" fontId="7" fillId="0" borderId="0" xfId="0" applyFont="1" applyAlignment="1">
      <alignment horizontal="left" indent="1"/>
    </xf>
    <xf numFmtId="0" fontId="7" fillId="0" borderId="61" xfId="0" applyFont="1" applyBorder="1"/>
    <xf numFmtId="3" fontId="22" fillId="4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Alignment="1">
      <alignment horizontal="right" vertical="center" wrapText="1"/>
    </xf>
    <xf numFmtId="0" fontId="15" fillId="0" borderId="0" xfId="0" applyFont="1"/>
    <xf numFmtId="3" fontId="15" fillId="4" borderId="0" xfId="0" applyNumberFormat="1" applyFont="1" applyFill="1"/>
    <xf numFmtId="3" fontId="7" fillId="3" borderId="6" xfId="0" applyNumberFormat="1" applyFont="1" applyFill="1" applyBorder="1" applyAlignment="1">
      <alignment horizontal="right" vertical="center" wrapText="1"/>
    </xf>
    <xf numFmtId="164" fontId="7" fillId="3" borderId="6" xfId="0" applyNumberFormat="1" applyFont="1" applyFill="1" applyBorder="1" applyAlignment="1">
      <alignment horizontal="right" vertical="center" wrapText="1"/>
    </xf>
    <xf numFmtId="3" fontId="22" fillId="4" borderId="62" xfId="0" applyNumberFormat="1" applyFont="1" applyFill="1" applyBorder="1" applyAlignment="1">
      <alignment horizontal="right" vertical="center" wrapText="1"/>
    </xf>
    <xf numFmtId="164" fontId="22" fillId="4" borderId="62" xfId="1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indent="1"/>
    </xf>
    <xf numFmtId="3" fontId="28" fillId="0" borderId="8" xfId="0" applyNumberFormat="1" applyFont="1" applyBorder="1"/>
    <xf numFmtId="164" fontId="28" fillId="0" borderId="8" xfId="1" applyNumberFormat="1" applyFont="1" applyBorder="1"/>
    <xf numFmtId="164" fontId="28" fillId="4" borderId="8" xfId="1" applyNumberFormat="1" applyFont="1" applyFill="1" applyBorder="1"/>
    <xf numFmtId="3" fontId="28" fillId="4" borderId="8" xfId="0" applyNumberFormat="1" applyFont="1" applyFill="1" applyBorder="1"/>
    <xf numFmtId="164" fontId="28" fillId="4" borderId="8" xfId="1" applyNumberFormat="1" applyFont="1" applyFill="1" applyBorder="1" applyAlignment="1">
      <alignment horizontal="right"/>
    </xf>
    <xf numFmtId="3" fontId="28" fillId="4" borderId="8" xfId="0" applyNumberFormat="1" applyFont="1" applyFill="1" applyBorder="1" applyAlignment="1">
      <alignment horizontal="right"/>
    </xf>
    <xf numFmtId="3" fontId="7" fillId="0" borderId="8" xfId="0" applyNumberFormat="1" applyFont="1" applyBorder="1"/>
    <xf numFmtId="164" fontId="15" fillId="0" borderId="8" xfId="1" applyNumberFormat="1" applyFont="1" applyBorder="1"/>
    <xf numFmtId="164" fontId="15" fillId="4" borderId="8" xfId="1" applyNumberFormat="1" applyFont="1" applyFill="1" applyBorder="1" applyAlignment="1">
      <alignment horizontal="right"/>
    </xf>
    <xf numFmtId="3" fontId="15" fillId="4" borderId="8" xfId="0" applyNumberFormat="1" applyFont="1" applyFill="1" applyBorder="1"/>
    <xf numFmtId="164" fontId="7" fillId="4" borderId="8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right"/>
    </xf>
    <xf numFmtId="164" fontId="7" fillId="0" borderId="8" xfId="1" applyNumberFormat="1" applyFont="1" applyBorder="1"/>
    <xf numFmtId="3" fontId="7" fillId="4" borderId="8" xfId="0" applyNumberFormat="1" applyFont="1" applyFill="1" applyBorder="1"/>
    <xf numFmtId="164" fontId="7" fillId="4" borderId="8" xfId="1" applyNumberFormat="1" applyFont="1" applyFill="1" applyBorder="1"/>
    <xf numFmtId="3" fontId="28" fillId="0" borderId="8" xfId="0" applyNumberFormat="1" applyFont="1" applyBorder="1" applyAlignment="1">
      <alignment horizontal="right"/>
    </xf>
    <xf numFmtId="164" fontId="28" fillId="0" borderId="8" xfId="1" applyNumberFormat="1" applyFont="1" applyBorder="1" applyAlignment="1">
      <alignment horizontal="right"/>
    </xf>
    <xf numFmtId="0" fontId="7" fillId="0" borderId="61" xfId="0" applyFont="1" applyBorder="1" applyAlignment="1">
      <alignment horizontal="right"/>
    </xf>
    <xf numFmtId="164" fontId="15" fillId="4" borderId="8" xfId="1" applyNumberFormat="1" applyFont="1" applyFill="1" applyBorder="1"/>
    <xf numFmtId="3" fontId="7" fillId="4" borderId="8" xfId="1" applyNumberFormat="1" applyFont="1" applyFill="1" applyBorder="1"/>
    <xf numFmtId="3" fontId="15" fillId="4" borderId="8" xfId="1" applyNumberFormat="1" applyFont="1" applyFill="1" applyBorder="1"/>
    <xf numFmtId="0" fontId="8" fillId="0" borderId="3" xfId="0" applyFont="1" applyBorder="1" applyAlignment="1">
      <alignment horizontal="left" vertical="center" wrapText="1" readingOrder="1"/>
    </xf>
    <xf numFmtId="0" fontId="11" fillId="4" borderId="6" xfId="0" applyFont="1" applyFill="1" applyBorder="1" applyAlignment="1">
      <alignment horizontal="center" vertical="center" textRotation="90"/>
    </xf>
    <xf numFmtId="0" fontId="11" fillId="4" borderId="8" xfId="0" applyFont="1" applyFill="1" applyBorder="1" applyAlignment="1">
      <alignment horizontal="center" vertical="center" textRotation="90"/>
    </xf>
    <xf numFmtId="0" fontId="11" fillId="4" borderId="10" xfId="0" applyFont="1" applyFill="1" applyBorder="1" applyAlignment="1">
      <alignment horizontal="center" vertical="center" textRotation="90"/>
    </xf>
    <xf numFmtId="0" fontId="7" fillId="4" borderId="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17" fontId="7" fillId="3" borderId="0" xfId="0" applyNumberFormat="1" applyFont="1" applyFill="1" applyAlignment="1">
      <alignment horizontal="center" vertical="center" wrapText="1"/>
    </xf>
    <xf numFmtId="3" fontId="20" fillId="3" borderId="25" xfId="0" applyNumberFormat="1" applyFont="1" applyFill="1" applyBorder="1" applyAlignment="1">
      <alignment horizontal="center" vertical="center" readingOrder="1"/>
    </xf>
    <xf numFmtId="3" fontId="20" fillId="3" borderId="26" xfId="0" applyNumberFormat="1" applyFont="1" applyFill="1" applyBorder="1" applyAlignment="1">
      <alignment horizontal="center" vertical="center" readingOrder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/>
    </xf>
    <xf numFmtId="0" fontId="9" fillId="3" borderId="42" xfId="0" applyFont="1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9" fillId="3" borderId="52" xfId="0" applyFont="1" applyFill="1" applyBorder="1" applyAlignment="1">
      <alignment horizontal="center"/>
    </xf>
    <xf numFmtId="2" fontId="20" fillId="3" borderId="25" xfId="0" applyNumberFormat="1" applyFont="1" applyFill="1" applyBorder="1" applyAlignment="1">
      <alignment horizontal="center" vertical="center" readingOrder="1"/>
    </xf>
    <xf numFmtId="2" fontId="20" fillId="3" borderId="26" xfId="0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12" fillId="0" borderId="24" xfId="0" applyFont="1" applyBorder="1" applyAlignment="1">
      <alignment horizontal="left"/>
    </xf>
    <xf numFmtId="0" fontId="12" fillId="0" borderId="63" xfId="0" applyFont="1" applyBorder="1" applyAlignment="1">
      <alignment horizontal="left" wrapText="1"/>
    </xf>
  </cellXfs>
  <cellStyles count="5">
    <cellStyle name="Hipervínculo" xfId="2" builtinId="8"/>
    <cellStyle name="Normal" xfId="0" builtinId="0"/>
    <cellStyle name="Normal 2 2" xfId="4" xr:uid="{D12C3D63-4C99-40D2-98CA-BAB1A6BF1570}"/>
    <cellStyle name="Normal 2 6" xfId="3" xr:uid="{768E896A-822E-410C-ADE3-80511F23280B}"/>
    <cellStyle name="Porcentaje" xfId="1" builtinId="5"/>
  </cellStyles>
  <dxfs count="0"/>
  <tableStyles count="1" defaultTableStyle="TableStyleMedium2" defaultPivotStyle="PivotStyleLight16">
    <tableStyle name="Invisible" pivot="0" table="0" count="0" xr9:uid="{853A9FED-21BE-4BBE-B439-DA82BF81FB9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2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Relationship Id="rId4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Relationship Id="rId4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Relationship Id="rId4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Relationship Id="rId4" Type="http://schemas.openxmlformats.org/officeDocument/2006/relationships/chartUserShapes" Target="../drawings/drawing34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Relationship Id="rId4" Type="http://schemas.openxmlformats.org/officeDocument/2006/relationships/chartUserShapes" Target="../drawings/drawing35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Relationship Id="rId4" Type="http://schemas.openxmlformats.org/officeDocument/2006/relationships/chartUserShapes" Target="../drawings/drawing36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25.xml"/><Relationship Id="rId1" Type="http://schemas.microsoft.com/office/2011/relationships/chartStyle" Target="style25.xml"/><Relationship Id="rId4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26.xml"/><Relationship Id="rId1" Type="http://schemas.microsoft.com/office/2011/relationships/chartStyle" Target="style26.xml"/><Relationship Id="rId4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27.xml"/><Relationship Id="rId1" Type="http://schemas.microsoft.com/office/2011/relationships/chartStyle" Target="style27.xml"/><Relationship Id="rId4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28.xml"/><Relationship Id="rId1" Type="http://schemas.microsoft.com/office/2011/relationships/chartStyle" Target="style28.xml"/><Relationship Id="rId4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29.xml"/><Relationship Id="rId1" Type="http://schemas.microsoft.com/office/2011/relationships/chartStyle" Target="style29.xml"/><Relationship Id="rId4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0.xml"/><Relationship Id="rId1" Type="http://schemas.microsoft.com/office/2011/relationships/chartStyle" Target="style30.xml"/><Relationship Id="rId4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31.xml"/><Relationship Id="rId1" Type="http://schemas.microsoft.com/office/2011/relationships/chartStyle" Target="style31.xml"/><Relationship Id="rId4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32.xml"/><Relationship Id="rId1" Type="http://schemas.microsoft.com/office/2011/relationships/chartStyle" Target="style32.xml"/><Relationship Id="rId4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33.xml"/><Relationship Id="rId1" Type="http://schemas.microsoft.com/office/2011/relationships/chartStyle" Target="style33.xml"/><Relationship Id="rId4" Type="http://schemas.openxmlformats.org/officeDocument/2006/relationships/chartUserShapes" Target="../drawings/drawing64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34.xml"/><Relationship Id="rId1" Type="http://schemas.microsoft.com/office/2011/relationships/chartStyle" Target="style34.xml"/><Relationship Id="rId4" Type="http://schemas.openxmlformats.org/officeDocument/2006/relationships/chartUserShapes" Target="../drawings/drawing65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35.xml"/><Relationship Id="rId1" Type="http://schemas.microsoft.com/office/2011/relationships/chartStyle" Target="style35.xml"/><Relationship Id="rId4" Type="http://schemas.openxmlformats.org/officeDocument/2006/relationships/chartUserShapes" Target="../drawings/drawing66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36.xml"/><Relationship Id="rId1" Type="http://schemas.microsoft.com/office/2011/relationships/chartStyle" Target="style36.xml"/><Relationship Id="rId4" Type="http://schemas.openxmlformats.org/officeDocument/2006/relationships/chartUserShapes" Target="../drawings/drawing67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37.xml"/><Relationship Id="rId1" Type="http://schemas.microsoft.com/office/2011/relationships/chartStyle" Target="style37.xml"/><Relationship Id="rId4" Type="http://schemas.openxmlformats.org/officeDocument/2006/relationships/chartUserShapes" Target="../drawings/drawing69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38.xml"/><Relationship Id="rId1" Type="http://schemas.microsoft.com/office/2011/relationships/chartStyle" Target="style38.xml"/><Relationship Id="rId4" Type="http://schemas.openxmlformats.org/officeDocument/2006/relationships/chartUserShapes" Target="../drawings/drawing70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39.xml"/><Relationship Id="rId1" Type="http://schemas.microsoft.com/office/2011/relationships/chartStyle" Target="style39.xml"/><Relationship Id="rId4" Type="http://schemas.openxmlformats.org/officeDocument/2006/relationships/chartUserShapes" Target="../drawings/drawing71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40.xml"/><Relationship Id="rId1" Type="http://schemas.microsoft.com/office/2011/relationships/chartStyle" Target="style40.xml"/><Relationship Id="rId4" Type="http://schemas.openxmlformats.org/officeDocument/2006/relationships/chartUserShapes" Target="../drawings/drawing72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7.xml"/><Relationship Id="rId2" Type="http://schemas.microsoft.com/office/2011/relationships/chartColorStyle" Target="colors41.xml"/><Relationship Id="rId1" Type="http://schemas.microsoft.com/office/2011/relationships/chartStyle" Target="style41.xml"/><Relationship Id="rId4" Type="http://schemas.openxmlformats.org/officeDocument/2006/relationships/chartUserShapes" Target="../drawings/drawing78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8.xml"/><Relationship Id="rId2" Type="http://schemas.microsoft.com/office/2011/relationships/chartColorStyle" Target="colors42.xml"/><Relationship Id="rId1" Type="http://schemas.microsoft.com/office/2011/relationships/chartStyle" Target="style42.xml"/><Relationship Id="rId4" Type="http://schemas.openxmlformats.org/officeDocument/2006/relationships/chartUserShapes" Target="../drawings/drawing79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9.xml"/><Relationship Id="rId2" Type="http://schemas.microsoft.com/office/2011/relationships/chartColorStyle" Target="colors43.xml"/><Relationship Id="rId1" Type="http://schemas.microsoft.com/office/2011/relationships/chartStyle" Target="style43.xml"/><Relationship Id="rId4" Type="http://schemas.openxmlformats.org/officeDocument/2006/relationships/chartUserShapes" Target="../drawings/drawing80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0.xml"/><Relationship Id="rId2" Type="http://schemas.microsoft.com/office/2011/relationships/chartColorStyle" Target="colors44.xml"/><Relationship Id="rId1" Type="http://schemas.microsoft.com/office/2011/relationships/chartStyle" Target="style44.xml"/><Relationship Id="rId4" Type="http://schemas.openxmlformats.org/officeDocument/2006/relationships/chartUserShapes" Target="../drawings/drawing81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82.xml"/></Relationships>
</file>

<file path=xl/charts/_rels/chart5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2.xml"/><Relationship Id="rId2" Type="http://schemas.microsoft.com/office/2011/relationships/chartColorStyle" Target="colors46.xml"/><Relationship Id="rId1" Type="http://schemas.microsoft.com/office/2011/relationships/chartStyle" Target="style46.xml"/><Relationship Id="rId4" Type="http://schemas.openxmlformats.org/officeDocument/2006/relationships/chartUserShapes" Target="../drawings/drawing83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47.xml"/><Relationship Id="rId1" Type="http://schemas.microsoft.com/office/2011/relationships/chartStyle" Target="style47.xml"/><Relationship Id="rId4" Type="http://schemas.openxmlformats.org/officeDocument/2006/relationships/chartUserShapes" Target="../drawings/drawing84.xml"/></Relationships>
</file>

<file path=xl/charts/_rels/chart5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4.xml"/><Relationship Id="rId2" Type="http://schemas.microsoft.com/office/2011/relationships/chartColorStyle" Target="colors48.xml"/><Relationship Id="rId1" Type="http://schemas.microsoft.com/office/2011/relationships/chartStyle" Target="style48.xml"/><Relationship Id="rId4" Type="http://schemas.openxmlformats.org/officeDocument/2006/relationships/chartUserShapes" Target="../drawings/drawing85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49.xml"/><Relationship Id="rId1" Type="http://schemas.microsoft.com/office/2011/relationships/chartStyle" Target="style49.xml"/><Relationship Id="rId4" Type="http://schemas.openxmlformats.org/officeDocument/2006/relationships/chartUserShapes" Target="../drawings/drawing86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6.xml"/><Relationship Id="rId2" Type="http://schemas.microsoft.com/office/2011/relationships/chartColorStyle" Target="colors50.xml"/><Relationship Id="rId1" Type="http://schemas.microsoft.com/office/2011/relationships/chartStyle" Target="style50.xml"/><Relationship Id="rId4" Type="http://schemas.openxmlformats.org/officeDocument/2006/relationships/chartUserShapes" Target="../drawings/drawing87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7.xml"/><Relationship Id="rId2" Type="http://schemas.microsoft.com/office/2011/relationships/chartColorStyle" Target="colors51.xml"/><Relationship Id="rId1" Type="http://schemas.microsoft.com/office/2011/relationships/chartStyle" Target="style51.xml"/><Relationship Id="rId4" Type="http://schemas.openxmlformats.org/officeDocument/2006/relationships/chartUserShapes" Target="../drawings/drawing88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8.xml"/><Relationship Id="rId2" Type="http://schemas.microsoft.com/office/2011/relationships/chartColorStyle" Target="colors52.xml"/><Relationship Id="rId1" Type="http://schemas.microsoft.com/office/2011/relationships/chartStyle" Target="style52.xml"/><Relationship Id="rId4" Type="http://schemas.openxmlformats.org/officeDocument/2006/relationships/chartUserShapes" Target="../drawings/drawing89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9.xml"/><Relationship Id="rId2" Type="http://schemas.microsoft.com/office/2011/relationships/chartColorStyle" Target="colors53.xml"/><Relationship Id="rId1" Type="http://schemas.microsoft.com/office/2011/relationships/chartStyle" Target="style53.xml"/><Relationship Id="rId4" Type="http://schemas.openxmlformats.org/officeDocument/2006/relationships/chartUserShapes" Target="../drawings/drawing90.xml"/></Relationships>
</file>

<file path=xl/charts/_rels/chart6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0.xml"/><Relationship Id="rId2" Type="http://schemas.microsoft.com/office/2011/relationships/chartColorStyle" Target="colors54.xml"/><Relationship Id="rId1" Type="http://schemas.microsoft.com/office/2011/relationships/chartStyle" Target="style54.xml"/><Relationship Id="rId4" Type="http://schemas.openxmlformats.org/officeDocument/2006/relationships/chartUserShapes" Target="../drawings/drawing92.xml"/></Relationships>
</file>

<file path=xl/charts/_rels/chart6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1.xml"/><Relationship Id="rId2" Type="http://schemas.microsoft.com/office/2011/relationships/chartColorStyle" Target="colors55.xml"/><Relationship Id="rId1" Type="http://schemas.microsoft.com/office/2011/relationships/chartStyle" Target="style55.xml"/><Relationship Id="rId4" Type="http://schemas.openxmlformats.org/officeDocument/2006/relationships/chartUserShapes" Target="../drawings/drawing93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2.xml"/><Relationship Id="rId2" Type="http://schemas.microsoft.com/office/2011/relationships/chartColorStyle" Target="colors56.xml"/><Relationship Id="rId1" Type="http://schemas.microsoft.com/office/2011/relationships/chartStyle" Target="style56.xml"/><Relationship Id="rId4" Type="http://schemas.openxmlformats.org/officeDocument/2006/relationships/chartUserShapes" Target="../drawings/drawing94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3.xml"/><Relationship Id="rId2" Type="http://schemas.microsoft.com/office/2011/relationships/chartColorStyle" Target="colors57.xml"/><Relationship Id="rId1" Type="http://schemas.microsoft.com/office/2011/relationships/chartStyle" Target="style57.xml"/><Relationship Id="rId4" Type="http://schemas.openxmlformats.org/officeDocument/2006/relationships/chartUserShapes" Target="../drawings/drawing95.xml"/></Relationships>
</file>

<file path=xl/charts/_rels/chart6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4.xml"/><Relationship Id="rId2" Type="http://schemas.microsoft.com/office/2011/relationships/chartColorStyle" Target="colors58.xml"/><Relationship Id="rId1" Type="http://schemas.microsoft.com/office/2011/relationships/chartStyle" Target="style58.xml"/><Relationship Id="rId4" Type="http://schemas.openxmlformats.org/officeDocument/2006/relationships/chartUserShapes" Target="../drawings/drawing98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5.xml"/><Relationship Id="rId2" Type="http://schemas.microsoft.com/office/2011/relationships/chartColorStyle" Target="colors59.xml"/><Relationship Id="rId1" Type="http://schemas.microsoft.com/office/2011/relationships/chartStyle" Target="style59.xml"/><Relationship Id="rId4" Type="http://schemas.openxmlformats.org/officeDocument/2006/relationships/chartUserShapes" Target="../drawings/drawing99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6.xml"/><Relationship Id="rId2" Type="http://schemas.microsoft.com/office/2011/relationships/chartColorStyle" Target="colors60.xml"/><Relationship Id="rId1" Type="http://schemas.microsoft.com/office/2011/relationships/chartStyle" Target="style60.xml"/><Relationship Id="rId4" Type="http://schemas.openxmlformats.org/officeDocument/2006/relationships/chartUserShapes" Target="../drawings/drawing100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7.xml"/><Relationship Id="rId2" Type="http://schemas.microsoft.com/office/2011/relationships/chartColorStyle" Target="colors61.xml"/><Relationship Id="rId1" Type="http://schemas.microsoft.com/office/2011/relationships/chartStyle" Target="style61.xml"/><Relationship Id="rId4" Type="http://schemas.openxmlformats.org/officeDocument/2006/relationships/chartUserShapes" Target="../drawings/drawing101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6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9.xml"/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8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2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3.xml"/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5.xml"/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6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7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8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9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1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69.xml"/></Relationships>
</file>

<file path=xl/charts/_rels/chart7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3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5.xml"/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0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7.xml"/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2.xml"/><Relationship Id="rId2" Type="http://schemas.microsoft.com/office/2011/relationships/chartColorStyle" Target="colors75.xml"/><Relationship Id="rId1" Type="http://schemas.microsoft.com/office/2011/relationships/chartStyle" Target="style75.xml"/><Relationship Id="rId4" Type="http://schemas.openxmlformats.org/officeDocument/2006/relationships/chartUserShapes" Target="../drawings/drawing133.xml"/></Relationships>
</file>

<file path=xl/charts/_rels/chart8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3.xml"/><Relationship Id="rId2" Type="http://schemas.microsoft.com/office/2011/relationships/chartColorStyle" Target="colors76.xml"/><Relationship Id="rId1" Type="http://schemas.microsoft.com/office/2011/relationships/chartStyle" Target="style76.xml"/><Relationship Id="rId4" Type="http://schemas.openxmlformats.org/officeDocument/2006/relationships/chartUserShapes" Target="../drawings/drawing135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4.xml"/><Relationship Id="rId2" Type="http://schemas.microsoft.com/office/2011/relationships/chartColorStyle" Target="colors77.xml"/><Relationship Id="rId1" Type="http://schemas.microsoft.com/office/2011/relationships/chartStyle" Target="style77.xml"/><Relationship Id="rId4" Type="http://schemas.openxmlformats.org/officeDocument/2006/relationships/chartUserShapes" Target="../drawings/drawing1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87-4164-8F90-2BF4205AD886}"/>
              </c:ext>
            </c:extLst>
          </c:dPt>
          <c:val>
            <c:numRef>
              <c:f>'Viajeros entr evol mensu TF'!$I$9:$I$21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7-4164-8F90-2BF4205AD886}"/>
            </c:ext>
          </c:extLst>
        </c:ser>
        <c:ser>
          <c:idx val="0"/>
          <c:order val="2"/>
          <c:tx>
            <c:strRef>
              <c:f>'Viajeros entr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87-4164-8F90-2BF4205AD88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TF'!$K$9:$K$21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87-4164-8F90-2BF4205AD886}"/>
            </c:ext>
          </c:extLst>
        </c:ser>
        <c:ser>
          <c:idx val="1"/>
          <c:order val="3"/>
          <c:tx>
            <c:strRef>
              <c:f>'Viajeros entr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87-4164-8F90-2BF4205AD88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87-4164-8F90-2BF4205AD886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TF'!$M$9:$M$21</c:f>
              <c:numCache>
                <c:formatCode>#,##0</c:formatCode>
                <c:ptCount val="13"/>
                <c:pt idx="0">
                  <c:v>5311</c:v>
                </c:pt>
                <c:pt idx="1">
                  <c:v>4194</c:v>
                </c:pt>
                <c:pt idx="2">
                  <c:v>5342</c:v>
                </c:pt>
                <c:pt idx="3">
                  <c:v>4308</c:v>
                </c:pt>
                <c:pt idx="4">
                  <c:v>4998</c:v>
                </c:pt>
                <c:pt idx="5">
                  <c:v>4119</c:v>
                </c:pt>
                <c:pt idx="12">
                  <c:v>28272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87-4164-8F90-2BF4205AD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687-4164-8F90-2BF4205AD88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5197</c:v>
                      </c:pt>
                      <c:pt idx="1">
                        <c:v>5359</c:v>
                      </c:pt>
                      <c:pt idx="2">
                        <c:v>2198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2777</c:v>
                      </c:pt>
                      <c:pt idx="8">
                        <c:v>1764</c:v>
                      </c:pt>
                      <c:pt idx="9">
                        <c:v>1764</c:v>
                      </c:pt>
                      <c:pt idx="10">
                        <c:v>1763</c:v>
                      </c:pt>
                      <c:pt idx="11">
                        <c:v>1794</c:v>
                      </c:pt>
                      <c:pt idx="12">
                        <c:v>24221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687-4164-8F90-2BF4205AD88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687-4164-8F90-2BF4205AD88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687-4164-8F90-2BF4205AD88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687-4164-8F90-2BF4205AD88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687-4164-8F90-2BF4205AD88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687-4164-8F90-2BF4205AD88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687-4164-8F90-2BF4205AD88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687-4164-8F90-2BF4205AD88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87-4164-8F90-2BF4205AD88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87-4164-8F90-2BF4205AD88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87-4164-8F90-2BF4205AD88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87-4164-8F90-2BF4205AD88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87-4164-8F90-2BF4205AD88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87-4164-8F90-2BF4205AD886}"/>
              </c:ext>
            </c:extLst>
          </c:dPt>
          <c:cat>
            <c:strRef>
              <c:f>'Viajeros entr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TF'!$N$9:$N$21</c:f>
              <c:numCache>
                <c:formatCode>0.0%</c:formatCode>
                <c:ptCount val="13"/>
                <c:pt idx="0">
                  <c:v>1.8018018018018056E-2</c:v>
                </c:pt>
                <c:pt idx="1">
                  <c:v>-0.12679575265459087</c:v>
                </c:pt>
                <c:pt idx="2">
                  <c:v>3.3668730650154854E-2</c:v>
                </c:pt>
                <c:pt idx="3">
                  <c:v>-0.147605856747131</c:v>
                </c:pt>
                <c:pt idx="4">
                  <c:v>1.2019230769231282E-3</c:v>
                </c:pt>
                <c:pt idx="5">
                  <c:v>3.9101917255297769E-2</c:v>
                </c:pt>
                <c:pt idx="12">
                  <c:v>-3.1714500993218708E-2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687-4164-8F90-2BF4205AD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D9-45F6-8E90-3A28A29A22C8}"/>
              </c:ext>
            </c:extLst>
          </c:dPt>
          <c:val>
            <c:numRef>
              <c:f>'Viajeros entr evol mensu TF'!$I$31:$I$43</c:f>
              <c:numCache>
                <c:formatCode>#,##0</c:formatCode>
                <c:ptCount val="13"/>
                <c:pt idx="0">
                  <c:v>3042</c:v>
                </c:pt>
                <c:pt idx="1">
                  <c:v>3101</c:v>
                </c:pt>
                <c:pt idx="2">
                  <c:v>3421</c:v>
                </c:pt>
                <c:pt idx="3">
                  <c:v>3521</c:v>
                </c:pt>
                <c:pt idx="4">
                  <c:v>3551</c:v>
                </c:pt>
                <c:pt idx="5">
                  <c:v>3284</c:v>
                </c:pt>
                <c:pt idx="6">
                  <c:v>3186</c:v>
                </c:pt>
                <c:pt idx="7">
                  <c:v>3372</c:v>
                </c:pt>
                <c:pt idx="8">
                  <c:v>3382</c:v>
                </c:pt>
                <c:pt idx="9">
                  <c:v>2825</c:v>
                </c:pt>
                <c:pt idx="10">
                  <c:v>2455</c:v>
                </c:pt>
                <c:pt idx="11">
                  <c:v>2582</c:v>
                </c:pt>
                <c:pt idx="12">
                  <c:v>37722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D9-45F6-8E90-3A28A29A22C8}"/>
            </c:ext>
          </c:extLst>
        </c:ser>
        <c:ser>
          <c:idx val="0"/>
          <c:order val="2"/>
          <c:tx>
            <c:strRef>
              <c:f>'Viajeros entr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D9-45F6-8E90-3A28A29A22C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TF'!$K$31:$K$43</c:f>
              <c:numCache>
                <c:formatCode>#,##0</c:formatCode>
                <c:ptCount val="13"/>
                <c:pt idx="0">
                  <c:v>2177</c:v>
                </c:pt>
                <c:pt idx="1">
                  <c:v>2167</c:v>
                </c:pt>
                <c:pt idx="2">
                  <c:v>2632</c:v>
                </c:pt>
                <c:pt idx="3">
                  <c:v>3276</c:v>
                </c:pt>
                <c:pt idx="4">
                  <c:v>3636</c:v>
                </c:pt>
                <c:pt idx="5">
                  <c:v>3008</c:v>
                </c:pt>
                <c:pt idx="6">
                  <c:v>3447</c:v>
                </c:pt>
                <c:pt idx="7">
                  <c:v>1718</c:v>
                </c:pt>
                <c:pt idx="8">
                  <c:v>4092</c:v>
                </c:pt>
                <c:pt idx="9">
                  <c:v>3162</c:v>
                </c:pt>
                <c:pt idx="10">
                  <c:v>3284</c:v>
                </c:pt>
                <c:pt idx="11">
                  <c:v>3222</c:v>
                </c:pt>
                <c:pt idx="12">
                  <c:v>35821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D9-45F6-8E90-3A28A29A22C8}"/>
            </c:ext>
          </c:extLst>
        </c:ser>
        <c:ser>
          <c:idx val="1"/>
          <c:order val="3"/>
          <c:tx>
            <c:strRef>
              <c:f>'Viajeros entr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D9-45F6-8E90-3A28A29A22C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D9-45F6-8E90-3A28A29A22C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TF'!$M$31:$M$43</c:f>
              <c:numCache>
                <c:formatCode>#,##0</c:formatCode>
                <c:ptCount val="13"/>
                <c:pt idx="0">
                  <c:v>2652</c:v>
                </c:pt>
                <c:pt idx="1">
                  <c:v>1760</c:v>
                </c:pt>
                <c:pt idx="2">
                  <c:v>2763</c:v>
                </c:pt>
                <c:pt idx="3">
                  <c:v>2835</c:v>
                </c:pt>
                <c:pt idx="4">
                  <c:v>3517</c:v>
                </c:pt>
                <c:pt idx="5">
                  <c:v>3117</c:v>
                </c:pt>
                <c:pt idx="12">
                  <c:v>16644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D9-45F6-8E90-3A28A29A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9D9-45F6-8E90-3A28A29A22C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3059</c:v>
                      </c:pt>
                      <c:pt idx="1">
                        <c:v>3061</c:v>
                      </c:pt>
                      <c:pt idx="2">
                        <c:v>1334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2135</c:v>
                      </c:pt>
                      <c:pt idx="8">
                        <c:v>1442</c:v>
                      </c:pt>
                      <c:pt idx="9">
                        <c:v>1351</c:v>
                      </c:pt>
                      <c:pt idx="10">
                        <c:v>1256</c:v>
                      </c:pt>
                      <c:pt idx="11">
                        <c:v>1139</c:v>
                      </c:pt>
                      <c:pt idx="12">
                        <c:v>16023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9D9-45F6-8E90-3A28A29A22C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D9-45F6-8E90-3A28A29A22C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D9-45F6-8E90-3A28A29A22C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D9-45F6-8E90-3A28A29A22C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D9-45F6-8E90-3A28A29A22C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D9-45F6-8E90-3A28A29A22C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D9-45F6-8E90-3A28A29A22C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D9-45F6-8E90-3A28A29A22C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D9-45F6-8E90-3A28A29A22C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D9-45F6-8E90-3A28A29A22C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D9-45F6-8E90-3A28A29A22C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D9-45F6-8E90-3A28A29A22C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D9-45F6-8E90-3A28A29A22C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D9-45F6-8E90-3A28A29A22C8}"/>
              </c:ext>
            </c:extLst>
          </c:dPt>
          <c:cat>
            <c:strRef>
              <c:f>'Viajeros entr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TF'!$N$31:$N$43</c:f>
              <c:numCache>
                <c:formatCode>0.0%</c:formatCode>
                <c:ptCount val="13"/>
                <c:pt idx="0">
                  <c:v>0.21819016995865881</c:v>
                </c:pt>
                <c:pt idx="1">
                  <c:v>-0.18781725888324874</c:v>
                </c:pt>
                <c:pt idx="2">
                  <c:v>4.9772036474164061E-2</c:v>
                </c:pt>
                <c:pt idx="3">
                  <c:v>-0.13461538461538458</c:v>
                </c:pt>
                <c:pt idx="4">
                  <c:v>-3.2728272827282745E-2</c:v>
                </c:pt>
                <c:pt idx="5">
                  <c:v>3.6236702127659504E-2</c:v>
                </c:pt>
                <c:pt idx="12">
                  <c:v>-1.4914772727272707E-2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9D9-45F6-8E90-3A28A29A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1A-43D0-8AB6-4853870FEEED}"/>
              </c:ext>
            </c:extLst>
          </c:dPt>
          <c:val>
            <c:numRef>
              <c:f>'Viajeros entr evol mensu TF'!$I$53:$I$65</c:f>
              <c:numCache>
                <c:formatCode>#,##0</c:formatCode>
                <c:ptCount val="13"/>
                <c:pt idx="0">
                  <c:v>1557</c:v>
                </c:pt>
                <c:pt idx="1">
                  <c:v>2612</c:v>
                </c:pt>
                <c:pt idx="2">
                  <c:v>2794</c:v>
                </c:pt>
                <c:pt idx="3">
                  <c:v>2342</c:v>
                </c:pt>
                <c:pt idx="4">
                  <c:v>2194</c:v>
                </c:pt>
                <c:pt idx="5">
                  <c:v>2466</c:v>
                </c:pt>
                <c:pt idx="6">
                  <c:v>1977</c:v>
                </c:pt>
                <c:pt idx="7">
                  <c:v>1933</c:v>
                </c:pt>
                <c:pt idx="8">
                  <c:v>2450</c:v>
                </c:pt>
                <c:pt idx="9">
                  <c:v>2164</c:v>
                </c:pt>
                <c:pt idx="10">
                  <c:v>1784</c:v>
                </c:pt>
                <c:pt idx="11">
                  <c:v>1425</c:v>
                </c:pt>
                <c:pt idx="12">
                  <c:v>25698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1A-43D0-8AB6-4853870FEEED}"/>
            </c:ext>
          </c:extLst>
        </c:ser>
        <c:ser>
          <c:idx val="0"/>
          <c:order val="2"/>
          <c:tx>
            <c:strRef>
              <c:f>'Viajeros entr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1A-43D0-8AB6-4853870FEEE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TF'!$K$53:$K$65</c:f>
              <c:numCache>
                <c:formatCode>#,##0</c:formatCode>
                <c:ptCount val="13"/>
                <c:pt idx="0">
                  <c:v>1445</c:v>
                </c:pt>
                <c:pt idx="1">
                  <c:v>1852</c:v>
                </c:pt>
                <c:pt idx="2">
                  <c:v>1883</c:v>
                </c:pt>
                <c:pt idx="3">
                  <c:v>2557</c:v>
                </c:pt>
                <c:pt idx="4">
                  <c:v>2203</c:v>
                </c:pt>
                <c:pt idx="5">
                  <c:v>2292</c:v>
                </c:pt>
                <c:pt idx="6">
                  <c:v>1831</c:v>
                </c:pt>
                <c:pt idx="7">
                  <c:v>1542</c:v>
                </c:pt>
                <c:pt idx="8">
                  <c:v>2346</c:v>
                </c:pt>
                <c:pt idx="9">
                  <c:v>2197</c:v>
                </c:pt>
                <c:pt idx="10">
                  <c:v>2044</c:v>
                </c:pt>
                <c:pt idx="11">
                  <c:v>1752</c:v>
                </c:pt>
                <c:pt idx="12">
                  <c:v>23944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1A-43D0-8AB6-4853870FEEED}"/>
            </c:ext>
          </c:extLst>
        </c:ser>
        <c:ser>
          <c:idx val="1"/>
          <c:order val="3"/>
          <c:tx>
            <c:strRef>
              <c:f>'Viajeros entr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1A-43D0-8AB6-4853870FEEE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1A-43D0-8AB6-4853870FEEED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TF'!$M$53:$M$65</c:f>
              <c:numCache>
                <c:formatCode>#,##0</c:formatCode>
                <c:ptCount val="13"/>
                <c:pt idx="0">
                  <c:v>1752</c:v>
                </c:pt>
                <c:pt idx="1">
                  <c:v>1371</c:v>
                </c:pt>
                <c:pt idx="2">
                  <c:v>1927</c:v>
                </c:pt>
                <c:pt idx="3">
                  <c:v>2005</c:v>
                </c:pt>
                <c:pt idx="4">
                  <c:v>2100</c:v>
                </c:pt>
                <c:pt idx="5">
                  <c:v>2095</c:v>
                </c:pt>
                <c:pt idx="12">
                  <c:v>11250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31A-43D0-8AB6-4853870FE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31A-43D0-8AB6-4853870FEEE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1208</c:v>
                      </c:pt>
                      <c:pt idx="1">
                        <c:v>1387</c:v>
                      </c:pt>
                      <c:pt idx="2">
                        <c:v>620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1123</c:v>
                      </c:pt>
                      <c:pt idx="8">
                        <c:v>763</c:v>
                      </c:pt>
                      <c:pt idx="9">
                        <c:v>792</c:v>
                      </c:pt>
                      <c:pt idx="10">
                        <c:v>488</c:v>
                      </c:pt>
                      <c:pt idx="11">
                        <c:v>371</c:v>
                      </c:pt>
                      <c:pt idx="12">
                        <c:v>7339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31A-43D0-8AB6-4853870FEEE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1A-43D0-8AB6-4853870FEEE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1A-43D0-8AB6-4853870FEEE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1A-43D0-8AB6-4853870FEEE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1A-43D0-8AB6-4853870FEEE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1A-43D0-8AB6-4853870FEEE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1A-43D0-8AB6-4853870FEEE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1A-43D0-8AB6-4853870FEEE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1A-43D0-8AB6-4853870FEEE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1A-43D0-8AB6-4853870FEEE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1A-43D0-8AB6-4853870FEEE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1A-43D0-8AB6-4853870FEEE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1A-43D0-8AB6-4853870FEEE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1A-43D0-8AB6-4853870FEEED}"/>
              </c:ext>
            </c:extLst>
          </c:dPt>
          <c:cat>
            <c:strRef>
              <c:f>'Viajeros entr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TF'!$N$53:$N$65</c:f>
              <c:numCache>
                <c:formatCode>0.0%</c:formatCode>
                <c:ptCount val="13"/>
                <c:pt idx="0">
                  <c:v>0.21245674740484422</c:v>
                </c:pt>
                <c:pt idx="1">
                  <c:v>-0.25971922246220303</c:v>
                </c:pt>
                <c:pt idx="2">
                  <c:v>2.3366967604885769E-2</c:v>
                </c:pt>
                <c:pt idx="3">
                  <c:v>-0.21587798201016817</c:v>
                </c:pt>
                <c:pt idx="4">
                  <c:v>-4.6754425783023135E-2</c:v>
                </c:pt>
                <c:pt idx="5">
                  <c:v>-8.5951134380453764E-2</c:v>
                </c:pt>
                <c:pt idx="12">
                  <c:v>-8.0281229561805056E-2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31A-43D0-8AB6-4853870FE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01-466E-A407-FC78D1399839}"/>
              </c:ext>
            </c:extLst>
          </c:dPt>
          <c:val>
            <c:numRef>
              <c:f>'Viajeros entr evol mensu TF'!$I$75:$I$87</c:f>
              <c:numCache>
                <c:formatCode>#,##0</c:formatCode>
                <c:ptCount val="13"/>
                <c:pt idx="0">
                  <c:v>1485</c:v>
                </c:pt>
                <c:pt idx="1">
                  <c:v>489</c:v>
                </c:pt>
                <c:pt idx="2">
                  <c:v>627</c:v>
                </c:pt>
                <c:pt idx="3">
                  <c:v>1179</c:v>
                </c:pt>
                <c:pt idx="4">
                  <c:v>1357</c:v>
                </c:pt>
                <c:pt idx="5">
                  <c:v>818</c:v>
                </c:pt>
                <c:pt idx="6">
                  <c:v>1209</c:v>
                </c:pt>
                <c:pt idx="7">
                  <c:v>1439</c:v>
                </c:pt>
                <c:pt idx="8">
                  <c:v>932</c:v>
                </c:pt>
                <c:pt idx="9">
                  <c:v>661</c:v>
                </c:pt>
                <c:pt idx="10">
                  <c:v>671</c:v>
                </c:pt>
                <c:pt idx="11">
                  <c:v>1157</c:v>
                </c:pt>
                <c:pt idx="12">
                  <c:v>12024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01-466E-A407-FC78D1399839}"/>
            </c:ext>
          </c:extLst>
        </c:ser>
        <c:ser>
          <c:idx val="0"/>
          <c:order val="2"/>
          <c:tx>
            <c:strRef>
              <c:f>'Viajeros entr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01-466E-A407-FC78D139983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TF'!$K$75:$K$87</c:f>
              <c:numCache>
                <c:formatCode>#,##0</c:formatCode>
                <c:ptCount val="13"/>
                <c:pt idx="0">
                  <c:v>732</c:v>
                </c:pt>
                <c:pt idx="1">
                  <c:v>315</c:v>
                </c:pt>
                <c:pt idx="2">
                  <c:v>749</c:v>
                </c:pt>
                <c:pt idx="3">
                  <c:v>719</c:v>
                </c:pt>
                <c:pt idx="4">
                  <c:v>1433</c:v>
                </c:pt>
                <c:pt idx="5">
                  <c:v>716</c:v>
                </c:pt>
                <c:pt idx="6">
                  <c:v>1616</c:v>
                </c:pt>
                <c:pt idx="7">
                  <c:v>176</c:v>
                </c:pt>
                <c:pt idx="8">
                  <c:v>1746</c:v>
                </c:pt>
                <c:pt idx="9">
                  <c:v>965</c:v>
                </c:pt>
                <c:pt idx="10">
                  <c:v>1240</c:v>
                </c:pt>
                <c:pt idx="11">
                  <c:v>1470</c:v>
                </c:pt>
                <c:pt idx="12">
                  <c:v>11877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01-466E-A407-FC78D1399839}"/>
            </c:ext>
          </c:extLst>
        </c:ser>
        <c:ser>
          <c:idx val="1"/>
          <c:order val="3"/>
          <c:tx>
            <c:strRef>
              <c:f>'Viajeros entr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01-466E-A407-FC78D139983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E01-466E-A407-FC78D1399839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TF'!$M$75:$M$87</c:f>
              <c:numCache>
                <c:formatCode>#,##0</c:formatCode>
                <c:ptCount val="13"/>
                <c:pt idx="0">
                  <c:v>900</c:v>
                </c:pt>
                <c:pt idx="1">
                  <c:v>389</c:v>
                </c:pt>
                <c:pt idx="2">
                  <c:v>836</c:v>
                </c:pt>
                <c:pt idx="3">
                  <c:v>830</c:v>
                </c:pt>
                <c:pt idx="4">
                  <c:v>1417</c:v>
                </c:pt>
                <c:pt idx="5">
                  <c:v>1022</c:v>
                </c:pt>
                <c:pt idx="12">
                  <c:v>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01-466E-A407-FC78D1399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E01-466E-A407-FC78D139983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1851</c:v>
                      </c:pt>
                      <c:pt idx="1">
                        <c:v>1674</c:v>
                      </c:pt>
                      <c:pt idx="2">
                        <c:v>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1012</c:v>
                      </c:pt>
                      <c:pt idx="8">
                        <c:v>679</c:v>
                      </c:pt>
                      <c:pt idx="9">
                        <c:v>559</c:v>
                      </c:pt>
                      <c:pt idx="10">
                        <c:v>768</c:v>
                      </c:pt>
                      <c:pt idx="11">
                        <c:v>768</c:v>
                      </c:pt>
                      <c:pt idx="12">
                        <c:v>8684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E01-466E-A407-FC78D139983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E01-466E-A407-FC78D139983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E01-466E-A407-FC78D139983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E01-466E-A407-FC78D139983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E01-466E-A407-FC78D139983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01-466E-A407-FC78D139983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01-466E-A407-FC78D139983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01-466E-A407-FC78D139983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01-466E-A407-FC78D139983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01-466E-A407-FC78D139983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01-466E-A407-FC78D139983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01-466E-A407-FC78D139983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01-466E-A407-FC78D139983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01-466E-A407-FC78D1399839}"/>
              </c:ext>
            </c:extLst>
          </c:dPt>
          <c:cat>
            <c:strRef>
              <c:f>'Viajeros entr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TF'!$N$75:$N$87</c:f>
              <c:numCache>
                <c:formatCode>0.0%</c:formatCode>
                <c:ptCount val="13"/>
                <c:pt idx="0">
                  <c:v>0.22950819672131151</c:v>
                </c:pt>
                <c:pt idx="1">
                  <c:v>0.23492063492063497</c:v>
                </c:pt>
                <c:pt idx="2">
                  <c:v>0.11615487316421902</c:v>
                </c:pt>
                <c:pt idx="3">
                  <c:v>0.15438108484005553</c:v>
                </c:pt>
                <c:pt idx="4">
                  <c:v>-1.1165387299371998E-2</c:v>
                </c:pt>
                <c:pt idx="5">
                  <c:v>0.42737430167597767</c:v>
                </c:pt>
                <c:pt idx="12">
                  <c:v>0.15651801029159529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E01-466E-A407-FC78D1399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81-4C86-A925-8430135AA2E0}"/>
              </c:ext>
            </c:extLst>
          </c:dPt>
          <c:val>
            <c:numRef>
              <c:f>'Viajeros entr evol mensu TF'!$I$97:$I$109</c:f>
              <c:numCache>
                <c:formatCode>#,##0</c:formatCode>
                <c:ptCount val="13"/>
                <c:pt idx="0">
                  <c:v>2348</c:v>
                </c:pt>
                <c:pt idx="1">
                  <c:v>2169</c:v>
                </c:pt>
                <c:pt idx="2">
                  <c:v>2238</c:v>
                </c:pt>
                <c:pt idx="3">
                  <c:v>1649</c:v>
                </c:pt>
                <c:pt idx="4">
                  <c:v>1462</c:v>
                </c:pt>
                <c:pt idx="5">
                  <c:v>897</c:v>
                </c:pt>
                <c:pt idx="6">
                  <c:v>1154</c:v>
                </c:pt>
                <c:pt idx="7">
                  <c:v>1273</c:v>
                </c:pt>
                <c:pt idx="8">
                  <c:v>1139</c:v>
                </c:pt>
                <c:pt idx="9">
                  <c:v>1594</c:v>
                </c:pt>
                <c:pt idx="10">
                  <c:v>2509</c:v>
                </c:pt>
                <c:pt idx="11">
                  <c:v>2003</c:v>
                </c:pt>
                <c:pt idx="12">
                  <c:v>20435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1-4C86-A925-8430135AA2E0}"/>
            </c:ext>
          </c:extLst>
        </c:ser>
        <c:ser>
          <c:idx val="0"/>
          <c:order val="2"/>
          <c:tx>
            <c:strRef>
              <c:f>'Viajeros entr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B81-4C86-A925-8430135AA2E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TF'!$K$97:$K$109</c:f>
              <c:numCache>
                <c:formatCode>#,##0</c:formatCode>
                <c:ptCount val="13"/>
                <c:pt idx="0">
                  <c:v>3040</c:v>
                </c:pt>
                <c:pt idx="1">
                  <c:v>2636</c:v>
                </c:pt>
                <c:pt idx="2">
                  <c:v>2536</c:v>
                </c:pt>
                <c:pt idx="3">
                  <c:v>1778</c:v>
                </c:pt>
                <c:pt idx="4">
                  <c:v>1356</c:v>
                </c:pt>
                <c:pt idx="5">
                  <c:v>956</c:v>
                </c:pt>
                <c:pt idx="6">
                  <c:v>1146</c:v>
                </c:pt>
                <c:pt idx="7">
                  <c:v>1181</c:v>
                </c:pt>
                <c:pt idx="8">
                  <c:v>995</c:v>
                </c:pt>
                <c:pt idx="9">
                  <c:v>1757</c:v>
                </c:pt>
                <c:pt idx="10">
                  <c:v>2180</c:v>
                </c:pt>
                <c:pt idx="11">
                  <c:v>2006</c:v>
                </c:pt>
                <c:pt idx="12">
                  <c:v>21567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81-4C86-A925-8430135AA2E0}"/>
            </c:ext>
          </c:extLst>
        </c:ser>
        <c:ser>
          <c:idx val="1"/>
          <c:order val="3"/>
          <c:tx>
            <c:strRef>
              <c:f>'Viajeros entr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81-4C86-A925-8430135AA2E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81-4C86-A925-8430135AA2E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TF'!$M$97:$M$109</c:f>
              <c:numCache>
                <c:formatCode>#,##0</c:formatCode>
                <c:ptCount val="13"/>
                <c:pt idx="0">
                  <c:v>2659</c:v>
                </c:pt>
                <c:pt idx="1">
                  <c:v>2434</c:v>
                </c:pt>
                <c:pt idx="2">
                  <c:v>2579</c:v>
                </c:pt>
                <c:pt idx="3">
                  <c:v>1473</c:v>
                </c:pt>
                <c:pt idx="4">
                  <c:v>1481</c:v>
                </c:pt>
                <c:pt idx="5">
                  <c:v>1002</c:v>
                </c:pt>
                <c:pt idx="12">
                  <c:v>11628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81-4C86-A925-8430135AA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B81-4C86-A925-8430135AA2E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2138</c:v>
                      </c:pt>
                      <c:pt idx="1">
                        <c:v>2298</c:v>
                      </c:pt>
                      <c:pt idx="2">
                        <c:v>864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642</c:v>
                      </c:pt>
                      <c:pt idx="8">
                        <c:v>322</c:v>
                      </c:pt>
                      <c:pt idx="9">
                        <c:v>413</c:v>
                      </c:pt>
                      <c:pt idx="10">
                        <c:v>507</c:v>
                      </c:pt>
                      <c:pt idx="11">
                        <c:v>655</c:v>
                      </c:pt>
                      <c:pt idx="12">
                        <c:v>8198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B81-4C86-A925-8430135AA2E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81-4C86-A925-8430135AA2E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81-4C86-A925-8430135AA2E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81-4C86-A925-8430135AA2E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81-4C86-A925-8430135AA2E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81-4C86-A925-8430135AA2E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81-4C86-A925-8430135AA2E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81-4C86-A925-8430135AA2E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81-4C86-A925-8430135AA2E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81-4C86-A925-8430135AA2E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81-4C86-A925-8430135AA2E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81-4C86-A925-8430135AA2E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81-4C86-A925-8430135AA2E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81-4C86-A925-8430135AA2E0}"/>
              </c:ext>
            </c:extLst>
          </c:dPt>
          <c:cat>
            <c:strRef>
              <c:f>'Viajeros entr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TF'!$N$97:$N$109</c:f>
              <c:numCache>
                <c:formatCode>0.0%</c:formatCode>
                <c:ptCount val="13"/>
                <c:pt idx="0">
                  <c:v>-0.12532894736842104</c:v>
                </c:pt>
                <c:pt idx="1">
                  <c:v>-7.6631259484066794E-2</c:v>
                </c:pt>
                <c:pt idx="2">
                  <c:v>1.6955835962145116E-2</c:v>
                </c:pt>
                <c:pt idx="3">
                  <c:v>-0.17154105736782899</c:v>
                </c:pt>
                <c:pt idx="4">
                  <c:v>9.2182890855457167E-2</c:v>
                </c:pt>
                <c:pt idx="5">
                  <c:v>4.8117154811715412E-2</c:v>
                </c:pt>
                <c:pt idx="12">
                  <c:v>-5.47878393757113E-2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B81-4C86-A925-8430135AA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35-40FE-8A09-2DE72E4DE1A0}"/>
              </c:ext>
            </c:extLst>
          </c:dPt>
          <c:val>
            <c:numRef>
              <c:f>'Viajeros entr evol mensu TF'!$I$119:$I$131</c:f>
              <c:numCache>
                <c:formatCode>#,##0</c:formatCode>
                <c:ptCount val="13"/>
                <c:pt idx="0">
                  <c:v>378</c:v>
                </c:pt>
                <c:pt idx="1">
                  <c:v>411</c:v>
                </c:pt>
                <c:pt idx="2">
                  <c:v>344</c:v>
                </c:pt>
                <c:pt idx="3">
                  <c:v>155</c:v>
                </c:pt>
                <c:pt idx="4">
                  <c:v>149</c:v>
                </c:pt>
                <c:pt idx="5">
                  <c:v>124</c:v>
                </c:pt>
                <c:pt idx="6">
                  <c:v>160</c:v>
                </c:pt>
                <c:pt idx="7">
                  <c:v>153</c:v>
                </c:pt>
                <c:pt idx="8">
                  <c:v>144</c:v>
                </c:pt>
                <c:pt idx="9">
                  <c:v>180</c:v>
                </c:pt>
                <c:pt idx="10">
                  <c:v>278</c:v>
                </c:pt>
                <c:pt idx="11">
                  <c:v>319</c:v>
                </c:pt>
                <c:pt idx="12">
                  <c:v>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35-40FE-8A09-2DE72E4DE1A0}"/>
            </c:ext>
          </c:extLst>
        </c:ser>
        <c:ser>
          <c:idx val="0"/>
          <c:order val="2"/>
          <c:tx>
            <c:strRef>
              <c:f>'Viajeros entr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35-40FE-8A09-2DE72E4DE1A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TF'!$K$119:$K$131</c:f>
              <c:numCache>
                <c:formatCode>#,##0</c:formatCode>
                <c:ptCount val="13"/>
                <c:pt idx="0">
                  <c:v>447</c:v>
                </c:pt>
                <c:pt idx="1">
                  <c:v>472</c:v>
                </c:pt>
                <c:pt idx="2">
                  <c:v>445</c:v>
                </c:pt>
                <c:pt idx="3">
                  <c:v>248</c:v>
                </c:pt>
                <c:pt idx="4">
                  <c:v>133</c:v>
                </c:pt>
                <c:pt idx="5">
                  <c:v>100</c:v>
                </c:pt>
                <c:pt idx="6">
                  <c:v>156</c:v>
                </c:pt>
                <c:pt idx="7">
                  <c:v>122</c:v>
                </c:pt>
                <c:pt idx="8">
                  <c:v>123</c:v>
                </c:pt>
                <c:pt idx="9">
                  <c:v>204</c:v>
                </c:pt>
                <c:pt idx="10">
                  <c:v>320</c:v>
                </c:pt>
                <c:pt idx="11">
                  <c:v>260</c:v>
                </c:pt>
                <c:pt idx="12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35-40FE-8A09-2DE72E4DE1A0}"/>
            </c:ext>
          </c:extLst>
        </c:ser>
        <c:ser>
          <c:idx val="1"/>
          <c:order val="3"/>
          <c:tx>
            <c:strRef>
              <c:f>'Viajeros entr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35-40FE-8A09-2DE72E4DE1A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35-40FE-8A09-2DE72E4DE1A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TF'!$M$119:$M$131</c:f>
              <c:numCache>
                <c:formatCode>#,##0</c:formatCode>
                <c:ptCount val="13"/>
                <c:pt idx="0">
                  <c:v>393</c:v>
                </c:pt>
                <c:pt idx="1">
                  <c:v>478</c:v>
                </c:pt>
                <c:pt idx="2">
                  <c:v>317</c:v>
                </c:pt>
                <c:pt idx="3">
                  <c:v>127</c:v>
                </c:pt>
                <c:pt idx="4">
                  <c:v>124</c:v>
                </c:pt>
                <c:pt idx="5">
                  <c:v>113</c:v>
                </c:pt>
                <c:pt idx="12">
                  <c:v>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35-40FE-8A09-2DE72E4DE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635-40FE-8A09-2DE72E4DE1A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357</c:v>
                      </c:pt>
                      <c:pt idx="1">
                        <c:v>525</c:v>
                      </c:pt>
                      <c:pt idx="2">
                        <c:v>112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24</c:v>
                      </c:pt>
                      <c:pt idx="8">
                        <c:v>24</c:v>
                      </c:pt>
                      <c:pt idx="9">
                        <c:v>50</c:v>
                      </c:pt>
                      <c:pt idx="10">
                        <c:v>96</c:v>
                      </c:pt>
                      <c:pt idx="11">
                        <c:v>74</c:v>
                      </c:pt>
                      <c:pt idx="12">
                        <c:v>1288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635-40FE-8A09-2DE72E4DE1A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635-40FE-8A09-2DE72E4DE1A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635-40FE-8A09-2DE72E4DE1A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635-40FE-8A09-2DE72E4DE1A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635-40FE-8A09-2DE72E4DE1A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635-40FE-8A09-2DE72E4DE1A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635-40FE-8A09-2DE72E4DE1A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635-40FE-8A09-2DE72E4DE1A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635-40FE-8A09-2DE72E4DE1A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635-40FE-8A09-2DE72E4DE1A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635-40FE-8A09-2DE72E4DE1A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635-40FE-8A09-2DE72E4DE1A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635-40FE-8A09-2DE72E4DE1A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635-40FE-8A09-2DE72E4DE1A0}"/>
              </c:ext>
            </c:extLst>
          </c:dPt>
          <c:cat>
            <c:strRef>
              <c:f>'Viajeros entr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TF'!$N$119:$N$131</c:f>
              <c:numCache>
                <c:formatCode>0.0%</c:formatCode>
                <c:ptCount val="13"/>
                <c:pt idx="0">
                  <c:v>-0.12080536912751683</c:v>
                </c:pt>
                <c:pt idx="1">
                  <c:v>1.2711864406779627E-2</c:v>
                </c:pt>
                <c:pt idx="2">
                  <c:v>-0.28764044943820222</c:v>
                </c:pt>
                <c:pt idx="3">
                  <c:v>-0.48790322580645162</c:v>
                </c:pt>
                <c:pt idx="4">
                  <c:v>-6.7669172932330879E-2</c:v>
                </c:pt>
                <c:pt idx="5">
                  <c:v>0.12999999999999989</c:v>
                </c:pt>
                <c:pt idx="12">
                  <c:v>-0.1588075880758808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635-40FE-8A09-2DE72E4DE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81210082"/>
          <c:y val="0.139799011610035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'Viajeros entr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75-472D-8D56-6C4676944457}"/>
              </c:ext>
            </c:extLst>
          </c:dPt>
          <c:val>
            <c:numRef>
              <c:f>'Viajeros entr evol mensu TF'!$I$141:$I$153</c:f>
              <c:numCache>
                <c:formatCode>#,##0</c:formatCode>
                <c:ptCount val="13"/>
                <c:pt idx="0">
                  <c:v>460</c:v>
                </c:pt>
                <c:pt idx="1">
                  <c:v>440</c:v>
                </c:pt>
                <c:pt idx="2">
                  <c:v>450</c:v>
                </c:pt>
                <c:pt idx="3">
                  <c:v>358</c:v>
                </c:pt>
                <c:pt idx="4">
                  <c:v>188</c:v>
                </c:pt>
                <c:pt idx="5">
                  <c:v>128</c:v>
                </c:pt>
                <c:pt idx="6">
                  <c:v>108</c:v>
                </c:pt>
                <c:pt idx="7">
                  <c:v>235</c:v>
                </c:pt>
                <c:pt idx="8">
                  <c:v>222</c:v>
                </c:pt>
                <c:pt idx="9">
                  <c:v>304</c:v>
                </c:pt>
                <c:pt idx="10">
                  <c:v>499</c:v>
                </c:pt>
                <c:pt idx="11">
                  <c:v>422</c:v>
                </c:pt>
                <c:pt idx="12">
                  <c:v>3814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5-472D-8D56-6C4676944457}"/>
            </c:ext>
          </c:extLst>
        </c:ser>
        <c:ser>
          <c:idx val="0"/>
          <c:order val="3"/>
          <c:tx>
            <c:strRef>
              <c:f>'Viajeros entr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75-472D-8D56-6C467694445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TF'!$K$141:$K$153</c:f>
              <c:numCache>
                <c:formatCode>#,##0</c:formatCode>
                <c:ptCount val="13"/>
                <c:pt idx="0">
                  <c:v>643</c:v>
                </c:pt>
                <c:pt idx="1">
                  <c:v>537</c:v>
                </c:pt>
                <c:pt idx="2">
                  <c:v>565</c:v>
                </c:pt>
                <c:pt idx="3">
                  <c:v>348</c:v>
                </c:pt>
                <c:pt idx="4">
                  <c:v>242</c:v>
                </c:pt>
                <c:pt idx="5">
                  <c:v>154</c:v>
                </c:pt>
                <c:pt idx="6">
                  <c:v>124</c:v>
                </c:pt>
                <c:pt idx="7">
                  <c:v>173</c:v>
                </c:pt>
                <c:pt idx="8">
                  <c:v>224</c:v>
                </c:pt>
                <c:pt idx="9">
                  <c:v>305</c:v>
                </c:pt>
                <c:pt idx="10">
                  <c:v>459</c:v>
                </c:pt>
                <c:pt idx="11">
                  <c:v>460</c:v>
                </c:pt>
                <c:pt idx="12">
                  <c:v>4234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75-472D-8D56-6C4676944457}"/>
            </c:ext>
          </c:extLst>
        </c:ser>
        <c:ser>
          <c:idx val="1"/>
          <c:order val="4"/>
          <c:tx>
            <c:strRef>
              <c:f>'Viajeros entr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75-472D-8D56-6C467694445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D75-472D-8D56-6C4676944457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TF'!$M$141:$M$153</c:f>
              <c:numCache>
                <c:formatCode>#,##0</c:formatCode>
                <c:ptCount val="13"/>
                <c:pt idx="0">
                  <c:v>526</c:v>
                </c:pt>
                <c:pt idx="1">
                  <c:v>505</c:v>
                </c:pt>
                <c:pt idx="2">
                  <c:v>519</c:v>
                </c:pt>
                <c:pt idx="3">
                  <c:v>519</c:v>
                </c:pt>
                <c:pt idx="4">
                  <c:v>519</c:v>
                </c:pt>
                <c:pt idx="5">
                  <c:v>519</c:v>
                </c:pt>
                <c:pt idx="12">
                  <c:v>2173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75-472D-8D56-6C4676944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D75-472D-8D56-6C467694445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427</c:v>
                      </c:pt>
                      <c:pt idx="1">
                        <c:v>458</c:v>
                      </c:pt>
                      <c:pt idx="2">
                        <c:v>186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86</c:v>
                      </c:pt>
                      <c:pt idx="8">
                        <c:v>42</c:v>
                      </c:pt>
                      <c:pt idx="9">
                        <c:v>40</c:v>
                      </c:pt>
                      <c:pt idx="10">
                        <c:v>103</c:v>
                      </c:pt>
                      <c:pt idx="11">
                        <c:v>87</c:v>
                      </c:pt>
                      <c:pt idx="12">
                        <c:v>1481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D75-472D-8D56-6C4676944457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'Viajeros entr evol mensu TF'!$G$139:$H$139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6D75-472D-8D56-6C4676944457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('Viajeros entr evol mensu TF'!$G$141:$G$152,'Viajeros entr evol mensu TF'!$G$153)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309</c:v>
                      </c:pt>
                      <c:pt idx="1">
                        <c:v>390</c:v>
                      </c:pt>
                      <c:pt idx="2">
                        <c:v>431</c:v>
                      </c:pt>
                      <c:pt idx="3">
                        <c:v>352</c:v>
                      </c:pt>
                      <c:pt idx="4">
                        <c:v>190</c:v>
                      </c:pt>
                      <c:pt idx="5">
                        <c:v>171</c:v>
                      </c:pt>
                      <c:pt idx="6">
                        <c:v>136</c:v>
                      </c:pt>
                      <c:pt idx="7">
                        <c:v>193</c:v>
                      </c:pt>
                      <c:pt idx="8">
                        <c:v>224</c:v>
                      </c:pt>
                      <c:pt idx="9">
                        <c:v>318</c:v>
                      </c:pt>
                      <c:pt idx="10">
                        <c:v>407</c:v>
                      </c:pt>
                      <c:pt idx="11">
                        <c:v>361</c:v>
                      </c:pt>
                      <c:pt idx="12">
                        <c:v>3482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6D75-472D-8D56-6C467694445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'Viajeros entr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75-472D-8D56-6C467694445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75-472D-8D56-6C467694445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75-472D-8D56-6C467694445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75-472D-8D56-6C467694445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75-472D-8D56-6C467694445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75-472D-8D56-6C467694445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75-472D-8D56-6C467694445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75-472D-8D56-6C467694445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75-472D-8D56-6C467694445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75-472D-8D56-6C467694445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75-472D-8D56-6C467694445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75-472D-8D56-6C467694445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75-472D-8D56-6C4676944457}"/>
              </c:ext>
            </c:extLst>
          </c:dPt>
          <c:cat>
            <c:strRef>
              <c:f>'Viajeros entr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TF'!$N$141:$N$153</c:f>
              <c:numCache>
                <c:formatCode>0.0%</c:formatCode>
                <c:ptCount val="13"/>
                <c:pt idx="0">
                  <c:v>-0.18195956454121309</c:v>
                </c:pt>
                <c:pt idx="1">
                  <c:v>-5.9590316573556845E-2</c:v>
                </c:pt>
                <c:pt idx="2">
                  <c:v>-8.1415929203539794E-2</c:v>
                </c:pt>
                <c:pt idx="3">
                  <c:v>0.49137931034482762</c:v>
                </c:pt>
                <c:pt idx="4">
                  <c:v>1.1446280991735538</c:v>
                </c:pt>
                <c:pt idx="5">
                  <c:v>2.3701298701298703</c:v>
                </c:pt>
                <c:pt idx="12">
                  <c:v>-0.12695861791884289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D75-472D-8D56-6C4676944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E8-4926-BB4F-51FC5627FCC4}"/>
              </c:ext>
            </c:extLst>
          </c:dPt>
          <c:val>
            <c:numRef>
              <c:f>'Viajeros entr evol mensu TF'!$I$163:$I$175</c:f>
              <c:numCache>
                <c:formatCode>#,##0</c:formatCode>
                <c:ptCount val="13"/>
                <c:pt idx="0">
                  <c:v>488</c:v>
                </c:pt>
                <c:pt idx="1">
                  <c:v>402</c:v>
                </c:pt>
                <c:pt idx="2">
                  <c:v>468</c:v>
                </c:pt>
                <c:pt idx="3">
                  <c:v>300</c:v>
                </c:pt>
                <c:pt idx="4">
                  <c:v>309</c:v>
                </c:pt>
                <c:pt idx="5">
                  <c:v>150</c:v>
                </c:pt>
                <c:pt idx="6">
                  <c:v>186</c:v>
                </c:pt>
                <c:pt idx="7">
                  <c:v>328</c:v>
                </c:pt>
                <c:pt idx="8">
                  <c:v>208</c:v>
                </c:pt>
                <c:pt idx="9">
                  <c:v>290</c:v>
                </c:pt>
                <c:pt idx="10">
                  <c:v>452</c:v>
                </c:pt>
                <c:pt idx="11">
                  <c:v>304</c:v>
                </c:pt>
                <c:pt idx="12">
                  <c:v>3885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E8-4926-BB4F-51FC5627FCC4}"/>
            </c:ext>
          </c:extLst>
        </c:ser>
        <c:ser>
          <c:idx val="0"/>
          <c:order val="2"/>
          <c:tx>
            <c:strRef>
              <c:f>'Viajeros entr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E8-4926-BB4F-51FC5627FCC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TF'!$K$163:$K$175</c:f>
              <c:numCache>
                <c:formatCode>#,##0</c:formatCode>
                <c:ptCount val="13"/>
                <c:pt idx="0">
                  <c:v>385</c:v>
                </c:pt>
                <c:pt idx="1">
                  <c:v>456</c:v>
                </c:pt>
                <c:pt idx="2">
                  <c:v>490</c:v>
                </c:pt>
                <c:pt idx="3">
                  <c:v>339</c:v>
                </c:pt>
                <c:pt idx="4">
                  <c:v>294</c:v>
                </c:pt>
                <c:pt idx="5">
                  <c:v>118</c:v>
                </c:pt>
                <c:pt idx="6">
                  <c:v>184</c:v>
                </c:pt>
                <c:pt idx="7">
                  <c:v>334</c:v>
                </c:pt>
                <c:pt idx="8">
                  <c:v>152</c:v>
                </c:pt>
                <c:pt idx="9">
                  <c:v>286</c:v>
                </c:pt>
                <c:pt idx="10">
                  <c:v>367</c:v>
                </c:pt>
                <c:pt idx="11">
                  <c:v>280</c:v>
                </c:pt>
                <c:pt idx="12">
                  <c:v>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E8-4926-BB4F-51FC5627FCC4}"/>
            </c:ext>
          </c:extLst>
        </c:ser>
        <c:ser>
          <c:idx val="1"/>
          <c:order val="3"/>
          <c:tx>
            <c:strRef>
              <c:f>'Viajeros entr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E8-4926-BB4F-51FC5627FCC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E8-4926-BB4F-51FC5627FCC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TF'!$M$163:$M$175</c:f>
              <c:numCache>
                <c:formatCode>#,##0</c:formatCode>
                <c:ptCount val="13"/>
                <c:pt idx="0">
                  <c:v>398</c:v>
                </c:pt>
                <c:pt idx="1">
                  <c:v>412</c:v>
                </c:pt>
                <c:pt idx="2">
                  <c:v>507</c:v>
                </c:pt>
                <c:pt idx="3">
                  <c:v>287</c:v>
                </c:pt>
                <c:pt idx="4">
                  <c:v>288</c:v>
                </c:pt>
                <c:pt idx="5">
                  <c:v>138</c:v>
                </c:pt>
                <c:pt idx="1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E8-4926-BB4F-51FC5627F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EE8-4926-BB4F-51FC5627FCC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405</c:v>
                      </c:pt>
                      <c:pt idx="1">
                        <c:v>500</c:v>
                      </c:pt>
                      <c:pt idx="2">
                        <c:v>256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285</c:v>
                      </c:pt>
                      <c:pt idx="8">
                        <c:v>48</c:v>
                      </c:pt>
                      <c:pt idx="9">
                        <c:v>154</c:v>
                      </c:pt>
                      <c:pt idx="10">
                        <c:v>49</c:v>
                      </c:pt>
                      <c:pt idx="11">
                        <c:v>202</c:v>
                      </c:pt>
                      <c:pt idx="12">
                        <c:v>1974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EE8-4926-BB4F-51FC5627FCC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E8-4926-BB4F-51FC5627FCC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E8-4926-BB4F-51FC5627FCC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E8-4926-BB4F-51FC5627FCC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E8-4926-BB4F-51FC5627FCC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E8-4926-BB4F-51FC5627FCC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E8-4926-BB4F-51FC5627FCC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E8-4926-BB4F-51FC5627FCC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E8-4926-BB4F-51FC5627FCC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E8-4926-BB4F-51FC5627FCC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E8-4926-BB4F-51FC5627FCC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E8-4926-BB4F-51FC5627FCC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E8-4926-BB4F-51FC5627FCC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E8-4926-BB4F-51FC5627FCC4}"/>
              </c:ext>
            </c:extLst>
          </c:dPt>
          <c:cat>
            <c:strRef>
              <c:f>'Viajeros entr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TF'!$N$163:$N$175</c:f>
              <c:numCache>
                <c:formatCode>0.0%</c:formatCode>
                <c:ptCount val="13"/>
                <c:pt idx="0">
                  <c:v>3.3766233766233666E-2</c:v>
                </c:pt>
                <c:pt idx="1">
                  <c:v>-9.6491228070175405E-2</c:v>
                </c:pt>
                <c:pt idx="2">
                  <c:v>3.469387755102038E-2</c:v>
                </c:pt>
                <c:pt idx="3">
                  <c:v>-0.15339233038348088</c:v>
                </c:pt>
                <c:pt idx="4">
                  <c:v>-2.0408163265306145E-2</c:v>
                </c:pt>
                <c:pt idx="5">
                  <c:v>0.16949152542372881</c:v>
                </c:pt>
                <c:pt idx="12">
                  <c:v>-2.4975984630163262E-2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EE8-4926-BB4F-51FC5627F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9A-4A84-8331-74F4E688BBA0}"/>
              </c:ext>
            </c:extLst>
          </c:dPt>
          <c:val>
            <c:numRef>
              <c:f>'Viajeros entr evol mensu TF'!$I$185:$I$197</c:f>
              <c:numCache>
                <c:formatCode>#,##0</c:formatCode>
                <c:ptCount val="13"/>
                <c:pt idx="0">
                  <c:v>81</c:v>
                </c:pt>
                <c:pt idx="1">
                  <c:v>33</c:v>
                </c:pt>
                <c:pt idx="2">
                  <c:v>71</c:v>
                </c:pt>
                <c:pt idx="3">
                  <c:v>44</c:v>
                </c:pt>
                <c:pt idx="4">
                  <c:v>32</c:v>
                </c:pt>
                <c:pt idx="5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41</c:v>
                </c:pt>
                <c:pt idx="9">
                  <c:v>40</c:v>
                </c:pt>
                <c:pt idx="10">
                  <c:v>105</c:v>
                </c:pt>
                <c:pt idx="11">
                  <c:v>79</c:v>
                </c:pt>
                <c:pt idx="1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9A-4A84-8331-74F4E688BBA0}"/>
            </c:ext>
          </c:extLst>
        </c:ser>
        <c:ser>
          <c:idx val="0"/>
          <c:order val="2"/>
          <c:tx>
            <c:strRef>
              <c:f>'Viajeros entr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9A-4A84-8331-74F4E688BBA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TF'!$K$185:$K$197</c:f>
              <c:numCache>
                <c:formatCode>#,##0</c:formatCode>
                <c:ptCount val="13"/>
                <c:pt idx="0">
                  <c:v>171</c:v>
                </c:pt>
                <c:pt idx="1">
                  <c:v>95</c:v>
                </c:pt>
                <c:pt idx="2">
                  <c:v>93</c:v>
                </c:pt>
                <c:pt idx="3">
                  <c:v>87</c:v>
                </c:pt>
                <c:pt idx="4">
                  <c:v>49</c:v>
                </c:pt>
                <c:pt idx="5">
                  <c:v>19</c:v>
                </c:pt>
                <c:pt idx="6">
                  <c:v>25</c:v>
                </c:pt>
                <c:pt idx="7">
                  <c:v>59</c:v>
                </c:pt>
                <c:pt idx="8">
                  <c:v>41</c:v>
                </c:pt>
                <c:pt idx="9">
                  <c:v>57</c:v>
                </c:pt>
                <c:pt idx="10">
                  <c:v>64</c:v>
                </c:pt>
                <c:pt idx="11">
                  <c:v>143</c:v>
                </c:pt>
                <c:pt idx="12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9A-4A84-8331-74F4E688BBA0}"/>
            </c:ext>
          </c:extLst>
        </c:ser>
        <c:ser>
          <c:idx val="1"/>
          <c:order val="3"/>
          <c:tx>
            <c:strRef>
              <c:f>'Viajeros entr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9A-4A84-8331-74F4E688BBA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9A-4A84-8331-74F4E688BBA0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TF'!$M$185:$M$197</c:f>
              <c:numCache>
                <c:formatCode>#,##0</c:formatCode>
                <c:ptCount val="13"/>
                <c:pt idx="0">
                  <c:v>130</c:v>
                </c:pt>
                <c:pt idx="1">
                  <c:v>92</c:v>
                </c:pt>
                <c:pt idx="2">
                  <c:v>112</c:v>
                </c:pt>
                <c:pt idx="3">
                  <c:v>94</c:v>
                </c:pt>
                <c:pt idx="4">
                  <c:v>38</c:v>
                </c:pt>
                <c:pt idx="5">
                  <c:v>18</c:v>
                </c:pt>
                <c:pt idx="12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9A-4A84-8331-74F4E688B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B9A-4A84-8331-74F4E688BBA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71</c:v>
                      </c:pt>
                      <c:pt idx="1">
                        <c:v>29</c:v>
                      </c:pt>
                      <c:pt idx="2">
                        <c:v>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45</c:v>
                      </c:pt>
                      <c:pt idx="8">
                        <c:v>40</c:v>
                      </c:pt>
                      <c:pt idx="9">
                        <c:v>39</c:v>
                      </c:pt>
                      <c:pt idx="10">
                        <c:v>51</c:v>
                      </c:pt>
                      <c:pt idx="11">
                        <c:v>20</c:v>
                      </c:pt>
                      <c:pt idx="12">
                        <c:v>351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B9A-4A84-8331-74F4E688BBA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9A-4A84-8331-74F4E688BBA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9A-4A84-8331-74F4E688BBA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9A-4A84-8331-74F4E688BBA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9A-4A84-8331-74F4E688BBA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9A-4A84-8331-74F4E688BBA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9A-4A84-8331-74F4E688BBA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9A-4A84-8331-74F4E688BBA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9A-4A84-8331-74F4E688BBA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9A-4A84-8331-74F4E688BBA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9A-4A84-8331-74F4E688BBA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9A-4A84-8331-74F4E688BBA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9A-4A84-8331-74F4E688BBA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9A-4A84-8331-74F4E688BBA0}"/>
              </c:ext>
            </c:extLst>
          </c:dPt>
          <c:cat>
            <c:strRef>
              <c:f>'Viajeros entr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TF'!$N$185:$N$197</c:f>
              <c:numCache>
                <c:formatCode>0.0%</c:formatCode>
                <c:ptCount val="13"/>
                <c:pt idx="0">
                  <c:v>-0.23976608187134507</c:v>
                </c:pt>
                <c:pt idx="1">
                  <c:v>-3.157894736842104E-2</c:v>
                </c:pt>
                <c:pt idx="2">
                  <c:v>0.20430107526881724</c:v>
                </c:pt>
                <c:pt idx="3">
                  <c:v>8.0459770114942541E-2</c:v>
                </c:pt>
                <c:pt idx="4">
                  <c:v>-0.22448979591836737</c:v>
                </c:pt>
                <c:pt idx="5">
                  <c:v>-5.2631578947368474E-2</c:v>
                </c:pt>
                <c:pt idx="12">
                  <c:v>-5.8365758754863828E-2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B9A-4A84-8331-74F4E688B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D8-4A54-A911-76D1AF6914B8}"/>
              </c:ext>
            </c:extLst>
          </c:dPt>
          <c:val>
            <c:numRef>
              <c:f>'Viajeros entr evol mensu TF'!$I$207:$I$219</c:f>
              <c:numCache>
                <c:formatCode>#,##0</c:formatCode>
                <c:ptCount val="13"/>
                <c:pt idx="0">
                  <c:v>137</c:v>
                </c:pt>
                <c:pt idx="1">
                  <c:v>88</c:v>
                </c:pt>
                <c:pt idx="2">
                  <c:v>155</c:v>
                </c:pt>
                <c:pt idx="3">
                  <c:v>80</c:v>
                </c:pt>
                <c:pt idx="4">
                  <c:v>41</c:v>
                </c:pt>
                <c:pt idx="5">
                  <c:v>30</c:v>
                </c:pt>
                <c:pt idx="6">
                  <c:v>38</c:v>
                </c:pt>
                <c:pt idx="7">
                  <c:v>46</c:v>
                </c:pt>
                <c:pt idx="8">
                  <c:v>31</c:v>
                </c:pt>
                <c:pt idx="9">
                  <c:v>65</c:v>
                </c:pt>
                <c:pt idx="10">
                  <c:v>114</c:v>
                </c:pt>
                <c:pt idx="11">
                  <c:v>113</c:v>
                </c:pt>
                <c:pt idx="12">
                  <c:v>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8-4A54-A911-76D1AF6914B8}"/>
            </c:ext>
          </c:extLst>
        </c:ser>
        <c:ser>
          <c:idx val="0"/>
          <c:order val="2"/>
          <c:tx>
            <c:strRef>
              <c:f>'Viajeros entr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D8-4A54-A911-76D1AF6914B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TF'!$K$207:$K$219</c:f>
              <c:numCache>
                <c:formatCode>#,##0</c:formatCode>
                <c:ptCount val="13"/>
                <c:pt idx="0">
                  <c:v>154</c:v>
                </c:pt>
                <c:pt idx="1">
                  <c:v>146</c:v>
                </c:pt>
                <c:pt idx="2">
                  <c:v>158</c:v>
                </c:pt>
                <c:pt idx="3">
                  <c:v>62</c:v>
                </c:pt>
                <c:pt idx="4">
                  <c:v>42</c:v>
                </c:pt>
                <c:pt idx="5">
                  <c:v>36</c:v>
                </c:pt>
                <c:pt idx="6">
                  <c:v>29</c:v>
                </c:pt>
                <c:pt idx="7">
                  <c:v>43</c:v>
                </c:pt>
                <c:pt idx="8">
                  <c:v>31</c:v>
                </c:pt>
                <c:pt idx="9">
                  <c:v>79</c:v>
                </c:pt>
                <c:pt idx="10">
                  <c:v>78</c:v>
                </c:pt>
                <c:pt idx="11">
                  <c:v>75</c:v>
                </c:pt>
                <c:pt idx="12">
                  <c:v>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D8-4A54-A911-76D1AF6914B8}"/>
            </c:ext>
          </c:extLst>
        </c:ser>
        <c:ser>
          <c:idx val="1"/>
          <c:order val="3"/>
          <c:tx>
            <c:strRef>
              <c:f>'Viajeros entr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D8-4A54-A911-76D1AF6914B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D8-4A54-A911-76D1AF6914B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TF'!$M$207:$M$219</c:f>
              <c:numCache>
                <c:formatCode>#,##0</c:formatCode>
                <c:ptCount val="13"/>
                <c:pt idx="0">
                  <c:v>182</c:v>
                </c:pt>
                <c:pt idx="1">
                  <c:v>134</c:v>
                </c:pt>
                <c:pt idx="2">
                  <c:v>109</c:v>
                </c:pt>
                <c:pt idx="3">
                  <c:v>48</c:v>
                </c:pt>
                <c:pt idx="4">
                  <c:v>70</c:v>
                </c:pt>
                <c:pt idx="5">
                  <c:v>33</c:v>
                </c:pt>
                <c:pt idx="12">
                  <c:v>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4D8-4A54-A911-76D1AF691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4D8-4A54-A911-76D1AF6914B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89</c:v>
                      </c:pt>
                      <c:pt idx="1">
                        <c:v>153</c:v>
                      </c:pt>
                      <c:pt idx="2">
                        <c:v>23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</c:v>
                      </c:pt>
                      <c:pt idx="8">
                        <c:v>6</c:v>
                      </c:pt>
                      <c:pt idx="9">
                        <c:v>4</c:v>
                      </c:pt>
                      <c:pt idx="10">
                        <c:v>18</c:v>
                      </c:pt>
                      <c:pt idx="11">
                        <c:v>14</c:v>
                      </c:pt>
                      <c:pt idx="12">
                        <c:v>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4D8-4A54-A911-76D1AF6914B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4D8-4A54-A911-76D1AF6914B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4D8-4A54-A911-76D1AF6914B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4D8-4A54-A911-76D1AF6914B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4D8-4A54-A911-76D1AF6914B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4D8-4A54-A911-76D1AF6914B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4D8-4A54-A911-76D1AF6914B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4D8-4A54-A911-76D1AF6914B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4D8-4A54-A911-76D1AF6914B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4D8-4A54-A911-76D1AF6914B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4D8-4A54-A911-76D1AF6914B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4D8-4A54-A911-76D1AF6914B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4D8-4A54-A911-76D1AF6914B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4D8-4A54-A911-76D1AF6914B8}"/>
              </c:ext>
            </c:extLst>
          </c:dPt>
          <c:cat>
            <c:strRef>
              <c:f>'Viajeros entr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TF'!$N$207:$N$219</c:f>
              <c:numCache>
                <c:formatCode>0.0%</c:formatCode>
                <c:ptCount val="13"/>
                <c:pt idx="0">
                  <c:v>0.18181818181818188</c:v>
                </c:pt>
                <c:pt idx="1">
                  <c:v>-8.2191780821917804E-2</c:v>
                </c:pt>
                <c:pt idx="2">
                  <c:v>-0.310126582278481</c:v>
                </c:pt>
                <c:pt idx="3">
                  <c:v>-0.22580645161290325</c:v>
                </c:pt>
                <c:pt idx="4">
                  <c:v>0.66666666666666674</c:v>
                </c:pt>
                <c:pt idx="5">
                  <c:v>-8.333333333333337E-2</c:v>
                </c:pt>
                <c:pt idx="12">
                  <c:v>-3.6789297658862852E-2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4D8-4A54-A911-76D1AF691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03-4770-9743-649ADDDB8138}"/>
              </c:ext>
            </c:extLst>
          </c:dPt>
          <c:val>
            <c:numRef>
              <c:f>'Viajeros entr evol mensu TF'!$I$229:$I$241</c:f>
              <c:numCache>
                <c:formatCode>#,##0</c:formatCode>
                <c:ptCount val="13"/>
                <c:pt idx="0">
                  <c:v>81</c:v>
                </c:pt>
                <c:pt idx="1">
                  <c:v>33</c:v>
                </c:pt>
                <c:pt idx="2">
                  <c:v>71</c:v>
                </c:pt>
                <c:pt idx="3">
                  <c:v>44</c:v>
                </c:pt>
                <c:pt idx="4">
                  <c:v>32</c:v>
                </c:pt>
                <c:pt idx="5">
                  <c:v>32</c:v>
                </c:pt>
                <c:pt idx="6">
                  <c:v>43</c:v>
                </c:pt>
                <c:pt idx="7">
                  <c:v>49</c:v>
                </c:pt>
                <c:pt idx="8">
                  <c:v>41</c:v>
                </c:pt>
                <c:pt idx="9">
                  <c:v>40</c:v>
                </c:pt>
                <c:pt idx="10">
                  <c:v>105</c:v>
                </c:pt>
                <c:pt idx="11">
                  <c:v>79</c:v>
                </c:pt>
                <c:pt idx="12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03-4770-9743-649ADDDB8138}"/>
            </c:ext>
          </c:extLst>
        </c:ser>
        <c:ser>
          <c:idx val="0"/>
          <c:order val="2"/>
          <c:tx>
            <c:strRef>
              <c:f>'Viajeros entr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03-4770-9743-649ADDDB813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TF'!$K$229:$K$241</c:f>
              <c:numCache>
                <c:formatCode>#,##0</c:formatCode>
                <c:ptCount val="13"/>
                <c:pt idx="0">
                  <c:v>171</c:v>
                </c:pt>
                <c:pt idx="1">
                  <c:v>95</c:v>
                </c:pt>
                <c:pt idx="2">
                  <c:v>93</c:v>
                </c:pt>
                <c:pt idx="3">
                  <c:v>87</c:v>
                </c:pt>
                <c:pt idx="4">
                  <c:v>49</c:v>
                </c:pt>
                <c:pt idx="5">
                  <c:v>19</c:v>
                </c:pt>
                <c:pt idx="6">
                  <c:v>25</c:v>
                </c:pt>
                <c:pt idx="7">
                  <c:v>59</c:v>
                </c:pt>
                <c:pt idx="8">
                  <c:v>41</c:v>
                </c:pt>
                <c:pt idx="9">
                  <c:v>57</c:v>
                </c:pt>
                <c:pt idx="10">
                  <c:v>64</c:v>
                </c:pt>
                <c:pt idx="11">
                  <c:v>143</c:v>
                </c:pt>
                <c:pt idx="12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03-4770-9743-649ADDDB8138}"/>
            </c:ext>
          </c:extLst>
        </c:ser>
        <c:ser>
          <c:idx val="1"/>
          <c:order val="3"/>
          <c:tx>
            <c:strRef>
              <c:f>'Viajeros entr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B03-4770-9743-649ADDDB813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B03-4770-9743-649ADDDB8138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TF'!$M$229:$M$241</c:f>
              <c:numCache>
                <c:formatCode>#,##0</c:formatCode>
                <c:ptCount val="13"/>
                <c:pt idx="0">
                  <c:v>130</c:v>
                </c:pt>
                <c:pt idx="1">
                  <c:v>92</c:v>
                </c:pt>
                <c:pt idx="2">
                  <c:v>112</c:v>
                </c:pt>
                <c:pt idx="3">
                  <c:v>94</c:v>
                </c:pt>
                <c:pt idx="4">
                  <c:v>38</c:v>
                </c:pt>
                <c:pt idx="5">
                  <c:v>18</c:v>
                </c:pt>
                <c:pt idx="12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B03-4770-9743-649ADDDB8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B03-4770-9743-649ADDDB813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71</c:v>
                      </c:pt>
                      <c:pt idx="1">
                        <c:v>29</c:v>
                      </c:pt>
                      <c:pt idx="2">
                        <c:v>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45</c:v>
                      </c:pt>
                      <c:pt idx="8">
                        <c:v>40</c:v>
                      </c:pt>
                      <c:pt idx="9">
                        <c:v>39</c:v>
                      </c:pt>
                      <c:pt idx="10">
                        <c:v>51</c:v>
                      </c:pt>
                      <c:pt idx="11">
                        <c:v>20</c:v>
                      </c:pt>
                      <c:pt idx="12">
                        <c:v>351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B03-4770-9743-649ADDDB813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03-4770-9743-649ADDDB813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03-4770-9743-649ADDDB813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03-4770-9743-649ADDDB813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03-4770-9743-649ADDDB813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03-4770-9743-649ADDDB813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03-4770-9743-649ADDDB813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03-4770-9743-649ADDDB813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03-4770-9743-649ADDDB813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03-4770-9743-649ADDDB813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03-4770-9743-649ADDDB813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03-4770-9743-649ADDDB813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03-4770-9743-649ADDDB813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03-4770-9743-649ADDDB8138}"/>
              </c:ext>
            </c:extLst>
          </c:dPt>
          <c:cat>
            <c:strRef>
              <c:f>'Viajeros entr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TF'!$N$229:$N$241</c:f>
              <c:numCache>
                <c:formatCode>0.0%</c:formatCode>
                <c:ptCount val="13"/>
                <c:pt idx="0">
                  <c:v>-0.23976608187134507</c:v>
                </c:pt>
                <c:pt idx="1">
                  <c:v>-3.157894736842104E-2</c:v>
                </c:pt>
                <c:pt idx="2">
                  <c:v>0.20430107526881724</c:v>
                </c:pt>
                <c:pt idx="3">
                  <c:v>8.0459770114942541E-2</c:v>
                </c:pt>
                <c:pt idx="4">
                  <c:v>-0.22448979591836737</c:v>
                </c:pt>
                <c:pt idx="5">
                  <c:v>-5.2631578947368474E-2</c:v>
                </c:pt>
                <c:pt idx="12">
                  <c:v>-5.8365758754863828E-2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03-4770-9743-649ADDDB8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13-4A2F-BE84-C47BB5675514}"/>
              </c:ext>
            </c:extLst>
          </c:dPt>
          <c:val>
            <c:numRef>
              <c:f>'Viajeros entr evol mensu TF'!$I$251:$I$263</c:f>
              <c:numCache>
                <c:formatCode>#,##0</c:formatCode>
                <c:ptCount val="13"/>
                <c:pt idx="0">
                  <c:v>36</c:v>
                </c:pt>
                <c:pt idx="1">
                  <c:v>17</c:v>
                </c:pt>
                <c:pt idx="2">
                  <c:v>14</c:v>
                </c:pt>
                <c:pt idx="3">
                  <c:v>16</c:v>
                </c:pt>
                <c:pt idx="4">
                  <c:v>2</c:v>
                </c:pt>
                <c:pt idx="5">
                  <c:v>2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24</c:v>
                </c:pt>
                <c:pt idx="11">
                  <c:v>17</c:v>
                </c:pt>
                <c:pt idx="12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3-4A2F-BE84-C47BB5675514}"/>
            </c:ext>
          </c:extLst>
        </c:ser>
        <c:ser>
          <c:idx val="0"/>
          <c:order val="2"/>
          <c:tx>
            <c:strRef>
              <c:f>'Viajeros entr evol mensu TF'!$K$249:$L$249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13-4A2F-BE84-C47BB567551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TF'!$K$251:$K$263</c:f>
              <c:numCache>
                <c:formatCode>#,##0</c:formatCode>
                <c:ptCount val="13"/>
                <c:pt idx="0">
                  <c:v>58</c:v>
                </c:pt>
                <c:pt idx="1">
                  <c:v>33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  <c:pt idx="5">
                  <c:v>47</c:v>
                </c:pt>
                <c:pt idx="6">
                  <c:v>10</c:v>
                </c:pt>
                <c:pt idx="7">
                  <c:v>4</c:v>
                </c:pt>
                <c:pt idx="8">
                  <c:v>13</c:v>
                </c:pt>
                <c:pt idx="9">
                  <c:v>10</c:v>
                </c:pt>
                <c:pt idx="10">
                  <c:v>38</c:v>
                </c:pt>
                <c:pt idx="11">
                  <c:v>4</c:v>
                </c:pt>
                <c:pt idx="12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13-4A2F-BE84-C47BB5675514}"/>
            </c:ext>
          </c:extLst>
        </c:ser>
        <c:ser>
          <c:idx val="1"/>
          <c:order val="3"/>
          <c:tx>
            <c:strRef>
              <c:f>'Viajeros entr evol mensu TF'!$M$249:$N$249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13-4A2F-BE84-C47BB567551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013-4A2F-BE84-C47BB5675514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TF'!$M$251:$M$263</c:f>
              <c:numCache>
                <c:formatCode>#,##0</c:formatCode>
                <c:ptCount val="13"/>
                <c:pt idx="0">
                  <c:v>22</c:v>
                </c:pt>
                <c:pt idx="1">
                  <c:v>78</c:v>
                </c:pt>
                <c:pt idx="2">
                  <c:v>10</c:v>
                </c:pt>
                <c:pt idx="3">
                  <c:v>12</c:v>
                </c:pt>
                <c:pt idx="4">
                  <c:v>4</c:v>
                </c:pt>
                <c:pt idx="5">
                  <c:v>2</c:v>
                </c:pt>
                <c:pt idx="12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13-4A2F-BE84-C47BB5675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013-4A2F-BE84-C47BB567551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TF'!$C$251:$C$263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87</c:v>
                      </c:pt>
                      <c:pt idx="1">
                        <c:v>17</c:v>
                      </c:pt>
                      <c:pt idx="2">
                        <c:v>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4</c:v>
                      </c:pt>
                      <c:pt idx="11">
                        <c:v>2</c:v>
                      </c:pt>
                      <c:pt idx="12">
                        <c:v>124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013-4A2F-BE84-C47BB56755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TF'!$N$250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013-4A2F-BE84-C47BB567551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013-4A2F-BE84-C47BB567551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013-4A2F-BE84-C47BB567551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013-4A2F-BE84-C47BB567551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013-4A2F-BE84-C47BB567551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013-4A2F-BE84-C47BB567551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013-4A2F-BE84-C47BB567551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013-4A2F-BE84-C47BB567551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013-4A2F-BE84-C47BB567551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013-4A2F-BE84-C47BB567551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013-4A2F-BE84-C47BB567551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013-4A2F-BE84-C47BB567551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013-4A2F-BE84-C47BB5675514}"/>
              </c:ext>
            </c:extLst>
          </c:dPt>
          <c:cat>
            <c:strRef>
              <c:f>'Viajeros entr evol mensu TF'!$B$251:$B$262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TF'!$N$251:$N$263</c:f>
              <c:numCache>
                <c:formatCode>0.0%</c:formatCode>
                <c:ptCount val="13"/>
                <c:pt idx="0">
                  <c:v>-0.62068965517241381</c:v>
                </c:pt>
                <c:pt idx="1">
                  <c:v>1.3636363636363638</c:v>
                </c:pt>
                <c:pt idx="2">
                  <c:v>-0.23076923076923073</c:v>
                </c:pt>
                <c:pt idx="3">
                  <c:v>0</c:v>
                </c:pt>
                <c:pt idx="4">
                  <c:v>0</c:v>
                </c:pt>
                <c:pt idx="5">
                  <c:v>-0.95744680851063835</c:v>
                </c:pt>
                <c:pt idx="12">
                  <c:v>-0.15231788079470199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013-4A2F-BE84-C47BB5675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AF-43C6-8BE3-BA2876F8A563}"/>
              </c:ext>
            </c:extLst>
          </c:dPt>
          <c:val>
            <c:numRef>
              <c:f>'Viajeros entr evol mensu TF'!$I$273:$I$285</c:f>
              <c:numCache>
                <c:formatCode>#,##0</c:formatCode>
                <c:ptCount val="13"/>
                <c:pt idx="0">
                  <c:v>64</c:v>
                </c:pt>
                <c:pt idx="1">
                  <c:v>16</c:v>
                </c:pt>
                <c:pt idx="2">
                  <c:v>38</c:v>
                </c:pt>
                <c:pt idx="3">
                  <c:v>22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14</c:v>
                </c:pt>
                <c:pt idx="8">
                  <c:v>12</c:v>
                </c:pt>
                <c:pt idx="9">
                  <c:v>16</c:v>
                </c:pt>
                <c:pt idx="10">
                  <c:v>32</c:v>
                </c:pt>
                <c:pt idx="11">
                  <c:v>32</c:v>
                </c:pt>
                <c:pt idx="1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F-43C6-8BE3-BA2876F8A563}"/>
            </c:ext>
          </c:extLst>
        </c:ser>
        <c:ser>
          <c:idx val="0"/>
          <c:order val="2"/>
          <c:tx>
            <c:strRef>
              <c:f>'Viajeros entr evol mensu TF'!$K$271:$L$271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8AF-43C6-8BE3-BA2876F8A56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TF'!$K$273:$K$285</c:f>
              <c:numCache>
                <c:formatCode>#,##0</c:formatCode>
                <c:ptCount val="13"/>
                <c:pt idx="0">
                  <c:v>161</c:v>
                </c:pt>
                <c:pt idx="1">
                  <c:v>45</c:v>
                </c:pt>
                <c:pt idx="2">
                  <c:v>35</c:v>
                </c:pt>
                <c:pt idx="3">
                  <c:v>20</c:v>
                </c:pt>
                <c:pt idx="4">
                  <c:v>4</c:v>
                </c:pt>
                <c:pt idx="5">
                  <c:v>0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26</c:v>
                </c:pt>
                <c:pt idx="10">
                  <c:v>34</c:v>
                </c:pt>
                <c:pt idx="11">
                  <c:v>42</c:v>
                </c:pt>
                <c:pt idx="12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AF-43C6-8BE3-BA2876F8A563}"/>
            </c:ext>
          </c:extLst>
        </c:ser>
        <c:ser>
          <c:idx val="1"/>
          <c:order val="3"/>
          <c:tx>
            <c:strRef>
              <c:f>'Viajeros entr evol mensu TF'!$M$271:$N$271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AF-43C6-8BE3-BA2876F8A563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AF-43C6-8BE3-BA2876F8A563}"/>
              </c:ext>
            </c:extLst>
          </c:dPt>
          <c:cat>
            <c:strRef>
              <c:f>'Viajeros entr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TF'!$M$273:$M$285</c:f>
              <c:numCache>
                <c:formatCode>#,##0</c:formatCode>
                <c:ptCount val="13"/>
                <c:pt idx="0">
                  <c:v>83</c:v>
                </c:pt>
                <c:pt idx="1">
                  <c:v>11</c:v>
                </c:pt>
                <c:pt idx="2">
                  <c:v>29</c:v>
                </c:pt>
                <c:pt idx="3">
                  <c:v>6</c:v>
                </c:pt>
                <c:pt idx="4">
                  <c:v>10</c:v>
                </c:pt>
                <c:pt idx="5">
                  <c:v>4</c:v>
                </c:pt>
                <c:pt idx="12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AF-43C6-8BE3-BA2876F8A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8AF-43C6-8BE3-BA2876F8A563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TF'!$C$273:$C$285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30</c:v>
                      </c:pt>
                      <c:pt idx="1">
                        <c:v>26</c:v>
                      </c:pt>
                      <c:pt idx="2">
                        <c:v>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2</c:v>
                      </c:pt>
                      <c:pt idx="9">
                        <c:v>4</c:v>
                      </c:pt>
                      <c:pt idx="10">
                        <c:v>12</c:v>
                      </c:pt>
                      <c:pt idx="11">
                        <c:v>5</c:v>
                      </c:pt>
                      <c:pt idx="12">
                        <c:v>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8AF-43C6-8BE3-BA2876F8A56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TF'!$N$272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AF-43C6-8BE3-BA2876F8A56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AF-43C6-8BE3-BA2876F8A56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AF-43C6-8BE3-BA2876F8A56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AF-43C6-8BE3-BA2876F8A56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AF-43C6-8BE3-BA2876F8A56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AF-43C6-8BE3-BA2876F8A56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AF-43C6-8BE3-BA2876F8A56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AF-43C6-8BE3-BA2876F8A56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AF-43C6-8BE3-BA2876F8A56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AF-43C6-8BE3-BA2876F8A56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AF-43C6-8BE3-BA2876F8A56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AF-43C6-8BE3-BA2876F8A56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AF-43C6-8BE3-BA2876F8A563}"/>
              </c:ext>
            </c:extLst>
          </c:dPt>
          <c:cat>
            <c:strRef>
              <c:f>'Viajeros entr evol mensu TF'!$B$273:$B$284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TF'!$N$273:$N$285</c:f>
              <c:numCache>
                <c:formatCode>0.0%</c:formatCode>
                <c:ptCount val="13"/>
                <c:pt idx="0">
                  <c:v>-0.48447204968944102</c:v>
                </c:pt>
                <c:pt idx="1">
                  <c:v>-0.75555555555555554</c:v>
                </c:pt>
                <c:pt idx="2">
                  <c:v>-0.17142857142857137</c:v>
                </c:pt>
                <c:pt idx="3">
                  <c:v>-0.7</c:v>
                </c:pt>
                <c:pt idx="4">
                  <c:v>1.5</c:v>
                </c:pt>
                <c:pt idx="5">
                  <c:v>0</c:v>
                </c:pt>
                <c:pt idx="12">
                  <c:v>-0.46037735849056605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8AF-43C6-8BE3-BA2876F8A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0C3-44C4-B286-6A53D6626B90}"/>
              </c:ext>
            </c:extLst>
          </c:dPt>
          <c:val>
            <c:numRef>
              <c:f>'Viajeros entr evol mensu TF '!$I$9:$I$21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C3-44C4-B286-6A53D6626B90}"/>
            </c:ext>
          </c:extLst>
        </c:ser>
        <c:ser>
          <c:idx val="0"/>
          <c:order val="2"/>
          <c:tx>
            <c:strRef>
              <c:f>'Viajeros entr evol mensu TF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0C3-44C4-B286-6A53D6626B90}"/>
              </c:ext>
            </c:extLst>
          </c:dPt>
          <c:cat>
            <c:strRef>
              <c:f>'Viajeros entr evol mensu TF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'!$K$9:$K$21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C3-44C4-B286-6A53D6626B90}"/>
            </c:ext>
          </c:extLst>
        </c:ser>
        <c:ser>
          <c:idx val="1"/>
          <c:order val="3"/>
          <c:tx>
            <c:strRef>
              <c:f>'Viajeros entr evol mensu TF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0C3-44C4-B286-6A53D6626B9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0C3-44C4-B286-6A53D6626B90}"/>
              </c:ext>
            </c:extLst>
          </c:dPt>
          <c:cat>
            <c:strRef>
              <c:f>'Viajeros entr evol mensu TF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'!$M$9:$M$21</c:f>
              <c:numCache>
                <c:formatCode>#,##0</c:formatCode>
                <c:ptCount val="13"/>
                <c:pt idx="0">
                  <c:v>5311</c:v>
                </c:pt>
                <c:pt idx="1">
                  <c:v>4194</c:v>
                </c:pt>
                <c:pt idx="2">
                  <c:v>5342</c:v>
                </c:pt>
                <c:pt idx="3">
                  <c:v>4308</c:v>
                </c:pt>
                <c:pt idx="4">
                  <c:v>4998</c:v>
                </c:pt>
                <c:pt idx="5">
                  <c:v>4119</c:v>
                </c:pt>
                <c:pt idx="12">
                  <c:v>28272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0C3-44C4-B286-6A53D6626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0C3-44C4-B286-6A53D6626B9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5197</c:v>
                      </c:pt>
                      <c:pt idx="1">
                        <c:v>5359</c:v>
                      </c:pt>
                      <c:pt idx="2">
                        <c:v>2198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2777</c:v>
                      </c:pt>
                      <c:pt idx="8">
                        <c:v>1764</c:v>
                      </c:pt>
                      <c:pt idx="9">
                        <c:v>1764</c:v>
                      </c:pt>
                      <c:pt idx="10">
                        <c:v>1763</c:v>
                      </c:pt>
                      <c:pt idx="11">
                        <c:v>1794</c:v>
                      </c:pt>
                      <c:pt idx="12">
                        <c:v>24221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0C3-44C4-B286-6A53D6626B9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C3-44C4-B286-6A53D6626B9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C3-44C4-B286-6A53D6626B9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C3-44C4-B286-6A53D6626B9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C3-44C4-B286-6A53D6626B9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C3-44C4-B286-6A53D6626B9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C3-44C4-B286-6A53D6626B9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C3-44C4-B286-6A53D6626B9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C3-44C4-B286-6A53D6626B9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C3-44C4-B286-6A53D6626B9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C3-44C4-B286-6A53D6626B9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C3-44C4-B286-6A53D6626B9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C3-44C4-B286-6A53D6626B9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C3-44C4-B286-6A53D6626B90}"/>
              </c:ext>
            </c:extLst>
          </c:dPt>
          <c:cat>
            <c:strRef>
              <c:f>'Viajeros entr evol mensu TF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'!$N$9:$N$21</c:f>
              <c:numCache>
                <c:formatCode>0.0%</c:formatCode>
                <c:ptCount val="13"/>
                <c:pt idx="0">
                  <c:v>1.8018018018018056E-2</c:v>
                </c:pt>
                <c:pt idx="1">
                  <c:v>-0.12679575265459087</c:v>
                </c:pt>
                <c:pt idx="2">
                  <c:v>3.3668730650154854E-2</c:v>
                </c:pt>
                <c:pt idx="3">
                  <c:v>-0.147605856747131</c:v>
                </c:pt>
                <c:pt idx="4">
                  <c:v>1.2019230769231282E-3</c:v>
                </c:pt>
                <c:pt idx="5">
                  <c:v>3.9101917255297769E-2</c:v>
                </c:pt>
                <c:pt idx="12">
                  <c:v>-3.1714500993218708E-2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0C3-44C4-B286-6A53D6626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60-489E-A5EE-890CA04C72CB}"/>
              </c:ext>
            </c:extLst>
          </c:dPt>
          <c:val>
            <c:numRef>
              <c:f>'Viajeros entr evol mensu TF '!$I$31:$I$43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60-489E-A5EE-890CA04C72CB}"/>
            </c:ext>
          </c:extLst>
        </c:ser>
        <c:ser>
          <c:idx val="0"/>
          <c:order val="2"/>
          <c:tx>
            <c:strRef>
              <c:f>'Viajeros entr evol mensu TF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60-489E-A5EE-890CA04C72CB}"/>
              </c:ext>
            </c:extLst>
          </c:dPt>
          <c:cat>
            <c:strRef>
              <c:f>'Viajeros entr evol mensu TF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'!$K$31:$K$43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60-489E-A5EE-890CA04C72CB}"/>
            </c:ext>
          </c:extLst>
        </c:ser>
        <c:ser>
          <c:idx val="1"/>
          <c:order val="3"/>
          <c:tx>
            <c:strRef>
              <c:f>'Viajeros entr evol mensu TF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60-489E-A5EE-890CA04C72C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60-489E-A5EE-890CA04C72CB}"/>
              </c:ext>
            </c:extLst>
          </c:dPt>
          <c:cat>
            <c:strRef>
              <c:f>'Viajeros entr evol mensu TF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'!$M$31:$M$43</c:f>
              <c:numCache>
                <c:formatCode>#,##0</c:formatCode>
                <c:ptCount val="13"/>
                <c:pt idx="0">
                  <c:v>5311</c:v>
                </c:pt>
                <c:pt idx="1">
                  <c:v>4194</c:v>
                </c:pt>
                <c:pt idx="2">
                  <c:v>5342</c:v>
                </c:pt>
                <c:pt idx="3">
                  <c:v>4308</c:v>
                </c:pt>
                <c:pt idx="4">
                  <c:v>4998</c:v>
                </c:pt>
                <c:pt idx="5">
                  <c:v>4119</c:v>
                </c:pt>
                <c:pt idx="12">
                  <c:v>28272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60-489E-A5EE-890CA04C7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460-489E-A5EE-890CA04C72C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5197</c:v>
                      </c:pt>
                      <c:pt idx="1">
                        <c:v>5359</c:v>
                      </c:pt>
                      <c:pt idx="2">
                        <c:v>2198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2777</c:v>
                      </c:pt>
                      <c:pt idx="8">
                        <c:v>1764</c:v>
                      </c:pt>
                      <c:pt idx="9">
                        <c:v>1764</c:v>
                      </c:pt>
                      <c:pt idx="10">
                        <c:v>1763</c:v>
                      </c:pt>
                      <c:pt idx="11">
                        <c:v>1794</c:v>
                      </c:pt>
                      <c:pt idx="12">
                        <c:v>24221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460-489E-A5EE-890CA04C72C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60-489E-A5EE-890CA04C72C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60-489E-A5EE-890CA04C72C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60-489E-A5EE-890CA04C72C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60-489E-A5EE-890CA04C72C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60-489E-A5EE-890CA04C72C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60-489E-A5EE-890CA04C72C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60-489E-A5EE-890CA04C72C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60-489E-A5EE-890CA04C72C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60-489E-A5EE-890CA04C72C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60-489E-A5EE-890CA04C72C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60-489E-A5EE-890CA04C72C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60-489E-A5EE-890CA04C72C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60-489E-A5EE-890CA04C72CB}"/>
              </c:ext>
            </c:extLst>
          </c:dPt>
          <c:cat>
            <c:strRef>
              <c:f>'Viajeros entr evol mensu TF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'!$N$31:$N$43</c:f>
              <c:numCache>
                <c:formatCode>0.0%</c:formatCode>
                <c:ptCount val="13"/>
                <c:pt idx="0">
                  <c:v>1.8018018018018056E-2</c:v>
                </c:pt>
                <c:pt idx="1">
                  <c:v>-0.12679575265459087</c:v>
                </c:pt>
                <c:pt idx="2">
                  <c:v>3.3668730650154854E-2</c:v>
                </c:pt>
                <c:pt idx="3">
                  <c:v>-0.147605856747131</c:v>
                </c:pt>
                <c:pt idx="4">
                  <c:v>1.2019230769231282E-3</c:v>
                </c:pt>
                <c:pt idx="5">
                  <c:v>3.9101917255297769E-2</c:v>
                </c:pt>
                <c:pt idx="12">
                  <c:v>-3.1714500993218708E-2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460-489E-A5EE-890CA04C7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62-4851-ACE4-651D0DF6FCC9}"/>
              </c:ext>
            </c:extLst>
          </c:dPt>
          <c:val>
            <c:numRef>
              <c:f>'Viajeros entr evol mensu TF '!$I$53:$I$65</c:f>
              <c:numCache>
                <c:formatCode>#,##0</c:formatCode>
                <c:ptCount val="13"/>
                <c:pt idx="0">
                  <c:v>4641</c:v>
                </c:pt>
                <c:pt idx="1">
                  <c:v>4493</c:v>
                </c:pt>
                <c:pt idx="2">
                  <c:v>4830</c:v>
                </c:pt>
                <c:pt idx="3">
                  <c:v>4467</c:v>
                </c:pt>
                <c:pt idx="4">
                  <c:v>4524</c:v>
                </c:pt>
                <c:pt idx="5">
                  <c:v>3719</c:v>
                </c:pt>
                <c:pt idx="6">
                  <c:v>0</c:v>
                </c:pt>
                <c:pt idx="7">
                  <c:v>0</c:v>
                </c:pt>
                <c:pt idx="8">
                  <c:v>4039</c:v>
                </c:pt>
                <c:pt idx="9">
                  <c:v>3716</c:v>
                </c:pt>
                <c:pt idx="10">
                  <c:v>4138</c:v>
                </c:pt>
                <c:pt idx="11">
                  <c:v>3751</c:v>
                </c:pt>
                <c:pt idx="12">
                  <c:v>50550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62-4851-ACE4-651D0DF6FCC9}"/>
            </c:ext>
          </c:extLst>
        </c:ser>
        <c:ser>
          <c:idx val="0"/>
          <c:order val="2"/>
          <c:tx>
            <c:strRef>
              <c:f>'Viajeros entr evol mensu TF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62-4851-ACE4-651D0DF6FCC9}"/>
              </c:ext>
            </c:extLst>
          </c:dPt>
          <c:cat>
            <c:strRef>
              <c:f>'Viajeros entr evol mensu TF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'!$K$53:$K$65</c:f>
              <c:numCache>
                <c:formatCode>#,##0</c:formatCode>
                <c:ptCount val="13"/>
                <c:pt idx="0">
                  <c:v>4486</c:v>
                </c:pt>
                <c:pt idx="1">
                  <c:v>4023</c:v>
                </c:pt>
                <c:pt idx="2">
                  <c:v>4388</c:v>
                </c:pt>
                <c:pt idx="3">
                  <c:v>4407</c:v>
                </c:pt>
                <c:pt idx="4">
                  <c:v>4496</c:v>
                </c:pt>
                <c:pt idx="5">
                  <c:v>3480</c:v>
                </c:pt>
                <c:pt idx="6">
                  <c:v>3932</c:v>
                </c:pt>
                <c:pt idx="7">
                  <c:v>2669</c:v>
                </c:pt>
                <c:pt idx="8">
                  <c:v>4491</c:v>
                </c:pt>
                <c:pt idx="9">
                  <c:v>4146</c:v>
                </c:pt>
                <c:pt idx="10">
                  <c:v>4532</c:v>
                </c:pt>
                <c:pt idx="11">
                  <c:v>4415</c:v>
                </c:pt>
                <c:pt idx="12">
                  <c:v>49465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62-4851-ACE4-651D0DF6FCC9}"/>
            </c:ext>
          </c:extLst>
        </c:ser>
        <c:ser>
          <c:idx val="1"/>
          <c:order val="3"/>
          <c:tx>
            <c:strRef>
              <c:f>'Viajeros entr evol mensu TF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62-4851-ACE4-651D0DF6FCC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62-4851-ACE4-651D0DF6FCC9}"/>
              </c:ext>
            </c:extLst>
          </c:dPt>
          <c:cat>
            <c:strRef>
              <c:f>'Viajeros entr evol mensu TF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'!$M$53:$M$65</c:f>
              <c:numCache>
                <c:formatCode>#,##0</c:formatCode>
                <c:ptCount val="13"/>
                <c:pt idx="0">
                  <c:v>4485</c:v>
                </c:pt>
                <c:pt idx="1">
                  <c:v>3377</c:v>
                </c:pt>
                <c:pt idx="2">
                  <c:v>4503</c:v>
                </c:pt>
                <c:pt idx="3">
                  <c:v>3648</c:v>
                </c:pt>
                <c:pt idx="4">
                  <c:v>4275</c:v>
                </c:pt>
                <c:pt idx="5">
                  <c:v>3490</c:v>
                </c:pt>
                <c:pt idx="12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62-4851-ACE4-651D0DF6F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562-4851-ACE4-651D0DF6FCC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3703</c:v>
                      </c:pt>
                      <c:pt idx="1">
                        <c:v>3601</c:v>
                      </c:pt>
                      <c:pt idx="2">
                        <c:v>1389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562-4851-ACE4-651D0DF6FCC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62-4851-ACE4-651D0DF6FCC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62-4851-ACE4-651D0DF6FCC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62-4851-ACE4-651D0DF6FCC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62-4851-ACE4-651D0DF6FCC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62-4851-ACE4-651D0DF6FCC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62-4851-ACE4-651D0DF6FCC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62-4851-ACE4-651D0DF6FCC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62-4851-ACE4-651D0DF6FCC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62-4851-ACE4-651D0DF6FCC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62-4851-ACE4-651D0DF6FCC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62-4851-ACE4-651D0DF6FCC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62-4851-ACE4-651D0DF6FCC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62-4851-ACE4-651D0DF6FCC9}"/>
              </c:ext>
            </c:extLst>
          </c:dPt>
          <c:cat>
            <c:strRef>
              <c:f>'Viajeros entr evol mensu TF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'!$N$53:$N$65</c:f>
              <c:numCache>
                <c:formatCode>0.0%</c:formatCode>
                <c:ptCount val="13"/>
                <c:pt idx="0">
                  <c:v>-2.2291573785104823E-4</c:v>
                </c:pt>
                <c:pt idx="1">
                  <c:v>-0.16057668406661696</c:v>
                </c:pt>
                <c:pt idx="2">
                  <c:v>2.6207839562442992E-2</c:v>
                </c:pt>
                <c:pt idx="3">
                  <c:v>-0.17222600408441113</c:v>
                </c:pt>
                <c:pt idx="4">
                  <c:v>-4.9154804270462593E-2</c:v>
                </c:pt>
                <c:pt idx="5">
                  <c:v>2.8735632183907178E-3</c:v>
                </c:pt>
                <c:pt idx="12">
                  <c:v>-5.9414556962025356E-2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562-4851-ACE4-651D0DF6F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3E-46B2-ABFC-72AB548A7E06}"/>
              </c:ext>
            </c:extLst>
          </c:dPt>
          <c:val>
            <c:numRef>
              <c:f>'Viajeros entr evol mensu TF '!$I$75:$I$87</c:f>
              <c:numCache>
                <c:formatCode>#,##0</c:formatCode>
                <c:ptCount val="13"/>
                <c:pt idx="0">
                  <c:v>749</c:v>
                </c:pt>
                <c:pt idx="1">
                  <c:v>777</c:v>
                </c:pt>
                <c:pt idx="2">
                  <c:v>829</c:v>
                </c:pt>
                <c:pt idx="3">
                  <c:v>703</c:v>
                </c:pt>
                <c:pt idx="4">
                  <c:v>489</c:v>
                </c:pt>
                <c:pt idx="5">
                  <c:v>462</c:v>
                </c:pt>
                <c:pt idx="6">
                  <c:v>0</c:v>
                </c:pt>
                <c:pt idx="7">
                  <c:v>0</c:v>
                </c:pt>
                <c:pt idx="8">
                  <c:v>482</c:v>
                </c:pt>
                <c:pt idx="9">
                  <c:v>703</c:v>
                </c:pt>
                <c:pt idx="10">
                  <c:v>826</c:v>
                </c:pt>
                <c:pt idx="11">
                  <c:v>834</c:v>
                </c:pt>
                <c:pt idx="12">
                  <c:v>7607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E-46B2-ABFC-72AB548A7E06}"/>
            </c:ext>
          </c:extLst>
        </c:ser>
        <c:ser>
          <c:idx val="0"/>
          <c:order val="2"/>
          <c:tx>
            <c:strRef>
              <c:f>'Viajeros entr evol mensu TF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A3E-46B2-ABFC-72AB548A7E06}"/>
              </c:ext>
            </c:extLst>
          </c:dPt>
          <c:cat>
            <c:strRef>
              <c:f>'Viajeros entr evol mensu TF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'!$K$75:$K$87</c:f>
              <c:numCache>
                <c:formatCode>#,##0</c:formatCode>
                <c:ptCount val="13"/>
                <c:pt idx="0">
                  <c:v>731</c:v>
                </c:pt>
                <c:pt idx="1">
                  <c:v>780</c:v>
                </c:pt>
                <c:pt idx="2">
                  <c:v>780</c:v>
                </c:pt>
                <c:pt idx="3">
                  <c:v>647</c:v>
                </c:pt>
                <c:pt idx="4">
                  <c:v>496</c:v>
                </c:pt>
                <c:pt idx="5">
                  <c:v>484</c:v>
                </c:pt>
                <c:pt idx="6">
                  <c:v>661</c:v>
                </c:pt>
                <c:pt idx="7">
                  <c:v>230</c:v>
                </c:pt>
                <c:pt idx="8">
                  <c:v>596</c:v>
                </c:pt>
                <c:pt idx="9">
                  <c:v>773</c:v>
                </c:pt>
                <c:pt idx="10">
                  <c:v>932</c:v>
                </c:pt>
                <c:pt idx="11">
                  <c:v>813</c:v>
                </c:pt>
                <c:pt idx="12">
                  <c:v>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3E-46B2-ABFC-72AB548A7E06}"/>
            </c:ext>
          </c:extLst>
        </c:ser>
        <c:ser>
          <c:idx val="1"/>
          <c:order val="3"/>
          <c:tx>
            <c:strRef>
              <c:f>'Viajeros entr evol mensu TF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A3E-46B2-ABFC-72AB548A7E0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A3E-46B2-ABFC-72AB548A7E06}"/>
              </c:ext>
            </c:extLst>
          </c:dPt>
          <c:cat>
            <c:strRef>
              <c:f>'Viajeros entr evol mensu TF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'!$M$75:$M$87</c:f>
              <c:numCache>
                <c:formatCode>#,##0</c:formatCode>
                <c:ptCount val="13"/>
                <c:pt idx="0">
                  <c:v>826</c:v>
                </c:pt>
                <c:pt idx="1">
                  <c:v>817</c:v>
                </c:pt>
                <c:pt idx="2">
                  <c:v>839</c:v>
                </c:pt>
                <c:pt idx="3">
                  <c:v>660</c:v>
                </c:pt>
                <c:pt idx="4">
                  <c:v>723</c:v>
                </c:pt>
                <c:pt idx="5">
                  <c:v>629</c:v>
                </c:pt>
                <c:pt idx="12">
                  <c:v>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A3E-46B2-ABFC-72AB548A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A3E-46B2-ABFC-72AB548A7E0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1494</c:v>
                      </c:pt>
                      <c:pt idx="1">
                        <c:v>1758</c:v>
                      </c:pt>
                      <c:pt idx="2">
                        <c:v>809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A3E-46B2-ABFC-72AB548A7E0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A3E-46B2-ABFC-72AB548A7E0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A3E-46B2-ABFC-72AB548A7E0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A3E-46B2-ABFC-72AB548A7E0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A3E-46B2-ABFC-72AB548A7E0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A3E-46B2-ABFC-72AB548A7E0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A3E-46B2-ABFC-72AB548A7E0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A3E-46B2-ABFC-72AB548A7E0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3E-46B2-ABFC-72AB548A7E0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3E-46B2-ABFC-72AB548A7E0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3E-46B2-ABFC-72AB548A7E0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3E-46B2-ABFC-72AB548A7E0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3E-46B2-ABFC-72AB548A7E0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3E-46B2-ABFC-72AB548A7E06}"/>
              </c:ext>
            </c:extLst>
          </c:dPt>
          <c:cat>
            <c:strRef>
              <c:f>'Viajeros entr evol mensu TF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'!$N$75:$N$87</c:f>
              <c:numCache>
                <c:formatCode>0.0%</c:formatCode>
                <c:ptCount val="13"/>
                <c:pt idx="0">
                  <c:v>0.12995896032831733</c:v>
                </c:pt>
                <c:pt idx="1">
                  <c:v>4.7435897435897489E-2</c:v>
                </c:pt>
                <c:pt idx="2">
                  <c:v>7.5641025641025594E-2</c:v>
                </c:pt>
                <c:pt idx="3">
                  <c:v>2.0092735703245657E-2</c:v>
                </c:pt>
                <c:pt idx="4">
                  <c:v>0.45766129032258074</c:v>
                </c:pt>
                <c:pt idx="5">
                  <c:v>0.29958677685950419</c:v>
                </c:pt>
                <c:pt idx="12">
                  <c:v>0.14701378254211339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A3E-46B2-ABFC-72AB548A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FD-4F9E-824C-7179EC7A4EC2}"/>
              </c:ext>
            </c:extLst>
          </c:dPt>
          <c:val>
            <c:numRef>
              <c:f>'Viajeros entr evol mensu TF cat'!$I$9:$I$21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FD-4F9E-824C-7179EC7A4EC2}"/>
            </c:ext>
          </c:extLst>
        </c:ser>
        <c:ser>
          <c:idx val="0"/>
          <c:order val="2"/>
          <c:tx>
            <c:strRef>
              <c:f>'Viajeros entr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FD-4F9E-824C-7179EC7A4EC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cat'!$K$9:$K$21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FD-4F9E-824C-7179EC7A4EC2}"/>
            </c:ext>
          </c:extLst>
        </c:ser>
        <c:ser>
          <c:idx val="1"/>
          <c:order val="3"/>
          <c:tx>
            <c:strRef>
              <c:f>'Viajeros entr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FD-4F9E-824C-7179EC7A4EC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FD-4F9E-824C-7179EC7A4EC2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cat'!$M$9:$M$21</c:f>
              <c:numCache>
                <c:formatCode>#,##0</c:formatCode>
                <c:ptCount val="13"/>
                <c:pt idx="0">
                  <c:v>5311</c:v>
                </c:pt>
                <c:pt idx="1">
                  <c:v>4194</c:v>
                </c:pt>
                <c:pt idx="2">
                  <c:v>5342</c:v>
                </c:pt>
                <c:pt idx="3">
                  <c:v>4308</c:v>
                </c:pt>
                <c:pt idx="4">
                  <c:v>4998</c:v>
                </c:pt>
                <c:pt idx="5">
                  <c:v>4119</c:v>
                </c:pt>
                <c:pt idx="12">
                  <c:v>28272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FD-4F9E-824C-7179EC7A4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7FD-4F9E-824C-7179EC7A4EC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5197</c:v>
                      </c:pt>
                      <c:pt idx="1">
                        <c:v>5359</c:v>
                      </c:pt>
                      <c:pt idx="2">
                        <c:v>2198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2777</c:v>
                      </c:pt>
                      <c:pt idx="8">
                        <c:v>1764</c:v>
                      </c:pt>
                      <c:pt idx="9">
                        <c:v>1764</c:v>
                      </c:pt>
                      <c:pt idx="10">
                        <c:v>1763</c:v>
                      </c:pt>
                      <c:pt idx="11">
                        <c:v>1794</c:v>
                      </c:pt>
                      <c:pt idx="12">
                        <c:v>24221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7FD-4F9E-824C-7179EC7A4EC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7FD-4F9E-824C-7179EC7A4EC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FD-4F9E-824C-7179EC7A4EC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FD-4F9E-824C-7179EC7A4EC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FD-4F9E-824C-7179EC7A4EC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FD-4F9E-824C-7179EC7A4EC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FD-4F9E-824C-7179EC7A4EC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FD-4F9E-824C-7179EC7A4EC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FD-4F9E-824C-7179EC7A4EC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FD-4F9E-824C-7179EC7A4EC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FD-4F9E-824C-7179EC7A4EC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FD-4F9E-824C-7179EC7A4EC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FD-4F9E-824C-7179EC7A4EC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FD-4F9E-824C-7179EC7A4EC2}"/>
              </c:ext>
            </c:extLst>
          </c:dPt>
          <c:cat>
            <c:strRef>
              <c:f>'Viajeros entr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cat'!$N$9:$N$21</c:f>
              <c:numCache>
                <c:formatCode>0.0%</c:formatCode>
                <c:ptCount val="13"/>
                <c:pt idx="0">
                  <c:v>1.8018018018018056E-2</c:v>
                </c:pt>
                <c:pt idx="1">
                  <c:v>-0.12679575265459087</c:v>
                </c:pt>
                <c:pt idx="2">
                  <c:v>3.3668730650154854E-2</c:v>
                </c:pt>
                <c:pt idx="3">
                  <c:v>-0.147605856747131</c:v>
                </c:pt>
                <c:pt idx="4">
                  <c:v>1.2019230769231282E-3</c:v>
                </c:pt>
                <c:pt idx="5">
                  <c:v>3.9101917255297769E-2</c:v>
                </c:pt>
                <c:pt idx="12">
                  <c:v>-3.1714500993218708E-2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7FD-4F9E-824C-7179EC7A4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AE-4D97-A9A3-66B441A6022A}"/>
              </c:ext>
            </c:extLst>
          </c:dPt>
          <c:val>
            <c:numRef>
              <c:f>'Viajeros entr evol mensu TF cat'!$I$31:$I$43</c:f>
              <c:numCache>
                <c:formatCode>#,##0</c:formatCode>
                <c:ptCount val="13"/>
                <c:pt idx="0">
                  <c:v>5390</c:v>
                </c:pt>
                <c:pt idx="1">
                  <c:v>5270</c:v>
                </c:pt>
                <c:pt idx="2">
                  <c:v>5659</c:v>
                </c:pt>
                <c:pt idx="3">
                  <c:v>5170</c:v>
                </c:pt>
                <c:pt idx="4">
                  <c:v>5013</c:v>
                </c:pt>
                <c:pt idx="5">
                  <c:v>4181</c:v>
                </c:pt>
                <c:pt idx="6">
                  <c:v>4340</c:v>
                </c:pt>
                <c:pt idx="7">
                  <c:v>4645</c:v>
                </c:pt>
                <c:pt idx="8">
                  <c:v>4521</c:v>
                </c:pt>
                <c:pt idx="9">
                  <c:v>4419</c:v>
                </c:pt>
                <c:pt idx="10">
                  <c:v>4964</c:v>
                </c:pt>
                <c:pt idx="11">
                  <c:v>4585</c:v>
                </c:pt>
                <c:pt idx="12">
                  <c:v>58157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AE-4D97-A9A3-66B441A6022A}"/>
            </c:ext>
          </c:extLst>
        </c:ser>
        <c:ser>
          <c:idx val="0"/>
          <c:order val="2"/>
          <c:tx>
            <c:strRef>
              <c:f>'Viajeros entr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AE-4D97-A9A3-66B441A6022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cat'!$K$31:$K$43</c:f>
              <c:numCache>
                <c:formatCode>#,##0</c:formatCode>
                <c:ptCount val="13"/>
                <c:pt idx="0">
                  <c:v>5217</c:v>
                </c:pt>
                <c:pt idx="1">
                  <c:v>4803</c:v>
                </c:pt>
                <c:pt idx="2">
                  <c:v>5168</c:v>
                </c:pt>
                <c:pt idx="3">
                  <c:v>5054</c:v>
                </c:pt>
                <c:pt idx="4">
                  <c:v>4992</c:v>
                </c:pt>
                <c:pt idx="5">
                  <c:v>3964</c:v>
                </c:pt>
                <c:pt idx="6">
                  <c:v>4593</c:v>
                </c:pt>
                <c:pt idx="7">
                  <c:v>2899</c:v>
                </c:pt>
                <c:pt idx="8">
                  <c:v>5087</c:v>
                </c:pt>
                <c:pt idx="9">
                  <c:v>4919</c:v>
                </c:pt>
                <c:pt idx="10">
                  <c:v>5464</c:v>
                </c:pt>
                <c:pt idx="11">
                  <c:v>5228</c:v>
                </c:pt>
                <c:pt idx="12">
                  <c:v>57388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AE-4D97-A9A3-66B441A6022A}"/>
            </c:ext>
          </c:extLst>
        </c:ser>
        <c:ser>
          <c:idx val="1"/>
          <c:order val="3"/>
          <c:tx>
            <c:strRef>
              <c:f>'Viajeros entr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AE-4D97-A9A3-66B441A6022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AE-4D97-A9A3-66B441A6022A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cat'!$M$31:$M$43</c:f>
              <c:numCache>
                <c:formatCode>#,##0</c:formatCode>
                <c:ptCount val="13"/>
                <c:pt idx="0">
                  <c:v>5311</c:v>
                </c:pt>
                <c:pt idx="1">
                  <c:v>4194</c:v>
                </c:pt>
                <c:pt idx="2">
                  <c:v>5342</c:v>
                </c:pt>
                <c:pt idx="3">
                  <c:v>4308</c:v>
                </c:pt>
                <c:pt idx="4">
                  <c:v>4998</c:v>
                </c:pt>
                <c:pt idx="5">
                  <c:v>4119</c:v>
                </c:pt>
                <c:pt idx="12">
                  <c:v>28272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AE-4D97-A9A3-66B441A60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3AE-4D97-A9A3-66B441A6022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5197</c:v>
                      </c:pt>
                      <c:pt idx="1">
                        <c:v>5359</c:v>
                      </c:pt>
                      <c:pt idx="2">
                        <c:v>2198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2777</c:v>
                      </c:pt>
                      <c:pt idx="8">
                        <c:v>1764</c:v>
                      </c:pt>
                      <c:pt idx="9">
                        <c:v>1764</c:v>
                      </c:pt>
                      <c:pt idx="10">
                        <c:v>1763</c:v>
                      </c:pt>
                      <c:pt idx="11">
                        <c:v>1794</c:v>
                      </c:pt>
                      <c:pt idx="12">
                        <c:v>24221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3AE-4D97-A9A3-66B441A6022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AE-4D97-A9A3-66B441A6022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AE-4D97-A9A3-66B441A6022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AE-4D97-A9A3-66B441A6022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AE-4D97-A9A3-66B441A6022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AE-4D97-A9A3-66B441A6022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AE-4D97-A9A3-66B441A6022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AE-4D97-A9A3-66B441A6022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AE-4D97-A9A3-66B441A6022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AE-4D97-A9A3-66B441A6022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AE-4D97-A9A3-66B441A6022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AE-4D97-A9A3-66B441A6022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AE-4D97-A9A3-66B441A6022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AE-4D97-A9A3-66B441A6022A}"/>
              </c:ext>
            </c:extLst>
          </c:dPt>
          <c:cat>
            <c:strRef>
              <c:f>'Viajeros entr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cat'!$N$31:$N$43</c:f>
              <c:numCache>
                <c:formatCode>0.0%</c:formatCode>
                <c:ptCount val="13"/>
                <c:pt idx="0">
                  <c:v>1.8018018018018056E-2</c:v>
                </c:pt>
                <c:pt idx="1">
                  <c:v>-0.12679575265459087</c:v>
                </c:pt>
                <c:pt idx="2">
                  <c:v>3.3668730650154854E-2</c:v>
                </c:pt>
                <c:pt idx="3">
                  <c:v>-0.147605856747131</c:v>
                </c:pt>
                <c:pt idx="4">
                  <c:v>1.2019230769231282E-3</c:v>
                </c:pt>
                <c:pt idx="5">
                  <c:v>3.9101917255297769E-2</c:v>
                </c:pt>
                <c:pt idx="12">
                  <c:v>-3.1714500993218708E-2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3AE-4D97-A9A3-66B441A60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0A-4E36-BE10-505AB1194076}"/>
              </c:ext>
            </c:extLst>
          </c:dPt>
          <c:val>
            <c:numRef>
              <c:f>'Viajeros entr evol mensu TF cat'!$I$53:$I$65</c:f>
              <c:numCache>
                <c:formatCode>#,##0</c:formatCode>
                <c:ptCount val="13"/>
                <c:pt idx="0">
                  <c:v>4641</c:v>
                </c:pt>
                <c:pt idx="1">
                  <c:v>4493</c:v>
                </c:pt>
                <c:pt idx="2">
                  <c:v>4830</c:v>
                </c:pt>
                <c:pt idx="3">
                  <c:v>4467</c:v>
                </c:pt>
                <c:pt idx="4">
                  <c:v>4524</c:v>
                </c:pt>
                <c:pt idx="5">
                  <c:v>3719</c:v>
                </c:pt>
                <c:pt idx="6">
                  <c:v>0</c:v>
                </c:pt>
                <c:pt idx="7">
                  <c:v>0</c:v>
                </c:pt>
                <c:pt idx="8">
                  <c:v>4039</c:v>
                </c:pt>
                <c:pt idx="9">
                  <c:v>3716</c:v>
                </c:pt>
                <c:pt idx="10">
                  <c:v>4138</c:v>
                </c:pt>
                <c:pt idx="11">
                  <c:v>3751</c:v>
                </c:pt>
                <c:pt idx="12">
                  <c:v>50550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0A-4E36-BE10-505AB1194076}"/>
            </c:ext>
          </c:extLst>
        </c:ser>
        <c:ser>
          <c:idx val="0"/>
          <c:order val="2"/>
          <c:tx>
            <c:strRef>
              <c:f>'Viajeros entr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0A-4E36-BE10-505AB119407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cat'!$K$53:$K$65</c:f>
              <c:numCache>
                <c:formatCode>#,##0</c:formatCode>
                <c:ptCount val="13"/>
                <c:pt idx="0">
                  <c:v>4486</c:v>
                </c:pt>
                <c:pt idx="1">
                  <c:v>4023</c:v>
                </c:pt>
                <c:pt idx="2">
                  <c:v>4388</c:v>
                </c:pt>
                <c:pt idx="3">
                  <c:v>4407</c:v>
                </c:pt>
                <c:pt idx="4">
                  <c:v>4496</c:v>
                </c:pt>
                <c:pt idx="5">
                  <c:v>3480</c:v>
                </c:pt>
                <c:pt idx="6">
                  <c:v>3932</c:v>
                </c:pt>
                <c:pt idx="7">
                  <c:v>2669</c:v>
                </c:pt>
                <c:pt idx="8">
                  <c:v>4491</c:v>
                </c:pt>
                <c:pt idx="9">
                  <c:v>4146</c:v>
                </c:pt>
                <c:pt idx="10">
                  <c:v>4532</c:v>
                </c:pt>
                <c:pt idx="11">
                  <c:v>4415</c:v>
                </c:pt>
                <c:pt idx="12">
                  <c:v>49465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0A-4E36-BE10-505AB1194076}"/>
            </c:ext>
          </c:extLst>
        </c:ser>
        <c:ser>
          <c:idx val="1"/>
          <c:order val="3"/>
          <c:tx>
            <c:strRef>
              <c:f>'Viajeros entr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0A-4E36-BE10-505AB119407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0A-4E36-BE10-505AB1194076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cat'!$M$53:$M$65</c:f>
              <c:numCache>
                <c:formatCode>#,##0</c:formatCode>
                <c:ptCount val="13"/>
                <c:pt idx="0">
                  <c:v>4485</c:v>
                </c:pt>
                <c:pt idx="1">
                  <c:v>3377</c:v>
                </c:pt>
                <c:pt idx="2">
                  <c:v>4503</c:v>
                </c:pt>
                <c:pt idx="3">
                  <c:v>3648</c:v>
                </c:pt>
                <c:pt idx="4">
                  <c:v>4275</c:v>
                </c:pt>
                <c:pt idx="5">
                  <c:v>3490</c:v>
                </c:pt>
                <c:pt idx="12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0A-4E36-BE10-505AB1194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C0A-4E36-BE10-505AB119407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3703</c:v>
                      </c:pt>
                      <c:pt idx="1">
                        <c:v>3601</c:v>
                      </c:pt>
                      <c:pt idx="2">
                        <c:v>1389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C0A-4E36-BE10-505AB119407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C0A-4E36-BE10-505AB119407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0A-4E36-BE10-505AB119407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0A-4E36-BE10-505AB119407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0A-4E36-BE10-505AB119407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0A-4E36-BE10-505AB119407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0A-4E36-BE10-505AB119407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0A-4E36-BE10-505AB119407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0A-4E36-BE10-505AB119407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0A-4E36-BE10-505AB119407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0A-4E36-BE10-505AB119407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0A-4E36-BE10-505AB119407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0A-4E36-BE10-505AB119407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0A-4E36-BE10-505AB1194076}"/>
              </c:ext>
            </c:extLst>
          </c:dPt>
          <c:cat>
            <c:strRef>
              <c:f>'Viajeros entr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cat'!$N$53:$N$65</c:f>
              <c:numCache>
                <c:formatCode>0.0%</c:formatCode>
                <c:ptCount val="13"/>
                <c:pt idx="0">
                  <c:v>-2.2291573785104823E-4</c:v>
                </c:pt>
                <c:pt idx="1">
                  <c:v>-0.16057668406661696</c:v>
                </c:pt>
                <c:pt idx="2">
                  <c:v>2.6207839562442992E-2</c:v>
                </c:pt>
                <c:pt idx="3">
                  <c:v>-0.17222600408441113</c:v>
                </c:pt>
                <c:pt idx="4">
                  <c:v>-4.9154804270462593E-2</c:v>
                </c:pt>
                <c:pt idx="5">
                  <c:v>2.8735632183907178E-3</c:v>
                </c:pt>
                <c:pt idx="12">
                  <c:v>-5.9414556962025356E-2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0A-4E36-BE10-505AB1194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205497302908249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'Viajeros entr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D2-4E33-98A9-EF4763925A24}"/>
              </c:ext>
            </c:extLst>
          </c:dPt>
          <c:val>
            <c:numRef>
              <c:f>'Viajeros entr evol mensu TF cat'!$I$75:$I$87</c:f>
              <c:numCache>
                <c:formatCode>#,##0</c:formatCode>
                <c:ptCount val="13"/>
                <c:pt idx="0">
                  <c:v>749</c:v>
                </c:pt>
                <c:pt idx="1">
                  <c:v>777</c:v>
                </c:pt>
                <c:pt idx="2">
                  <c:v>829</c:v>
                </c:pt>
                <c:pt idx="3">
                  <c:v>703</c:v>
                </c:pt>
                <c:pt idx="4">
                  <c:v>489</c:v>
                </c:pt>
                <c:pt idx="5">
                  <c:v>462</c:v>
                </c:pt>
                <c:pt idx="6">
                  <c:v>0</c:v>
                </c:pt>
                <c:pt idx="7">
                  <c:v>0</c:v>
                </c:pt>
                <c:pt idx="8">
                  <c:v>482</c:v>
                </c:pt>
                <c:pt idx="9">
                  <c:v>703</c:v>
                </c:pt>
                <c:pt idx="10">
                  <c:v>826</c:v>
                </c:pt>
                <c:pt idx="11">
                  <c:v>834</c:v>
                </c:pt>
                <c:pt idx="12">
                  <c:v>7607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D2-4E33-98A9-EF4763925A24}"/>
            </c:ext>
          </c:extLst>
        </c:ser>
        <c:ser>
          <c:idx val="0"/>
          <c:order val="2"/>
          <c:tx>
            <c:strRef>
              <c:f>'Viajeros entr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D2-4E33-98A9-EF4763925A2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cat'!$K$75:$K$87</c:f>
              <c:numCache>
                <c:formatCode>#,##0</c:formatCode>
                <c:ptCount val="13"/>
                <c:pt idx="0">
                  <c:v>731</c:v>
                </c:pt>
                <c:pt idx="1">
                  <c:v>780</c:v>
                </c:pt>
                <c:pt idx="2">
                  <c:v>780</c:v>
                </c:pt>
                <c:pt idx="3">
                  <c:v>647</c:v>
                </c:pt>
                <c:pt idx="4">
                  <c:v>496</c:v>
                </c:pt>
                <c:pt idx="5">
                  <c:v>484</c:v>
                </c:pt>
                <c:pt idx="6">
                  <c:v>661</c:v>
                </c:pt>
                <c:pt idx="7">
                  <c:v>230</c:v>
                </c:pt>
                <c:pt idx="8">
                  <c:v>596</c:v>
                </c:pt>
                <c:pt idx="9">
                  <c:v>773</c:v>
                </c:pt>
                <c:pt idx="10">
                  <c:v>932</c:v>
                </c:pt>
                <c:pt idx="11">
                  <c:v>813</c:v>
                </c:pt>
                <c:pt idx="12">
                  <c:v>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D2-4E33-98A9-EF4763925A24}"/>
            </c:ext>
          </c:extLst>
        </c:ser>
        <c:ser>
          <c:idx val="1"/>
          <c:order val="3"/>
          <c:tx>
            <c:strRef>
              <c:f>'Viajeros entr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D2-4E33-98A9-EF4763925A2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D2-4E33-98A9-EF4763925A24}"/>
              </c:ext>
            </c:extLst>
          </c:dPt>
          <c:cat>
            <c:strRef>
              <c:f>'Viajeros entr evol mensu TF cat'!$A$9:$A$21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'Viajeros entr evol mensu TF cat'!$M$75:$M$87</c:f>
              <c:numCache>
                <c:formatCode>#,##0</c:formatCode>
                <c:ptCount val="13"/>
                <c:pt idx="0">
                  <c:v>826</c:v>
                </c:pt>
                <c:pt idx="1">
                  <c:v>817</c:v>
                </c:pt>
                <c:pt idx="2">
                  <c:v>839</c:v>
                </c:pt>
                <c:pt idx="3">
                  <c:v>660</c:v>
                </c:pt>
                <c:pt idx="4">
                  <c:v>723</c:v>
                </c:pt>
                <c:pt idx="5">
                  <c:v>629</c:v>
                </c:pt>
                <c:pt idx="12">
                  <c:v>4494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D2-4E33-98A9-EF4763925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'Viajeros entr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BD2-4E33-98A9-EF4763925A2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'Viajeros entr evol mensu TF cat'!$A$9:$A$21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'Viajeros entr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1494</c:v>
                      </c:pt>
                      <c:pt idx="1">
                        <c:v>1758</c:v>
                      </c:pt>
                      <c:pt idx="2">
                        <c:v>809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BD2-4E33-98A9-EF4763925A2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'Viajeros entr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D2-4E33-98A9-EF4763925A2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D2-4E33-98A9-EF4763925A2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D2-4E33-98A9-EF4763925A2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D2-4E33-98A9-EF4763925A2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D2-4E33-98A9-EF4763925A2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D2-4E33-98A9-EF4763925A2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D2-4E33-98A9-EF4763925A2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D2-4E33-98A9-EF4763925A2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D2-4E33-98A9-EF4763925A2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D2-4E33-98A9-EF4763925A2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D2-4E33-98A9-EF4763925A2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D2-4E33-98A9-EF4763925A2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BD2-4E33-98A9-EF4763925A24}"/>
              </c:ext>
            </c:extLst>
          </c:dPt>
          <c:cat>
            <c:strRef>
              <c:f>'Viajeros entr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'Viajeros entr evol mensu TF cat'!$N$75:$N$87</c:f>
              <c:numCache>
                <c:formatCode>0.0%</c:formatCode>
                <c:ptCount val="13"/>
                <c:pt idx="0">
                  <c:v>0.12995896032831733</c:v>
                </c:pt>
                <c:pt idx="1">
                  <c:v>4.7435897435897489E-2</c:v>
                </c:pt>
                <c:pt idx="2">
                  <c:v>7.5641025641025594E-2</c:v>
                </c:pt>
                <c:pt idx="3">
                  <c:v>2.0092735703245657E-2</c:v>
                </c:pt>
                <c:pt idx="4">
                  <c:v>0.45766129032258074</c:v>
                </c:pt>
                <c:pt idx="5">
                  <c:v>0.29958677685950419</c:v>
                </c:pt>
                <c:pt idx="12">
                  <c:v>0.14701378254211339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BD2-4E33-98A9-EF4763925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cat'!$C$8:$C$22</c:f>
              <c:numCache>
                <c:formatCode>#,##0</c:formatCode>
                <c:ptCount val="15"/>
                <c:pt idx="0">
                  <c:v>57388</c:v>
                </c:pt>
                <c:pt idx="1">
                  <c:v>58157</c:v>
                </c:pt>
                <c:pt idx="2">
                  <c:v>51485</c:v>
                </c:pt>
                <c:pt idx="3">
                  <c:v>33444</c:v>
                </c:pt>
                <c:pt idx="4">
                  <c:v>24221</c:v>
                </c:pt>
                <c:pt idx="5">
                  <c:v>55887</c:v>
                </c:pt>
                <c:pt idx="6">
                  <c:v>53986</c:v>
                </c:pt>
                <c:pt idx="7">
                  <c:v>57715</c:v>
                </c:pt>
                <c:pt idx="8">
                  <c:v>53747</c:v>
                </c:pt>
                <c:pt idx="9">
                  <c:v>41224</c:v>
                </c:pt>
                <c:pt idx="10">
                  <c:v>33774</c:v>
                </c:pt>
                <c:pt idx="11">
                  <c:v>30178</c:v>
                </c:pt>
                <c:pt idx="12">
                  <c:v>31795</c:v>
                </c:pt>
                <c:pt idx="13">
                  <c:v>32263</c:v>
                </c:pt>
                <c:pt idx="14">
                  <c:v>40105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B-43CB-9B02-7BEDBF87E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cat'!$D$8:$D$22</c:f>
              <c:numCache>
                <c:formatCode>0.0%</c:formatCode>
                <c:ptCount val="15"/>
                <c:pt idx="0">
                  <c:v>-1.3222827862510056E-2</c:v>
                </c:pt>
                <c:pt idx="1">
                  <c:v>0.12959114305137409</c:v>
                </c:pt>
                <c:pt idx="2">
                  <c:v>0.53943906231312044</c:v>
                </c:pt>
                <c:pt idx="3">
                  <c:v>0.38078526898146237</c:v>
                </c:pt>
                <c:pt idx="4">
                  <c:v>-0.56660761894537193</c:v>
                </c:pt>
                <c:pt idx="5">
                  <c:v>3.521283295669253E-2</c:v>
                </c:pt>
                <c:pt idx="6">
                  <c:v>-6.4610586502642287E-2</c:v>
                </c:pt>
                <c:pt idx="7">
                  <c:v>7.382737641170678E-2</c:v>
                </c:pt>
                <c:pt idx="8">
                  <c:v>0.30377935183388316</c:v>
                </c:pt>
                <c:pt idx="9">
                  <c:v>0.22058388109196425</c:v>
                </c:pt>
                <c:pt idx="10">
                  <c:v>0.11915965272715212</c:v>
                </c:pt>
                <c:pt idx="11">
                  <c:v>-5.0857052995754048E-2</c:v>
                </c:pt>
                <c:pt idx="12">
                  <c:v>-1.4505780615565844E-2</c:v>
                </c:pt>
                <c:pt idx="13">
                  <c:v>-0.19553671612018453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B-43CB-9B02-7BEDBF87E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cat'!$C$31:$C$45</c:f>
              <c:numCache>
                <c:formatCode>#,##0</c:formatCode>
                <c:ptCount val="15"/>
                <c:pt idx="0">
                  <c:v>57388</c:v>
                </c:pt>
                <c:pt idx="1">
                  <c:v>58157</c:v>
                </c:pt>
                <c:pt idx="2">
                  <c:v>51485</c:v>
                </c:pt>
                <c:pt idx="3">
                  <c:v>33444</c:v>
                </c:pt>
                <c:pt idx="4">
                  <c:v>24221</c:v>
                </c:pt>
                <c:pt idx="5">
                  <c:v>55887</c:v>
                </c:pt>
                <c:pt idx="6">
                  <c:v>53986</c:v>
                </c:pt>
                <c:pt idx="7">
                  <c:v>57664</c:v>
                </c:pt>
                <c:pt idx="8">
                  <c:v>53591</c:v>
                </c:pt>
                <c:pt idx="9">
                  <c:v>40936</c:v>
                </c:pt>
                <c:pt idx="10">
                  <c:v>33476</c:v>
                </c:pt>
                <c:pt idx="11">
                  <c:v>29983</c:v>
                </c:pt>
                <c:pt idx="12">
                  <c:v>31642</c:v>
                </c:pt>
                <c:pt idx="13">
                  <c:v>30281</c:v>
                </c:pt>
                <c:pt idx="14">
                  <c:v>36948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0-4DEF-971F-E68A2DB97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cat'!$D$30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cat'!$B$31:$B$45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cat'!$D$31:$D$45</c:f>
              <c:numCache>
                <c:formatCode>0.0%</c:formatCode>
                <c:ptCount val="15"/>
                <c:pt idx="0">
                  <c:v>-1.3222827862510056E-2</c:v>
                </c:pt>
                <c:pt idx="1">
                  <c:v>0.12959114305137409</c:v>
                </c:pt>
                <c:pt idx="2">
                  <c:v>0.53943906231312044</c:v>
                </c:pt>
                <c:pt idx="3">
                  <c:v>0.38078526898146237</c:v>
                </c:pt>
                <c:pt idx="4">
                  <c:v>-0.56660761894537193</c:v>
                </c:pt>
                <c:pt idx="5">
                  <c:v>3.521283295669253E-2</c:v>
                </c:pt>
                <c:pt idx="6">
                  <c:v>-6.3783296337402873E-2</c:v>
                </c:pt>
                <c:pt idx="7">
                  <c:v>7.6001567427366634E-2</c:v>
                </c:pt>
                <c:pt idx="8">
                  <c:v>0.30914109829978509</c:v>
                </c:pt>
                <c:pt idx="9">
                  <c:v>0.22284621818616324</c:v>
                </c:pt>
                <c:pt idx="10">
                  <c:v>0.11649934963145792</c:v>
                </c:pt>
                <c:pt idx="11">
                  <c:v>-5.2430314139434886E-2</c:v>
                </c:pt>
                <c:pt idx="12">
                  <c:v>4.4945675506092853E-2</c:v>
                </c:pt>
                <c:pt idx="13">
                  <c:v>-0.180442784453827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0-4DEF-971F-E68A2DB97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cat'!$C$54:$C$68</c:f>
              <c:numCache>
                <c:formatCode>#,##0</c:formatCode>
                <c:ptCount val="15"/>
                <c:pt idx="0">
                  <c:v>49465</c:v>
                </c:pt>
                <c:pt idx="1">
                  <c:v>50550</c:v>
                </c:pt>
                <c:pt idx="2">
                  <c:v>46354</c:v>
                </c:pt>
                <c:pt idx="3">
                  <c:v>0</c:v>
                </c:pt>
                <c:pt idx="4">
                  <c:v>0</c:v>
                </c:pt>
                <c:pt idx="5">
                  <c:v>42488</c:v>
                </c:pt>
                <c:pt idx="6">
                  <c:v>39356</c:v>
                </c:pt>
                <c:pt idx="7">
                  <c:v>25778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D-43C5-948A-F0265B4D0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'Viajeros entr evol anual TF cat'!$D$53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'Viajeros entr evol anual TF cat'!$B$54:$B$68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'Viajeros entr evol anual TF cat'!$D$54:$D$68</c:f>
              <c:numCache>
                <c:formatCode>0.0%</c:formatCode>
                <c:ptCount val="15"/>
                <c:pt idx="0">
                  <c:v>-2.1463897131552945E-2</c:v>
                </c:pt>
                <c:pt idx="1">
                  <c:v>9.0520774906156953E-2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7.9581258257953147E-2</c:v>
                </c:pt>
                <c:pt idx="6">
                  <c:v>0.52672821786019086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D-43C5-948A-F0265B4D0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72732290890549E-2"/>
          <c:y val="0.28154949862036477"/>
          <c:w val="0.95795330741250462"/>
          <c:h val="0.396946766269600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 años '!$T$6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73-45F9-94D2-78987C010901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73-45F9-94D2-78987C0109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373-45F9-94D2-78987C01090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373-45F9-94D2-78987C01090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373-45F9-94D2-78987C01090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373-45F9-94D2-78987C01090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373-45F9-94D2-78987C01090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373-45F9-94D2-78987C0109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'!$T$8:$T$9,'viaj entrados lugar resid años '!$T$12:$T$20)</c:f>
              <c:numCache>
                <c:formatCode>#,##0</c:formatCode>
                <c:ptCount val="11"/>
                <c:pt idx="0">
                  <c:v>57388</c:v>
                </c:pt>
                <c:pt idx="1">
                  <c:v>35821</c:v>
                </c:pt>
                <c:pt idx="2">
                  <c:v>21567</c:v>
                </c:pt>
                <c:pt idx="3">
                  <c:v>3030</c:v>
                </c:pt>
                <c:pt idx="4">
                  <c:v>4234</c:v>
                </c:pt>
                <c:pt idx="5">
                  <c:v>3685</c:v>
                </c:pt>
                <c:pt idx="6">
                  <c:v>933</c:v>
                </c:pt>
                <c:pt idx="7">
                  <c:v>903</c:v>
                </c:pt>
                <c:pt idx="8">
                  <c:v>230</c:v>
                </c:pt>
                <c:pt idx="9">
                  <c:v>384</c:v>
                </c:pt>
                <c:pt idx="10">
                  <c:v>8168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73-45F9-94D2-78987C010901}"/>
            </c:ext>
          </c:extLst>
        </c:ser>
        <c:ser>
          <c:idx val="1"/>
          <c:order val="1"/>
          <c:tx>
            <c:strRef>
              <c:f>'viaj entrados lugar resid años '!$U$6</c:f>
              <c:strCache>
                <c:ptCount val="1"/>
                <c:pt idx="0">
                  <c:v>var. 24/23</c:v>
                </c:pt>
              </c:strCache>
            </c:strRef>
          </c:tx>
          <c:invertIfNegative val="0"/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'!$U$8:$U$9,'viaj entrados lugar resid años '!$U$12:$U$20)</c:f>
              <c:numCache>
                <c:formatCode>0.0%</c:formatCode>
                <c:ptCount val="11"/>
                <c:pt idx="0">
                  <c:v>-1.3222827862510056E-2</c:v>
                </c:pt>
                <c:pt idx="1">
                  <c:v>-5.0394994963151474E-2</c:v>
                </c:pt>
                <c:pt idx="2">
                  <c:v>5.539515537068751E-2</c:v>
                </c:pt>
                <c:pt idx="3">
                  <c:v>8.4078711985688726E-2</c:v>
                </c:pt>
                <c:pt idx="4">
                  <c:v>0.11012060828526482</c:v>
                </c:pt>
                <c:pt idx="5">
                  <c:v>-5.1480051480051525E-2</c:v>
                </c:pt>
                <c:pt idx="6">
                  <c:v>-5.3304904051172386E-3</c:v>
                </c:pt>
                <c:pt idx="7">
                  <c:v>0.38923076923076927</c:v>
                </c:pt>
                <c:pt idx="8">
                  <c:v>0.50326797385620914</c:v>
                </c:pt>
                <c:pt idx="9">
                  <c:v>0.42222222222222228</c:v>
                </c:pt>
                <c:pt idx="10">
                  <c:v>3.0012610340479196E-2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73-45F9-94D2-78987C010901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373-45F9-94D2-78987C01090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373-45F9-94D2-78987C01090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373-45F9-94D2-78987C01090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373-45F9-94D2-78987C01090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373-45F9-94D2-78987C01090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373-45F9-94D2-78987C01090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373-45F9-94D2-78987C010901}"/>
              </c:ext>
            </c:extLst>
          </c:dPt>
          <c:cat>
            <c:strRef>
              <c:f>('viaj entrados lugar resid años '!$N$8:$N$9,'viaj entrados lugar resid años '!$N$12:$N$20)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 años '!$W$8:$W$9,'viaj entrados lugar resid años '!$W$12:$W$20)</c:f>
              <c:numCache>
                <c:formatCode>0.0%</c:formatCode>
                <c:ptCount val="11"/>
                <c:pt idx="0">
                  <c:v>1</c:v>
                </c:pt>
                <c:pt idx="1">
                  <c:v>0.62418972607513767</c:v>
                </c:pt>
                <c:pt idx="2">
                  <c:v>0.37581027392486233</c:v>
                </c:pt>
                <c:pt idx="3">
                  <c:v>5.2798494458771869E-2</c:v>
                </c:pt>
                <c:pt idx="4">
                  <c:v>7.3778490276712905E-2</c:v>
                </c:pt>
                <c:pt idx="5">
                  <c:v>6.4212030389628499E-2</c:v>
                </c:pt>
                <c:pt idx="6">
                  <c:v>1.6257754234334704E-2</c:v>
                </c:pt>
                <c:pt idx="7">
                  <c:v>1.5734996863455773E-2</c:v>
                </c:pt>
                <c:pt idx="8">
                  <c:v>4.0078065100717921E-3</c:v>
                </c:pt>
                <c:pt idx="9">
                  <c:v>6.6912943472502966E-3</c:v>
                </c:pt>
                <c:pt idx="10">
                  <c:v>0.14232940684463652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373-45F9-94D2-78987C010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8932313911888835"/>
          <c:w val="0.95795330741250462"/>
          <c:h val="0.4292076272420834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residencia'!$R$9</c:f>
              <c:strCache>
                <c:ptCount val="1"/>
                <c:pt idx="0">
                  <c:v>junio 2024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95-49A7-9242-00CEA906C759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95-49A7-9242-00CEA906C7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295-49A7-9242-00CEA906C7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295-49A7-9242-00CEA906C75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295-49A7-9242-00CEA906C75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295-49A7-9242-00CEA906C75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295-49A7-9242-00CEA906C75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295-49A7-9242-00CEA906C7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residencia'!$R$11:$R$23</c:f>
              <c:numCache>
                <c:formatCode>#,##0</c:formatCode>
                <c:ptCount val="13"/>
                <c:pt idx="0">
                  <c:v>3964</c:v>
                </c:pt>
                <c:pt idx="1">
                  <c:v>3008</c:v>
                </c:pt>
                <c:pt idx="2">
                  <c:v>716</c:v>
                </c:pt>
                <c:pt idx="3">
                  <c:v>2292</c:v>
                </c:pt>
                <c:pt idx="4">
                  <c:v>956</c:v>
                </c:pt>
                <c:pt idx="5">
                  <c:v>100</c:v>
                </c:pt>
                <c:pt idx="6">
                  <c:v>154</c:v>
                </c:pt>
                <c:pt idx="7">
                  <c:v>118</c:v>
                </c:pt>
                <c:pt idx="8">
                  <c:v>36</c:v>
                </c:pt>
                <c:pt idx="9">
                  <c:v>19</c:v>
                </c:pt>
                <c:pt idx="10">
                  <c:v>47</c:v>
                </c:pt>
                <c:pt idx="11">
                  <c:v>0</c:v>
                </c:pt>
                <c:pt idx="12">
                  <c:v>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95-49A7-9242-00CEA906C759}"/>
            </c:ext>
          </c:extLst>
        </c:ser>
        <c:ser>
          <c:idx val="1"/>
          <c:order val="1"/>
          <c:tx>
            <c:strRef>
              <c:f>'viaj entrados lugar residencia'!$S$9</c:f>
              <c:strCache>
                <c:ptCount val="1"/>
                <c:pt idx="0">
                  <c:v>junio 2025</c:v>
                </c:pt>
              </c:strCache>
            </c:strRef>
          </c:tx>
          <c:invertIfNegative val="0"/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residencia'!$S$11:$S$23</c:f>
              <c:numCache>
                <c:formatCode>0.0%</c:formatCode>
                <c:ptCount val="13"/>
                <c:pt idx="0">
                  <c:v>-5.1901458981104986E-2</c:v>
                </c:pt>
                <c:pt idx="1">
                  <c:v>-8.4043848964677204E-2</c:v>
                </c:pt>
                <c:pt idx="2">
                  <c:v>-0.12469437652811732</c:v>
                </c:pt>
                <c:pt idx="3">
                  <c:v>-7.0559610705596132E-2</c:v>
                </c:pt>
                <c:pt idx="4">
                  <c:v>6.5774804905239792E-2</c:v>
                </c:pt>
                <c:pt idx="5">
                  <c:v>-0.19354838709677424</c:v>
                </c:pt>
                <c:pt idx="6">
                  <c:v>0.203125</c:v>
                </c:pt>
                <c:pt idx="7">
                  <c:v>-0.21333333333333337</c:v>
                </c:pt>
                <c:pt idx="8">
                  <c:v>0.19999999999999996</c:v>
                </c:pt>
                <c:pt idx="9">
                  <c:v>-0.40625</c:v>
                </c:pt>
                <c:pt idx="10">
                  <c:v>22.5</c:v>
                </c:pt>
                <c:pt idx="11">
                  <c:v>-1</c:v>
                </c:pt>
                <c:pt idx="12">
                  <c:v>0.14218009478672977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95-49A7-9242-00CEA906C759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295-49A7-9242-00CEA906C75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295-49A7-9242-00CEA906C75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295-49A7-9242-00CEA906C75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295-49A7-9242-00CEA906C75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295-49A7-9242-00CEA906C75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295-49A7-9242-00CEA906C75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295-49A7-9242-00CEA906C759}"/>
              </c:ext>
            </c:extLst>
          </c:dPt>
          <c:cat>
            <c:strRef>
              <c:f>'viaj entrados lugar residencia'!$M$11:$M$23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entrados lugar residencia'!$T$11:$T$23</c:f>
              <c:numCache>
                <c:formatCode>0.0%</c:formatCode>
                <c:ptCount val="13"/>
                <c:pt idx="0">
                  <c:v>1</c:v>
                </c:pt>
                <c:pt idx="1">
                  <c:v>0.75882946518668015</c:v>
                </c:pt>
                <c:pt idx="2">
                  <c:v>0.18062563067608475</c:v>
                </c:pt>
                <c:pt idx="3">
                  <c:v>0.57820383451059532</c:v>
                </c:pt>
                <c:pt idx="4">
                  <c:v>0.24117053481331988</c:v>
                </c:pt>
                <c:pt idx="5">
                  <c:v>2.5227043390514632E-2</c:v>
                </c:pt>
                <c:pt idx="6">
                  <c:v>3.8849646821392532E-2</c:v>
                </c:pt>
                <c:pt idx="7">
                  <c:v>2.9767911200807264E-2</c:v>
                </c:pt>
                <c:pt idx="8">
                  <c:v>9.0817356205852677E-3</c:v>
                </c:pt>
                <c:pt idx="9">
                  <c:v>4.7931382441977798E-3</c:v>
                </c:pt>
                <c:pt idx="10">
                  <c:v>1.1856710393541877E-2</c:v>
                </c:pt>
                <c:pt idx="11">
                  <c:v>0</c:v>
                </c:pt>
                <c:pt idx="12">
                  <c:v>0.12159434914228053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295-49A7-9242-00CEA906C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1825749224955904"/>
          <c:w val="0.95795330741250462"/>
          <c:h val="0.380130115314533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acu'!$V$7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C9-418C-A746-85B78DC96CE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C9-418C-A746-85B78DC96C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EC9-418C-A746-85B78DC96CE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EC9-418C-A746-85B78DC96CE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EC9-418C-A746-85B78DC96CE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EC9-418C-A746-85B78DC96CE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EC9-418C-A746-85B78DC96CE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EC9-418C-A746-85B78DC96C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acu'!$V$9:$V$10,'viaj entrados lugar residen acu'!$V$13:$V$21)</c:f>
              <c:numCache>
                <c:formatCode>#,##0</c:formatCode>
                <c:ptCount val="11"/>
                <c:pt idx="0">
                  <c:v>28272</c:v>
                </c:pt>
                <c:pt idx="1">
                  <c:v>16644</c:v>
                </c:pt>
                <c:pt idx="2">
                  <c:v>11628</c:v>
                </c:pt>
                <c:pt idx="3">
                  <c:v>1552</c:v>
                </c:pt>
                <c:pt idx="4">
                  <c:v>2173</c:v>
                </c:pt>
                <c:pt idx="5">
                  <c:v>2030</c:v>
                </c:pt>
                <c:pt idx="6">
                  <c:v>576</c:v>
                </c:pt>
                <c:pt idx="7">
                  <c:v>484</c:v>
                </c:pt>
                <c:pt idx="8">
                  <c:v>128</c:v>
                </c:pt>
                <c:pt idx="9">
                  <c:v>143</c:v>
                </c:pt>
                <c:pt idx="10">
                  <c:v>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C9-418C-A746-85B78DC96CE2}"/>
            </c:ext>
          </c:extLst>
        </c:ser>
        <c:ser>
          <c:idx val="1"/>
          <c:order val="1"/>
          <c:tx>
            <c:strRef>
              <c:f>'viaj entrados lugar residen acu'!$W$7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acu'!$W$9:$W$10,'viaj entrados lugar residen acu'!$W$13:$W$21)</c:f>
              <c:numCache>
                <c:formatCode>0.0%</c:formatCode>
                <c:ptCount val="11"/>
                <c:pt idx="0">
                  <c:v>-3.1714500993218708E-2</c:v>
                </c:pt>
                <c:pt idx="1">
                  <c:v>-1.4914772727272707E-2</c:v>
                </c:pt>
                <c:pt idx="2">
                  <c:v>-5.47878393757113E-2</c:v>
                </c:pt>
                <c:pt idx="3">
                  <c:v>-0.1588075880758808</c:v>
                </c:pt>
                <c:pt idx="4">
                  <c:v>-0.12695861791884289</c:v>
                </c:pt>
                <c:pt idx="5">
                  <c:v>-2.4975984630163262E-2</c:v>
                </c:pt>
                <c:pt idx="6">
                  <c:v>-3.6789297658862852E-2</c:v>
                </c:pt>
                <c:pt idx="7">
                  <c:v>-5.8365758754863828E-2</c:v>
                </c:pt>
                <c:pt idx="8">
                  <c:v>-0.15231788079470199</c:v>
                </c:pt>
                <c:pt idx="9">
                  <c:v>-0.46037735849056605</c:v>
                </c:pt>
                <c:pt idx="10">
                  <c:v>4.222120238641569E-2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EC9-418C-A746-85B78DC96CE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EC9-418C-A746-85B78DC96CE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EC9-418C-A746-85B78DC96CE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EC9-418C-A746-85B78DC96CE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EC9-418C-A746-85B78DC96CE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EC9-418C-A746-85B78DC96CE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EC9-418C-A746-85B78DC96CE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EC9-418C-A746-85B78DC96CE2}"/>
              </c:ext>
            </c:extLst>
          </c:dPt>
          <c:cat>
            <c:strRef>
              <c:f>('viaj entrados lugar residen acu'!$P$9:$P$10,'viaj entrados lugar residen acu'!$P$13:$P$21)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acu'!$Y$9:$Y$10,'viaj entrados lugar residen acu'!$Y$13:$Y$21)</c:f>
              <c:numCache>
                <c:formatCode>0.0%</c:formatCode>
                <c:ptCount val="11"/>
                <c:pt idx="0">
                  <c:v>1</c:v>
                </c:pt>
                <c:pt idx="1">
                  <c:v>0.58870967741935487</c:v>
                </c:pt>
                <c:pt idx="2">
                  <c:v>0.41129032258064518</c:v>
                </c:pt>
                <c:pt idx="3">
                  <c:v>5.4895302773061684E-2</c:v>
                </c:pt>
                <c:pt idx="4">
                  <c:v>7.6860498019241649E-2</c:v>
                </c:pt>
                <c:pt idx="5">
                  <c:v>7.180249009620826E-2</c:v>
                </c:pt>
                <c:pt idx="6">
                  <c:v>2.037351443123939E-2</c:v>
                </c:pt>
                <c:pt idx="7">
                  <c:v>1.7119411431805318E-2</c:v>
                </c:pt>
                <c:pt idx="8">
                  <c:v>4.5274476513865311E-3</c:v>
                </c:pt>
                <c:pt idx="9">
                  <c:v>5.05800792303339E-3</c:v>
                </c:pt>
                <c:pt idx="10">
                  <c:v>0.16065365025466893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EC9-418C-A746-85B78DC96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442828298014062"/>
          <c:y val="0.20632289384879521"/>
          <c:w val="0.95795330741250462"/>
          <c:h val="0.384903954674838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entrados lugar residen hot'!$T$7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6F1-4A1D-B7F7-76C57E7DB2C3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6F1-4A1D-B7F7-76C57E7DB2C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F1-4A1D-B7F7-76C57E7DB2C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F1-4A1D-B7F7-76C57E7DB2C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F1-4A1D-B7F7-76C57E7DB2C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F1-4A1D-B7F7-76C57E7DB2C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F1-4A1D-B7F7-76C57E7DB2C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F1-4A1D-B7F7-76C57E7DB2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hot'!$T$9:$T$10,'viaj entrados lugar residen hot'!$T$13:$T$21)</c:f>
              <c:numCache>
                <c:formatCode>#,##0</c:formatCode>
                <c:ptCount val="11"/>
                <c:pt idx="0">
                  <c:v>28272</c:v>
                </c:pt>
                <c:pt idx="1">
                  <c:v>16644</c:v>
                </c:pt>
                <c:pt idx="2">
                  <c:v>11628</c:v>
                </c:pt>
                <c:pt idx="3">
                  <c:v>1552</c:v>
                </c:pt>
                <c:pt idx="4">
                  <c:v>2173</c:v>
                </c:pt>
                <c:pt idx="5">
                  <c:v>2030</c:v>
                </c:pt>
                <c:pt idx="6">
                  <c:v>576</c:v>
                </c:pt>
                <c:pt idx="7">
                  <c:v>484</c:v>
                </c:pt>
                <c:pt idx="8">
                  <c:v>128</c:v>
                </c:pt>
                <c:pt idx="9">
                  <c:v>143</c:v>
                </c:pt>
                <c:pt idx="10">
                  <c:v>4542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F1-4A1D-B7F7-76C57E7DB2C3}"/>
            </c:ext>
          </c:extLst>
        </c:ser>
        <c:ser>
          <c:idx val="1"/>
          <c:order val="1"/>
          <c:tx>
            <c:strRef>
              <c:f>'viaj entrados lugar residen hot'!$U$7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hot'!$U$9:$U$10,'viaj entrados lugar residen hot'!$U$13:$U$21)</c:f>
              <c:numCache>
                <c:formatCode>0.0%</c:formatCode>
                <c:ptCount val="11"/>
                <c:pt idx="0">
                  <c:v>-3.1714500993218708E-2</c:v>
                </c:pt>
                <c:pt idx="1">
                  <c:v>-1.4914772727272707E-2</c:v>
                </c:pt>
                <c:pt idx="2">
                  <c:v>-5.47878393757113E-2</c:v>
                </c:pt>
                <c:pt idx="3">
                  <c:v>-0.1588075880758808</c:v>
                </c:pt>
                <c:pt idx="4">
                  <c:v>-0.12695861791884289</c:v>
                </c:pt>
                <c:pt idx="5">
                  <c:v>-2.4975984630163262E-2</c:v>
                </c:pt>
                <c:pt idx="6">
                  <c:v>-3.6789297658862852E-2</c:v>
                </c:pt>
                <c:pt idx="7">
                  <c:v>-5.8365758754863828E-2</c:v>
                </c:pt>
                <c:pt idx="8">
                  <c:v>-0.15231788079470199</c:v>
                </c:pt>
                <c:pt idx="9">
                  <c:v>-0.46037735849056605</c:v>
                </c:pt>
                <c:pt idx="10">
                  <c:v>4.222120238641569E-2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F1-4A1D-B7F7-76C57E7DB2C3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6F1-4A1D-B7F7-76C57E7DB2C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6F1-4A1D-B7F7-76C57E7DB2C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6F1-4A1D-B7F7-76C57E7DB2C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6F1-4A1D-B7F7-76C57E7DB2C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6F1-4A1D-B7F7-76C57E7DB2C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6F1-4A1D-B7F7-76C57E7DB2C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6F1-4A1D-B7F7-76C57E7DB2C3}"/>
              </c:ext>
            </c:extLst>
          </c:dPt>
          <c:cat>
            <c:strRef>
              <c:f>('viaj entrados lugar residen hot'!$N$9:$N$10,'viaj entrados lugar residen hot'!$N$13:$N$21)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entrados lugar residen hot'!$W$9:$W$10,'viaj entrados lugar residen hot'!$W$13:$W$21)</c:f>
              <c:numCache>
                <c:formatCode>0.0%</c:formatCode>
                <c:ptCount val="11"/>
                <c:pt idx="0">
                  <c:v>1</c:v>
                </c:pt>
                <c:pt idx="1">
                  <c:v>0.58870967741935487</c:v>
                </c:pt>
                <c:pt idx="2">
                  <c:v>0.41129032258064518</c:v>
                </c:pt>
                <c:pt idx="3">
                  <c:v>5.4895302773061684E-2</c:v>
                </c:pt>
                <c:pt idx="4">
                  <c:v>7.6860498019241649E-2</c:v>
                </c:pt>
                <c:pt idx="5">
                  <c:v>7.180249009620826E-2</c:v>
                </c:pt>
                <c:pt idx="6">
                  <c:v>2.037351443123939E-2</c:v>
                </c:pt>
                <c:pt idx="7">
                  <c:v>1.7119411431805318E-2</c:v>
                </c:pt>
                <c:pt idx="8">
                  <c:v>4.5274476513865311E-3</c:v>
                </c:pt>
                <c:pt idx="9">
                  <c:v>5.05800792303339E-3</c:v>
                </c:pt>
                <c:pt idx="10">
                  <c:v>0.16065365025466893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6F1-4A1D-B7F7-76C57E7DB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58193173347365"/>
          <c:y val="0.16568511642811568"/>
          <c:w val="0.95795330741250462"/>
          <c:h val="0.51380024865312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 lugar residen mes'!$P$8</c:f>
              <c:strCache>
                <c:ptCount val="1"/>
                <c:pt idx="0">
                  <c:v>junio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CF-4EBA-B2C8-A061108C6452}"/>
              </c:ext>
            </c:extLst>
          </c:dPt>
          <c:dPt>
            <c:idx val="2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CF-4EBA-B2C8-A061108C645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2CF-4EBA-B2C8-A061108C645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2CF-4EBA-B2C8-A061108C645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2CF-4EBA-B2C8-A061108C645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2CF-4EBA-B2C8-A061108C645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2CF-4EBA-B2C8-A061108C645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2CF-4EBA-B2C8-A061108C64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mes'!$P$10,'viaj aloj lugar residen mes'!$P$11,'viaj aloj lugar residen mes'!$P$14:$P$22)</c:f>
              <c:numCache>
                <c:formatCode>#,##0</c:formatCode>
                <c:ptCount val="11"/>
                <c:pt idx="0">
                  <c:v>4247</c:v>
                </c:pt>
                <c:pt idx="1">
                  <c:v>3157</c:v>
                </c:pt>
                <c:pt idx="2">
                  <c:v>1090</c:v>
                </c:pt>
                <c:pt idx="3">
                  <c:v>120</c:v>
                </c:pt>
                <c:pt idx="4">
                  <c:v>155</c:v>
                </c:pt>
                <c:pt idx="5">
                  <c:v>142</c:v>
                </c:pt>
                <c:pt idx="6">
                  <c:v>34</c:v>
                </c:pt>
                <c:pt idx="7">
                  <c:v>21</c:v>
                </c:pt>
                <c:pt idx="8">
                  <c:v>2</c:v>
                </c:pt>
                <c:pt idx="9">
                  <c:v>6</c:v>
                </c:pt>
                <c:pt idx="10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CF-4EBA-B2C8-A061108C6452}"/>
            </c:ext>
          </c:extLst>
        </c:ser>
        <c:ser>
          <c:idx val="1"/>
          <c:order val="1"/>
          <c:tx>
            <c:strRef>
              <c:f>'viaj aloj lugar residen mes'!$Q$8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mes'!$Q$10,'viaj aloj lugar residen mes'!$Q$11,'viaj aloj lugar residen mes'!$Q$14:$Q$22)</c:f>
              <c:numCache>
                <c:formatCode>0.0%</c:formatCode>
                <c:ptCount val="11"/>
                <c:pt idx="0">
                  <c:v>2.2634240308210929E-2</c:v>
                </c:pt>
                <c:pt idx="1">
                  <c:v>1.348314606741563E-2</c:v>
                </c:pt>
                <c:pt idx="2">
                  <c:v>5.0096339113680166E-2</c:v>
                </c:pt>
                <c:pt idx="3">
                  <c:v>6.1946902654867353E-2</c:v>
                </c:pt>
                <c:pt idx="4">
                  <c:v>-0.1292134831460674</c:v>
                </c:pt>
                <c:pt idx="5">
                  <c:v>0.12698412698412698</c:v>
                </c:pt>
                <c:pt idx="6">
                  <c:v>-0.20930232558139539</c:v>
                </c:pt>
                <c:pt idx="7">
                  <c:v>0</c:v>
                </c:pt>
                <c:pt idx="8">
                  <c:v>-0.95744680851063835</c:v>
                </c:pt>
                <c:pt idx="9">
                  <c:v>0</c:v>
                </c:pt>
                <c:pt idx="10">
                  <c:v>0.19607843137254899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CF-4EBA-B2C8-A061108C6452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2CF-4EBA-B2C8-A061108C6452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2CF-4EBA-B2C8-A061108C6452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2CF-4EBA-B2C8-A061108C6452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2CF-4EBA-B2C8-A061108C6452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2CF-4EBA-B2C8-A061108C6452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2CF-4EBA-B2C8-A061108C6452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2CF-4EBA-B2C8-A061108C6452}"/>
              </c:ext>
            </c:extLst>
          </c:dPt>
          <c:cat>
            <c:strRef>
              <c:f>('viaj aloj lugar residen mes'!$K$10,'viaj aloj lugar residen mes'!$K$11,'viaj aloj lugar residen mes'!$K$14:$K$22)</c:f>
              <c:strCache>
                <c:ptCount val="11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Total residentes en el extranjero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Bajos</c:v>
                </c:pt>
                <c:pt idx="7">
                  <c:v>Bélgica</c:v>
                </c:pt>
                <c:pt idx="8">
                  <c:v>Dinamarca</c:v>
                </c:pt>
                <c:pt idx="9">
                  <c:v>Suecia</c:v>
                </c:pt>
                <c:pt idx="10">
                  <c:v>Otros países</c:v>
                </c:pt>
              </c:strCache>
            </c:strRef>
          </c:cat>
          <c:val>
            <c:numRef>
              <c:f>('viaj aloj lugar residen mes'!$R$10:$R$11,'viaj aloj lugar residen mes'!$R$14:$R$22)</c:f>
              <c:numCache>
                <c:formatCode>0.0%</c:formatCode>
                <c:ptCount val="11"/>
                <c:pt idx="0">
                  <c:v>1</c:v>
                </c:pt>
                <c:pt idx="1">
                  <c:v>0.74334824582057923</c:v>
                </c:pt>
                <c:pt idx="2">
                  <c:v>0.25665175417942077</c:v>
                </c:pt>
                <c:pt idx="3">
                  <c:v>2.8255238992229811E-2</c:v>
                </c:pt>
                <c:pt idx="4">
                  <c:v>3.6496350364963501E-2</c:v>
                </c:pt>
                <c:pt idx="5">
                  <c:v>3.3435366140805271E-2</c:v>
                </c:pt>
                <c:pt idx="6">
                  <c:v>8.0056510477984465E-3</c:v>
                </c:pt>
                <c:pt idx="7">
                  <c:v>4.9446668236402163E-3</c:v>
                </c:pt>
                <c:pt idx="8">
                  <c:v>4.7092064987049682E-4</c:v>
                </c:pt>
                <c:pt idx="9">
                  <c:v>1.4127619496114904E-3</c:v>
                </c:pt>
                <c:pt idx="10">
                  <c:v>0.14363079821050154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CF-4EBA-B2C8-A061108C6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551459596079018"/>
          <c:y val="0.19048427217274536"/>
          <c:w val="0.82247339202719794"/>
          <c:h val="0.409531703273932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'viaj alojados lugar residen acu'!$U$7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83-4EF3-A1F3-6C736B2C48CE}"/>
              </c:ext>
            </c:extLst>
          </c:dPt>
          <c:dPt>
            <c:idx val="4"/>
            <c:invertIfNegative val="0"/>
            <c:bubble3D val="0"/>
            <c:spPr>
              <a:solidFill>
                <a:srgbClr val="0047BA">
                  <a:lumMod val="40000"/>
                  <a:lumOff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83-4EF3-A1F3-6C736B2C48C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D83-4EF3-A1F3-6C736B2C48C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D83-4EF3-A1F3-6C736B2C48C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D83-4EF3-A1F3-6C736B2C48C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D83-4EF3-A1F3-6C736B2C48C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D83-4EF3-A1F3-6C736B2C48C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D83-4EF3-A1F3-6C736B2C48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acu'!$U$9:$U$21</c:f>
              <c:numCache>
                <c:formatCode>#,##0</c:formatCode>
                <c:ptCount val="13"/>
                <c:pt idx="0">
                  <c:v>29839</c:v>
                </c:pt>
                <c:pt idx="1">
                  <c:v>17141</c:v>
                </c:pt>
                <c:pt idx="2">
                  <c:v>5566</c:v>
                </c:pt>
                <c:pt idx="3">
                  <c:v>11575</c:v>
                </c:pt>
                <c:pt idx="4">
                  <c:v>12698</c:v>
                </c:pt>
                <c:pt idx="5">
                  <c:v>1691</c:v>
                </c:pt>
                <c:pt idx="6">
                  <c:v>2601</c:v>
                </c:pt>
                <c:pt idx="7">
                  <c:v>2123</c:v>
                </c:pt>
                <c:pt idx="8">
                  <c:v>606</c:v>
                </c:pt>
                <c:pt idx="9">
                  <c:v>527</c:v>
                </c:pt>
                <c:pt idx="10">
                  <c:v>128</c:v>
                </c:pt>
                <c:pt idx="11">
                  <c:v>152</c:v>
                </c:pt>
                <c:pt idx="12">
                  <c:v>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83-4EF3-A1F3-6C736B2C48CE}"/>
            </c:ext>
          </c:extLst>
        </c:ser>
        <c:ser>
          <c:idx val="1"/>
          <c:order val="1"/>
          <c:tx>
            <c:strRef>
              <c:f>'viaj alojados lugar residen acu'!$V$7</c:f>
              <c:strCache>
                <c:ptCount val="1"/>
                <c:pt idx="0">
                  <c:v>var. 25/24</c:v>
                </c:pt>
              </c:strCache>
            </c:strRef>
          </c:tx>
          <c:invertIfNegative val="0"/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acu'!$V$9:$V$21</c:f>
              <c:numCache>
                <c:formatCode>0.0%</c:formatCode>
                <c:ptCount val="13"/>
                <c:pt idx="0">
                  <c:v>-3.1987023519870261E-2</c:v>
                </c:pt>
                <c:pt idx="1">
                  <c:v>-1.1248269497000418E-2</c:v>
                </c:pt>
                <c:pt idx="2">
                  <c:v>0.17475728155339798</c:v>
                </c:pt>
                <c:pt idx="3">
                  <c:v>-8.1203365613589429E-2</c:v>
                </c:pt>
                <c:pt idx="4">
                  <c:v>-5.8640373637778964E-2</c:v>
                </c:pt>
                <c:pt idx="5">
                  <c:v>-0.17107843137254897</c:v>
                </c:pt>
                <c:pt idx="6">
                  <c:v>-0.1012439530062198</c:v>
                </c:pt>
                <c:pt idx="7">
                  <c:v>-2.9707495429616038E-2</c:v>
                </c:pt>
                <c:pt idx="8">
                  <c:v>-8.3207261724659642E-2</c:v>
                </c:pt>
                <c:pt idx="9">
                  <c:v>-5.045045045045049E-2</c:v>
                </c:pt>
                <c:pt idx="10">
                  <c:v>-0.21472392638036808</c:v>
                </c:pt>
                <c:pt idx="11">
                  <c:v>-0.50326797385620914</c:v>
                </c:pt>
                <c:pt idx="12">
                  <c:v>4.0153780435711273E-2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D83-4EF3-A1F3-6C736B2C48CE}"/>
            </c:ext>
          </c:extLst>
        </c:ser>
        <c:ser>
          <c:idx val="0"/>
          <c:order val="2"/>
          <c:tx>
            <c:v>cuota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D83-4EF3-A1F3-6C736B2C48CE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D83-4EF3-A1F3-6C736B2C48CE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D83-4EF3-A1F3-6C736B2C48CE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D83-4EF3-A1F3-6C736B2C48CE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D83-4EF3-A1F3-6C736B2C48CE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D83-4EF3-A1F3-6C736B2C48CE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D83-4EF3-A1F3-6C736B2C48CE}"/>
              </c:ext>
            </c:extLst>
          </c:dPt>
          <c:cat>
            <c:strRef>
              <c:f>'viaj alojados lugar residen acu'!$O$9:$O$21</c:f>
              <c:strCache>
                <c:ptCount val="13"/>
                <c:pt idx="0">
                  <c:v>Total lugares de residencia</c:v>
                </c:pt>
                <c:pt idx="1">
                  <c:v>Total residentes en España</c:v>
                </c:pt>
                <c:pt idx="2">
                  <c:v>Canarias</c:v>
                </c:pt>
                <c:pt idx="3">
                  <c:v>Península</c:v>
                </c:pt>
                <c:pt idx="4">
                  <c:v>Total residentes en el extranjero</c:v>
                </c:pt>
                <c:pt idx="5">
                  <c:v>Reino Unido</c:v>
                </c:pt>
                <c:pt idx="6">
                  <c:v>Alemania</c:v>
                </c:pt>
                <c:pt idx="7">
                  <c:v>Francia</c:v>
                </c:pt>
                <c:pt idx="8">
                  <c:v>Países Bajos</c:v>
                </c:pt>
                <c:pt idx="9">
                  <c:v>Bélgica</c:v>
                </c:pt>
                <c:pt idx="10">
                  <c:v>Dinamarca</c:v>
                </c:pt>
                <c:pt idx="11">
                  <c:v>Suecia</c:v>
                </c:pt>
                <c:pt idx="12">
                  <c:v>Otros países</c:v>
                </c:pt>
              </c:strCache>
            </c:strRef>
          </c:cat>
          <c:val>
            <c:numRef>
              <c:f>'viaj alojados lugar residen acu'!$X$9:$X$21</c:f>
              <c:numCache>
                <c:formatCode>0.0%</c:formatCode>
                <c:ptCount val="13"/>
                <c:pt idx="0">
                  <c:v>1</c:v>
                </c:pt>
                <c:pt idx="1">
                  <c:v>0.57444954589631014</c:v>
                </c:pt>
                <c:pt idx="2">
                  <c:v>0.1865344012869064</c:v>
                </c:pt>
                <c:pt idx="3">
                  <c:v>0.38791514460940379</c:v>
                </c:pt>
                <c:pt idx="4">
                  <c:v>0.4255504541036898</c:v>
                </c:pt>
                <c:pt idx="5">
                  <c:v>5.6670799959784177E-2</c:v>
                </c:pt>
                <c:pt idx="6">
                  <c:v>8.7167800529508357E-2</c:v>
                </c:pt>
                <c:pt idx="7">
                  <c:v>7.1148496933543345E-2</c:v>
                </c:pt>
                <c:pt idx="8">
                  <c:v>2.0308991588189954E-2</c:v>
                </c:pt>
                <c:pt idx="9">
                  <c:v>1.7661449780488621E-2</c:v>
                </c:pt>
                <c:pt idx="10">
                  <c:v>4.2896879922249406E-3</c:v>
                </c:pt>
                <c:pt idx="11">
                  <c:v>5.0940044907671171E-3</c:v>
                </c:pt>
                <c:pt idx="12">
                  <c:v>0.16320922282918329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D83-4EF3-A1F3-6C736B2C4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solidFill>
                  <a:schemeClr val="tx1">
                    <a:lumMod val="75000"/>
                  </a:schemeClr>
                </a:solidFill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2640072965383577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7B-443A-B206-401337C46987}"/>
              </c:ext>
            </c:extLst>
          </c:dPt>
          <c:val>
            <c:numRef>
              <c:f>'Pernoctaciones evol mensu TF'!$I$9:$I$21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7B-443A-B206-401337C46987}"/>
            </c:ext>
          </c:extLst>
        </c:ser>
        <c:ser>
          <c:idx val="0"/>
          <c:order val="2"/>
          <c:tx>
            <c:strRef>
              <c:f>'Pernoctaciones evol mensu TF'!$K$7:$L$7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7B-443A-B206-401337C4698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TF'!$K$9:$K$21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0">
                  <c:v>14972</c:v>
                </c:pt>
                <c:pt idx="11">
                  <c:v>13319</c:v>
                </c:pt>
                <c:pt idx="12">
                  <c:v>152300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7B-443A-B206-401337C46987}"/>
            </c:ext>
          </c:extLst>
        </c:ser>
        <c:ser>
          <c:idx val="1"/>
          <c:order val="3"/>
          <c:tx>
            <c:strRef>
              <c:f>'Pernoctaciones evol mensu TF'!$M$7:$N$7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7B-443A-B206-401337C4698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7B-443A-B206-401337C46987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TF'!$M$9:$M$21</c:f>
              <c:numCache>
                <c:formatCode>#,##0</c:formatCode>
                <c:ptCount val="13"/>
                <c:pt idx="0">
                  <c:v>14255</c:v>
                </c:pt>
                <c:pt idx="1">
                  <c:v>13111</c:v>
                </c:pt>
                <c:pt idx="2">
                  <c:v>14094</c:v>
                </c:pt>
                <c:pt idx="3">
                  <c:v>11979</c:v>
                </c:pt>
                <c:pt idx="4">
                  <c:v>13411</c:v>
                </c:pt>
                <c:pt idx="5">
                  <c:v>11658</c:v>
                </c:pt>
                <c:pt idx="12">
                  <c:v>78508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7B-443A-B206-401337C46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BE7B-443A-B206-401337C4698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13603</c:v>
                      </c:pt>
                      <c:pt idx="1">
                        <c:v>14342</c:v>
                      </c:pt>
                      <c:pt idx="2">
                        <c:v>5714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6941</c:v>
                      </c:pt>
                      <c:pt idx="8">
                        <c:v>3767</c:v>
                      </c:pt>
                      <c:pt idx="9">
                        <c:v>3603</c:v>
                      </c:pt>
                      <c:pt idx="10">
                        <c:v>3555</c:v>
                      </c:pt>
                      <c:pt idx="11">
                        <c:v>4049</c:v>
                      </c:pt>
                      <c:pt idx="12">
                        <c:v>59047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BE7B-443A-B206-401337C4698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7B-443A-B206-401337C4698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7B-443A-B206-401337C4698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7B-443A-B206-401337C4698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7B-443A-B206-401337C4698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E7B-443A-B206-401337C4698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E7B-443A-B206-401337C4698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E7B-443A-B206-401337C4698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7B-443A-B206-401337C4698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7B-443A-B206-401337C4698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7B-443A-B206-401337C4698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7B-443A-B206-401337C4698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7B-443A-B206-401337C4698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7B-443A-B206-401337C46987}"/>
              </c:ext>
            </c:extLst>
          </c:dPt>
          <c:cat>
            <c:strRef>
              <c:f>'Pernoctaciones evol mensu TF'!$B$9:$B$20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TF'!$N$9:$N$21</c:f>
              <c:numCache>
                <c:formatCode>0.0%</c:formatCode>
                <c:ptCount val="13"/>
                <c:pt idx="0">
                  <c:v>-2.2357862972361309E-2</c:v>
                </c:pt>
                <c:pt idx="1">
                  <c:v>-0.1339014400845554</c:v>
                </c:pt>
                <c:pt idx="2">
                  <c:v>-7.834161653151972E-2</c:v>
                </c:pt>
                <c:pt idx="3">
                  <c:v>-0.10863903564253297</c:v>
                </c:pt>
                <c:pt idx="4">
                  <c:v>7.1765364021417755E-2</c:v>
                </c:pt>
                <c:pt idx="5">
                  <c:v>0.15254572417202183</c:v>
                </c:pt>
                <c:pt idx="12">
                  <c:v>-3.169787118577172E-2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E7B-443A-B206-401337C46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7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2-45EB-ACA3-41A9DF332800}"/>
              </c:ext>
            </c:extLst>
          </c:dPt>
          <c:val>
            <c:numRef>
              <c:f>'Pernoctaciones evol mensu TF'!$I$31:$I$43</c:f>
              <c:numCache>
                <c:formatCode>#,##0</c:formatCode>
                <c:ptCount val="13"/>
                <c:pt idx="0">
                  <c:v>5640</c:v>
                </c:pt>
                <c:pt idx="1">
                  <c:v>5737</c:v>
                </c:pt>
                <c:pt idx="2">
                  <c:v>6448</c:v>
                </c:pt>
                <c:pt idx="3">
                  <c:v>6231</c:v>
                </c:pt>
                <c:pt idx="4">
                  <c:v>7187</c:v>
                </c:pt>
                <c:pt idx="5">
                  <c:v>6546</c:v>
                </c:pt>
                <c:pt idx="6">
                  <c:v>6308</c:v>
                </c:pt>
                <c:pt idx="7">
                  <c:v>7150</c:v>
                </c:pt>
                <c:pt idx="8">
                  <c:v>6420</c:v>
                </c:pt>
                <c:pt idx="9">
                  <c:v>5517</c:v>
                </c:pt>
                <c:pt idx="10">
                  <c:v>4448</c:v>
                </c:pt>
                <c:pt idx="11">
                  <c:v>4800</c:v>
                </c:pt>
                <c:pt idx="12">
                  <c:v>72432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D2-45EB-ACA3-41A9DF332800}"/>
            </c:ext>
          </c:extLst>
        </c:ser>
        <c:ser>
          <c:idx val="0"/>
          <c:order val="2"/>
          <c:tx>
            <c:strRef>
              <c:f>'Pernoctaciones evol mensu TF'!$K$29:$L$29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D2-45EB-ACA3-41A9DF33280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TF'!$K$31:$K$43</c:f>
              <c:numCache>
                <c:formatCode>#,##0</c:formatCode>
                <c:ptCount val="13"/>
                <c:pt idx="0">
                  <c:v>3830</c:v>
                </c:pt>
                <c:pt idx="1">
                  <c:v>4983</c:v>
                </c:pt>
                <c:pt idx="2">
                  <c:v>5213</c:v>
                </c:pt>
                <c:pt idx="3">
                  <c:v>5955</c:v>
                </c:pt>
                <c:pt idx="4">
                  <c:v>6735</c:v>
                </c:pt>
                <c:pt idx="5">
                  <c:v>6147</c:v>
                </c:pt>
                <c:pt idx="6">
                  <c:v>6741</c:v>
                </c:pt>
                <c:pt idx="7">
                  <c:v>4695</c:v>
                </c:pt>
                <c:pt idx="8">
                  <c:v>7407</c:v>
                </c:pt>
                <c:pt idx="9">
                  <c:v>5734</c:v>
                </c:pt>
                <c:pt idx="10">
                  <c:v>7338</c:v>
                </c:pt>
                <c:pt idx="11">
                  <c:v>6283</c:v>
                </c:pt>
                <c:pt idx="12">
                  <c:v>71061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D2-45EB-ACA3-41A9DF332800}"/>
            </c:ext>
          </c:extLst>
        </c:ser>
        <c:ser>
          <c:idx val="1"/>
          <c:order val="3"/>
          <c:tx>
            <c:strRef>
              <c:f>'Pernoctaciones evol mensu TF'!$M$29:$N$29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D2-45EB-ACA3-41A9DF33280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D2-45EB-ACA3-41A9DF332800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TF'!$M$31:$M$43</c:f>
              <c:numCache>
                <c:formatCode>#,##0</c:formatCode>
                <c:ptCount val="13"/>
                <c:pt idx="0">
                  <c:v>4817</c:v>
                </c:pt>
                <c:pt idx="1">
                  <c:v>3847</c:v>
                </c:pt>
                <c:pt idx="2">
                  <c:v>4829</c:v>
                </c:pt>
                <c:pt idx="3">
                  <c:v>6149</c:v>
                </c:pt>
                <c:pt idx="4">
                  <c:v>7528</c:v>
                </c:pt>
                <c:pt idx="5">
                  <c:v>7419</c:v>
                </c:pt>
                <c:pt idx="12">
                  <c:v>34589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8D2-45EB-ACA3-41A9DF332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8D2-45EB-ACA3-41A9DF33280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5825</c:v>
                      </c:pt>
                      <c:pt idx="1">
                        <c:v>5371</c:v>
                      </c:pt>
                      <c:pt idx="2">
                        <c:v>2182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5019</c:v>
                      </c:pt>
                      <c:pt idx="8">
                        <c:v>3075</c:v>
                      </c:pt>
                      <c:pt idx="9">
                        <c:v>2778</c:v>
                      </c:pt>
                      <c:pt idx="10">
                        <c:v>2443</c:v>
                      </c:pt>
                      <c:pt idx="11">
                        <c:v>2474</c:v>
                      </c:pt>
                      <c:pt idx="12">
                        <c:v>31800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8D2-45EB-ACA3-41A9DF3328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D2-45EB-ACA3-41A9DF33280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D2-45EB-ACA3-41A9DF33280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D2-45EB-ACA3-41A9DF33280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D2-45EB-ACA3-41A9DF33280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D2-45EB-ACA3-41A9DF33280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D2-45EB-ACA3-41A9DF33280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D2-45EB-ACA3-41A9DF33280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D2-45EB-ACA3-41A9DF33280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D2-45EB-ACA3-41A9DF33280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D2-45EB-ACA3-41A9DF33280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8D2-45EB-ACA3-41A9DF33280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8D2-45EB-ACA3-41A9DF33280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8D2-45EB-ACA3-41A9DF332800}"/>
              </c:ext>
            </c:extLst>
          </c:dPt>
          <c:cat>
            <c:strRef>
              <c:f>'Pernoctaciones evol mensu TF'!$B$31:$B$42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TF'!$N$31:$N$43</c:f>
              <c:numCache>
                <c:formatCode>0.0%</c:formatCode>
                <c:ptCount val="13"/>
                <c:pt idx="0">
                  <c:v>0.25770234986945173</c:v>
                </c:pt>
                <c:pt idx="1">
                  <c:v>-0.22797511539233395</c:v>
                </c:pt>
                <c:pt idx="2">
                  <c:v>-7.3661998849031241E-2</c:v>
                </c:pt>
                <c:pt idx="3">
                  <c:v>3.2577665827036029E-2</c:v>
                </c:pt>
                <c:pt idx="4">
                  <c:v>0.11774313288789906</c:v>
                </c:pt>
                <c:pt idx="5">
                  <c:v>0.20693020985846755</c:v>
                </c:pt>
                <c:pt idx="12">
                  <c:v>5.2521072330584451E-2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8D2-45EB-ACA3-41A9DF332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22-4539-9131-70EAB5068E08}"/>
              </c:ext>
            </c:extLst>
          </c:dPt>
          <c:val>
            <c:numRef>
              <c:f>'Pernoctaciones evol mensu TF'!$I$53:$I$65</c:f>
              <c:numCache>
                <c:formatCode>#,##0</c:formatCode>
                <c:ptCount val="13"/>
                <c:pt idx="0">
                  <c:v>3391</c:v>
                </c:pt>
                <c:pt idx="1">
                  <c:v>4989</c:v>
                </c:pt>
                <c:pt idx="2">
                  <c:v>5342</c:v>
                </c:pt>
                <c:pt idx="3">
                  <c:v>4282</c:v>
                </c:pt>
                <c:pt idx="4">
                  <c:v>5072</c:v>
                </c:pt>
                <c:pt idx="5">
                  <c:v>5380</c:v>
                </c:pt>
                <c:pt idx="6">
                  <c:v>4305</c:v>
                </c:pt>
                <c:pt idx="7">
                  <c:v>4444</c:v>
                </c:pt>
                <c:pt idx="8">
                  <c:v>4892</c:v>
                </c:pt>
                <c:pt idx="9">
                  <c:v>4470</c:v>
                </c:pt>
                <c:pt idx="10">
                  <c:v>3373</c:v>
                </c:pt>
                <c:pt idx="11">
                  <c:v>2886</c:v>
                </c:pt>
                <c:pt idx="12">
                  <c:v>52826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2-4539-9131-70EAB5068E08}"/>
            </c:ext>
          </c:extLst>
        </c:ser>
        <c:ser>
          <c:idx val="0"/>
          <c:order val="2"/>
          <c:tx>
            <c:strRef>
              <c:f>'Pernoctaciones evol mensu TF'!$K$51:$L$51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22-4539-9131-70EAB5068E0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TF'!$K$53:$K$65</c:f>
              <c:numCache>
                <c:formatCode>#,##0</c:formatCode>
                <c:ptCount val="13"/>
                <c:pt idx="0">
                  <c:v>2615</c:v>
                </c:pt>
                <c:pt idx="1">
                  <c:v>3734</c:v>
                </c:pt>
                <c:pt idx="2">
                  <c:v>3989</c:v>
                </c:pt>
                <c:pt idx="3">
                  <c:v>4847</c:v>
                </c:pt>
                <c:pt idx="4">
                  <c:v>4477</c:v>
                </c:pt>
                <c:pt idx="5">
                  <c:v>4983</c:v>
                </c:pt>
                <c:pt idx="6">
                  <c:v>4074</c:v>
                </c:pt>
                <c:pt idx="7">
                  <c:v>3603</c:v>
                </c:pt>
                <c:pt idx="8">
                  <c:v>4736</c:v>
                </c:pt>
                <c:pt idx="9">
                  <c:v>4427</c:v>
                </c:pt>
                <c:pt idx="10">
                  <c:v>4221</c:v>
                </c:pt>
                <c:pt idx="11">
                  <c:v>3709</c:v>
                </c:pt>
                <c:pt idx="12">
                  <c:v>49415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22-4539-9131-70EAB5068E08}"/>
            </c:ext>
          </c:extLst>
        </c:ser>
        <c:ser>
          <c:idx val="1"/>
          <c:order val="3"/>
          <c:tx>
            <c:strRef>
              <c:f>'Pernoctaciones evol mensu TF'!$M$51:$N$51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22-4539-9131-70EAB5068E0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22-4539-9131-70EAB5068E0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TF'!$M$53:$M$65</c:f>
              <c:numCache>
                <c:formatCode>#,##0</c:formatCode>
                <c:ptCount val="13"/>
                <c:pt idx="0">
                  <c:v>3451</c:v>
                </c:pt>
                <c:pt idx="1">
                  <c:v>2525</c:v>
                </c:pt>
                <c:pt idx="2">
                  <c:v>3569</c:v>
                </c:pt>
                <c:pt idx="3">
                  <c:v>4818</c:v>
                </c:pt>
                <c:pt idx="4">
                  <c:v>4362</c:v>
                </c:pt>
                <c:pt idx="5">
                  <c:v>4317</c:v>
                </c:pt>
                <c:pt idx="12">
                  <c:v>23042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22-4539-9131-70EAB5068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6822-4539-9131-70EAB5068E0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2984</c:v>
                      </c:pt>
                      <c:pt idx="1">
                        <c:v>2825</c:v>
                      </c:pt>
                      <c:pt idx="2">
                        <c:v>1144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2716</c:v>
                      </c:pt>
                      <c:pt idx="8">
                        <c:v>1767</c:v>
                      </c:pt>
                      <c:pt idx="9">
                        <c:v>1904</c:v>
                      </c:pt>
                      <c:pt idx="10">
                        <c:v>1069</c:v>
                      </c:pt>
                      <c:pt idx="11">
                        <c:v>681</c:v>
                      </c:pt>
                      <c:pt idx="12">
                        <c:v>16251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6822-4539-9131-70EAB5068E0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22-4539-9131-70EAB5068E0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22-4539-9131-70EAB5068E0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22-4539-9131-70EAB5068E0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22-4539-9131-70EAB5068E0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22-4539-9131-70EAB5068E0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22-4539-9131-70EAB5068E0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22-4539-9131-70EAB5068E0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22-4539-9131-70EAB5068E0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22-4539-9131-70EAB5068E0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22-4539-9131-70EAB5068E0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22-4539-9131-70EAB5068E0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22-4539-9131-70EAB5068E0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822-4539-9131-70EAB5068E08}"/>
              </c:ext>
            </c:extLst>
          </c:dPt>
          <c:cat>
            <c:strRef>
              <c:f>'Pernoctaciones evol mensu TF'!$B$53:$B$64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TF'!$N$53:$N$65</c:f>
              <c:numCache>
                <c:formatCode>0.0%</c:formatCode>
                <c:ptCount val="13"/>
                <c:pt idx="0">
                  <c:v>0.31969407265774374</c:v>
                </c:pt>
                <c:pt idx="1">
                  <c:v>-0.32378146759507231</c:v>
                </c:pt>
                <c:pt idx="2">
                  <c:v>-0.10528954625219356</c:v>
                </c:pt>
                <c:pt idx="3">
                  <c:v>-5.9830823189601645E-3</c:v>
                </c:pt>
                <c:pt idx="4">
                  <c:v>-2.5686843868662046E-2</c:v>
                </c:pt>
                <c:pt idx="5">
                  <c:v>-0.13365442504515357</c:v>
                </c:pt>
                <c:pt idx="12">
                  <c:v>-6.504361939541492E-2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822-4539-9131-70EAB5068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32-4FC2-A8A3-EC8C35A4C79F}"/>
              </c:ext>
            </c:extLst>
          </c:dPt>
          <c:val>
            <c:numRef>
              <c:f>'Pernoctaciones evol mensu TF'!$I$75:$I$87</c:f>
              <c:numCache>
                <c:formatCode>#,##0</c:formatCode>
                <c:ptCount val="13"/>
                <c:pt idx="0">
                  <c:v>2249</c:v>
                </c:pt>
                <c:pt idx="1">
                  <c:v>748</c:v>
                </c:pt>
                <c:pt idx="2">
                  <c:v>1106</c:v>
                </c:pt>
                <c:pt idx="3">
                  <c:v>1949</c:v>
                </c:pt>
                <c:pt idx="4">
                  <c:v>2115</c:v>
                </c:pt>
                <c:pt idx="5">
                  <c:v>1166</c:v>
                </c:pt>
                <c:pt idx="6">
                  <c:v>2003</c:v>
                </c:pt>
                <c:pt idx="7">
                  <c:v>2706</c:v>
                </c:pt>
                <c:pt idx="8">
                  <c:v>1528</c:v>
                </c:pt>
                <c:pt idx="9">
                  <c:v>1047</c:v>
                </c:pt>
                <c:pt idx="10">
                  <c:v>1075</c:v>
                </c:pt>
                <c:pt idx="11">
                  <c:v>1914</c:v>
                </c:pt>
                <c:pt idx="12">
                  <c:v>19606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32-4FC2-A8A3-EC8C35A4C79F}"/>
            </c:ext>
          </c:extLst>
        </c:ser>
        <c:ser>
          <c:idx val="0"/>
          <c:order val="2"/>
          <c:tx>
            <c:strRef>
              <c:f>'Pernoctaciones evol mensu TF'!$K$73:$L$73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32-4FC2-A8A3-EC8C35A4C79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TF'!$K$75:$K$87</c:f>
              <c:numCache>
                <c:formatCode>#,##0</c:formatCode>
                <c:ptCount val="13"/>
                <c:pt idx="0">
                  <c:v>1215</c:v>
                </c:pt>
                <c:pt idx="1">
                  <c:v>1249</c:v>
                </c:pt>
                <c:pt idx="2">
                  <c:v>1224</c:v>
                </c:pt>
                <c:pt idx="3">
                  <c:v>1108</c:v>
                </c:pt>
                <c:pt idx="4">
                  <c:v>2258</c:v>
                </c:pt>
                <c:pt idx="5">
                  <c:v>1164</c:v>
                </c:pt>
                <c:pt idx="6">
                  <c:v>2667</c:v>
                </c:pt>
                <c:pt idx="7">
                  <c:v>1092</c:v>
                </c:pt>
                <c:pt idx="8">
                  <c:v>2671</c:v>
                </c:pt>
                <c:pt idx="9">
                  <c:v>1307</c:v>
                </c:pt>
                <c:pt idx="10">
                  <c:v>3117</c:v>
                </c:pt>
                <c:pt idx="11">
                  <c:v>2574</c:v>
                </c:pt>
                <c:pt idx="12">
                  <c:v>21646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32-4FC2-A8A3-EC8C35A4C79F}"/>
            </c:ext>
          </c:extLst>
        </c:ser>
        <c:ser>
          <c:idx val="1"/>
          <c:order val="3"/>
          <c:tx>
            <c:strRef>
              <c:f>'Pernoctaciones evol mensu TF'!$M$73:$N$73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32-4FC2-A8A3-EC8C35A4C79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32-4FC2-A8A3-EC8C35A4C79F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TF'!$M$75:$M$87</c:f>
              <c:numCache>
                <c:formatCode>#,##0</c:formatCode>
                <c:ptCount val="13"/>
                <c:pt idx="0">
                  <c:v>1366</c:v>
                </c:pt>
                <c:pt idx="1">
                  <c:v>1322</c:v>
                </c:pt>
                <c:pt idx="2">
                  <c:v>1260</c:v>
                </c:pt>
                <c:pt idx="3">
                  <c:v>1331</c:v>
                </c:pt>
                <c:pt idx="4">
                  <c:v>3166</c:v>
                </c:pt>
                <c:pt idx="5">
                  <c:v>3102</c:v>
                </c:pt>
                <c:pt idx="12">
                  <c:v>11547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32-4FC2-A8A3-EC8C35A4C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B32-4FC2-A8A3-EC8C35A4C79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2841</c:v>
                      </c:pt>
                      <c:pt idx="1">
                        <c:v>2546</c:v>
                      </c:pt>
                      <c:pt idx="2">
                        <c:v>1038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2303</c:v>
                      </c:pt>
                      <c:pt idx="8">
                        <c:v>1308</c:v>
                      </c:pt>
                      <c:pt idx="9">
                        <c:v>874</c:v>
                      </c:pt>
                      <c:pt idx="10">
                        <c:v>1374</c:v>
                      </c:pt>
                      <c:pt idx="11">
                        <c:v>1793</c:v>
                      </c:pt>
                      <c:pt idx="12">
                        <c:v>15549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B32-4FC2-A8A3-EC8C35A4C79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32-4FC2-A8A3-EC8C35A4C79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32-4FC2-A8A3-EC8C35A4C79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32-4FC2-A8A3-EC8C35A4C79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32-4FC2-A8A3-EC8C35A4C79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32-4FC2-A8A3-EC8C35A4C79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32-4FC2-A8A3-EC8C35A4C79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32-4FC2-A8A3-EC8C35A4C79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32-4FC2-A8A3-EC8C35A4C79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32-4FC2-A8A3-EC8C35A4C79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32-4FC2-A8A3-EC8C35A4C79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32-4FC2-A8A3-EC8C35A4C79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32-4FC2-A8A3-EC8C35A4C79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32-4FC2-A8A3-EC8C35A4C79F}"/>
              </c:ext>
            </c:extLst>
          </c:dPt>
          <c:cat>
            <c:strRef>
              <c:f>'Pernoctaciones evol mensu TF'!$B$75:$B$86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TF'!$N$75:$N$87</c:f>
              <c:numCache>
                <c:formatCode>0.0%</c:formatCode>
                <c:ptCount val="13"/>
                <c:pt idx="0">
                  <c:v>0.12427983539094645</c:v>
                </c:pt>
                <c:pt idx="1">
                  <c:v>5.8446757405924643E-2</c:v>
                </c:pt>
                <c:pt idx="2">
                  <c:v>2.9411764705882248E-2</c:v>
                </c:pt>
                <c:pt idx="3">
                  <c:v>0.20126353790613716</c:v>
                </c:pt>
                <c:pt idx="4">
                  <c:v>0.40212577502214342</c:v>
                </c:pt>
                <c:pt idx="5">
                  <c:v>1.6649484536082473</c:v>
                </c:pt>
                <c:pt idx="12">
                  <c:v>0.40508639571671945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B32-4FC2-A8A3-EC8C35A4C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B5-4223-8A23-DD836DF7E725}"/>
              </c:ext>
            </c:extLst>
          </c:dPt>
          <c:val>
            <c:numRef>
              <c:f>'Pernoctaciones evol mensu TF'!$I$97:$I$109</c:f>
              <c:numCache>
                <c:formatCode>#,##0</c:formatCode>
                <c:ptCount val="13"/>
                <c:pt idx="0">
                  <c:v>8713</c:v>
                </c:pt>
                <c:pt idx="1">
                  <c:v>8514</c:v>
                </c:pt>
                <c:pt idx="2">
                  <c:v>9155</c:v>
                </c:pt>
                <c:pt idx="3">
                  <c:v>6472</c:v>
                </c:pt>
                <c:pt idx="4">
                  <c:v>5606</c:v>
                </c:pt>
                <c:pt idx="5">
                  <c:v>3827</c:v>
                </c:pt>
                <c:pt idx="6">
                  <c:v>3286</c:v>
                </c:pt>
                <c:pt idx="7">
                  <c:v>4721</c:v>
                </c:pt>
                <c:pt idx="8">
                  <c:v>4186</c:v>
                </c:pt>
                <c:pt idx="9">
                  <c:v>5590</c:v>
                </c:pt>
                <c:pt idx="10">
                  <c:v>8768</c:v>
                </c:pt>
                <c:pt idx="11">
                  <c:v>7064</c:v>
                </c:pt>
                <c:pt idx="12">
                  <c:v>75902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5-4223-8A23-DD836DF7E725}"/>
            </c:ext>
          </c:extLst>
        </c:ser>
        <c:ser>
          <c:idx val="0"/>
          <c:order val="2"/>
          <c:tx>
            <c:strRef>
              <c:f>'Pernoctaciones evol mensu TF'!$K$95:$L$95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B5-4223-8A23-DD836DF7E72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TF'!$K$97:$K$109</c:f>
              <c:numCache>
                <c:formatCode>#,##0</c:formatCode>
                <c:ptCount val="13"/>
                <c:pt idx="0">
                  <c:v>10751</c:v>
                </c:pt>
                <c:pt idx="1">
                  <c:v>10155</c:v>
                </c:pt>
                <c:pt idx="2">
                  <c:v>10079</c:v>
                </c:pt>
                <c:pt idx="3">
                  <c:v>7484</c:v>
                </c:pt>
                <c:pt idx="4">
                  <c:v>5778</c:v>
                </c:pt>
                <c:pt idx="5">
                  <c:v>3968</c:v>
                </c:pt>
                <c:pt idx="6">
                  <c:v>3399</c:v>
                </c:pt>
                <c:pt idx="7">
                  <c:v>4564</c:v>
                </c:pt>
                <c:pt idx="8">
                  <c:v>3938</c:v>
                </c:pt>
                <c:pt idx="9">
                  <c:v>6453</c:v>
                </c:pt>
                <c:pt idx="10">
                  <c:v>7634</c:v>
                </c:pt>
                <c:pt idx="11">
                  <c:v>7036</c:v>
                </c:pt>
                <c:pt idx="12">
                  <c:v>81239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B5-4223-8A23-DD836DF7E725}"/>
            </c:ext>
          </c:extLst>
        </c:ser>
        <c:ser>
          <c:idx val="1"/>
          <c:order val="3"/>
          <c:tx>
            <c:strRef>
              <c:f>'Pernoctaciones evol mensu TF'!$M$95:$N$95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B5-4223-8A23-DD836DF7E725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B5-4223-8A23-DD836DF7E725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TF'!$M$97:$M$109</c:f>
              <c:numCache>
                <c:formatCode>#,##0</c:formatCode>
                <c:ptCount val="13"/>
                <c:pt idx="0">
                  <c:v>9438</c:v>
                </c:pt>
                <c:pt idx="1">
                  <c:v>9264</c:v>
                </c:pt>
                <c:pt idx="2">
                  <c:v>9265</c:v>
                </c:pt>
                <c:pt idx="3">
                  <c:v>5830</c:v>
                </c:pt>
                <c:pt idx="4">
                  <c:v>5883</c:v>
                </c:pt>
                <c:pt idx="5">
                  <c:v>4239</c:v>
                </c:pt>
                <c:pt idx="12">
                  <c:v>43919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B5-4223-8A23-DD836DF7E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AB5-4223-8A23-DD836DF7E725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TF'!$C$97:$C$109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7778</c:v>
                      </c:pt>
                      <c:pt idx="1">
                        <c:v>8971</c:v>
                      </c:pt>
                      <c:pt idx="2">
                        <c:v>3532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1922</c:v>
                      </c:pt>
                      <c:pt idx="8">
                        <c:v>692</c:v>
                      </c:pt>
                      <c:pt idx="9">
                        <c:v>825</c:v>
                      </c:pt>
                      <c:pt idx="10">
                        <c:v>1112</c:v>
                      </c:pt>
                      <c:pt idx="11">
                        <c:v>1575</c:v>
                      </c:pt>
                      <c:pt idx="12">
                        <c:v>27247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AB5-4223-8A23-DD836DF7E7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TF'!$N$96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B5-4223-8A23-DD836DF7E725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B5-4223-8A23-DD836DF7E725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B5-4223-8A23-DD836DF7E725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AB5-4223-8A23-DD836DF7E725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AB5-4223-8A23-DD836DF7E725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B5-4223-8A23-DD836DF7E725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B5-4223-8A23-DD836DF7E725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B5-4223-8A23-DD836DF7E725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B5-4223-8A23-DD836DF7E725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B5-4223-8A23-DD836DF7E725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B5-4223-8A23-DD836DF7E725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B5-4223-8A23-DD836DF7E725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B5-4223-8A23-DD836DF7E725}"/>
              </c:ext>
            </c:extLst>
          </c:dPt>
          <c:cat>
            <c:strRef>
              <c:f>'Pernoctaciones evol mensu TF'!$B$97:$B$108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TF'!$N$97:$N$109</c:f>
              <c:numCache>
                <c:formatCode>0.0%</c:formatCode>
                <c:ptCount val="13"/>
                <c:pt idx="0">
                  <c:v>-0.12212817412333732</c:v>
                </c:pt>
                <c:pt idx="1">
                  <c:v>-8.7740029542097475E-2</c:v>
                </c:pt>
                <c:pt idx="2">
                  <c:v>-8.0761980355193996E-2</c:v>
                </c:pt>
                <c:pt idx="3">
                  <c:v>-0.221004810261892</c:v>
                </c:pt>
                <c:pt idx="4">
                  <c:v>1.8172377985462118E-2</c:v>
                </c:pt>
                <c:pt idx="5">
                  <c:v>6.8296370967741993E-2</c:v>
                </c:pt>
                <c:pt idx="12">
                  <c:v>-8.9100902208856136E-2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AB5-4223-8A23-DD836DF7E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1F-4B85-9999-55ED5FC81BCB}"/>
              </c:ext>
            </c:extLst>
          </c:dPt>
          <c:val>
            <c:numRef>
              <c:f>'Pernoctaciones evol mensu TF'!$I$119:$I$131</c:f>
              <c:numCache>
                <c:formatCode>#,##0</c:formatCode>
                <c:ptCount val="13"/>
                <c:pt idx="0">
                  <c:v>1714</c:v>
                </c:pt>
                <c:pt idx="1">
                  <c:v>1744</c:v>
                </c:pt>
                <c:pt idx="2">
                  <c:v>1558</c:v>
                </c:pt>
                <c:pt idx="3">
                  <c:v>682</c:v>
                </c:pt>
                <c:pt idx="4">
                  <c:v>550</c:v>
                </c:pt>
                <c:pt idx="5">
                  <c:v>510</c:v>
                </c:pt>
                <c:pt idx="6">
                  <c:v>444</c:v>
                </c:pt>
                <c:pt idx="7">
                  <c:v>571</c:v>
                </c:pt>
                <c:pt idx="8">
                  <c:v>664</c:v>
                </c:pt>
                <c:pt idx="9">
                  <c:v>658</c:v>
                </c:pt>
                <c:pt idx="10">
                  <c:v>849</c:v>
                </c:pt>
                <c:pt idx="11">
                  <c:v>1233</c:v>
                </c:pt>
                <c:pt idx="12">
                  <c:v>11177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F-4B85-9999-55ED5FC81BCB}"/>
            </c:ext>
          </c:extLst>
        </c:ser>
        <c:ser>
          <c:idx val="0"/>
          <c:order val="2"/>
          <c:tx>
            <c:strRef>
              <c:f>'Pernoctaciones evol mensu TF'!$K$117:$L$117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41F-4B85-9999-55ED5FC81BC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TF'!$K$119:$K$131</c:f>
              <c:numCache>
                <c:formatCode>#,##0</c:formatCode>
                <c:ptCount val="13"/>
                <c:pt idx="0">
                  <c:v>1480</c:v>
                </c:pt>
                <c:pt idx="1">
                  <c:v>2068</c:v>
                </c:pt>
                <c:pt idx="2">
                  <c:v>1890</c:v>
                </c:pt>
                <c:pt idx="3">
                  <c:v>1379</c:v>
                </c:pt>
                <c:pt idx="4">
                  <c:v>732</c:v>
                </c:pt>
                <c:pt idx="5">
                  <c:v>471</c:v>
                </c:pt>
                <c:pt idx="6">
                  <c:v>401</c:v>
                </c:pt>
                <c:pt idx="7">
                  <c:v>572</c:v>
                </c:pt>
                <c:pt idx="8">
                  <c:v>519</c:v>
                </c:pt>
                <c:pt idx="9">
                  <c:v>850</c:v>
                </c:pt>
                <c:pt idx="10">
                  <c:v>1075</c:v>
                </c:pt>
                <c:pt idx="11">
                  <c:v>859</c:v>
                </c:pt>
                <c:pt idx="12">
                  <c:v>12296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1F-4B85-9999-55ED5FC81BCB}"/>
            </c:ext>
          </c:extLst>
        </c:ser>
        <c:ser>
          <c:idx val="1"/>
          <c:order val="3"/>
          <c:tx>
            <c:strRef>
              <c:f>'Pernoctaciones evol mensu TF'!$M$117:$N$117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41F-4B85-9999-55ED5FC81BC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41F-4B85-9999-55ED5FC81BCB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TF'!$M$119:$M$131</c:f>
              <c:numCache>
                <c:formatCode>#,##0</c:formatCode>
                <c:ptCount val="13"/>
                <c:pt idx="0">
                  <c:v>1352</c:v>
                </c:pt>
                <c:pt idx="1">
                  <c:v>1741</c:v>
                </c:pt>
                <c:pt idx="2">
                  <c:v>1246</c:v>
                </c:pt>
                <c:pt idx="3">
                  <c:v>652</c:v>
                </c:pt>
                <c:pt idx="4">
                  <c:v>482</c:v>
                </c:pt>
                <c:pt idx="5">
                  <c:v>452</c:v>
                </c:pt>
                <c:pt idx="12">
                  <c:v>5925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1F-4B85-9999-55ED5FC81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41F-4B85-9999-55ED5FC81BC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TF'!$C$119:$C$131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1433</c:v>
                      </c:pt>
                      <c:pt idx="1">
                        <c:v>2393</c:v>
                      </c:pt>
                      <c:pt idx="2">
                        <c:v>615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66</c:v>
                      </c:pt>
                      <c:pt idx="8">
                        <c:v>42</c:v>
                      </c:pt>
                      <c:pt idx="9">
                        <c:v>90</c:v>
                      </c:pt>
                      <c:pt idx="10">
                        <c:v>206</c:v>
                      </c:pt>
                      <c:pt idx="11">
                        <c:v>136</c:v>
                      </c:pt>
                      <c:pt idx="12">
                        <c:v>5019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41F-4B85-9999-55ED5FC81BC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TF'!$N$118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1F-4B85-9999-55ED5FC81BC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1F-4B85-9999-55ED5FC81BC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1F-4B85-9999-55ED5FC81BC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1F-4B85-9999-55ED5FC81BC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1F-4B85-9999-55ED5FC81BC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1F-4B85-9999-55ED5FC81BC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1F-4B85-9999-55ED5FC81BC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1F-4B85-9999-55ED5FC81BC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1F-4B85-9999-55ED5FC81BC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1F-4B85-9999-55ED5FC81BC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1F-4B85-9999-55ED5FC81BC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1F-4B85-9999-55ED5FC81BC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1F-4B85-9999-55ED5FC81BCB}"/>
              </c:ext>
            </c:extLst>
          </c:dPt>
          <c:cat>
            <c:strRef>
              <c:f>'Pernoctaciones evol mensu TF'!$B$119:$B$130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TF'!$N$119:$N$131</c:f>
              <c:numCache>
                <c:formatCode>0.0%</c:formatCode>
                <c:ptCount val="13"/>
                <c:pt idx="0">
                  <c:v>-8.6486486486486491E-2</c:v>
                </c:pt>
                <c:pt idx="1">
                  <c:v>-0.15812379110251451</c:v>
                </c:pt>
                <c:pt idx="2">
                  <c:v>-0.34074074074074079</c:v>
                </c:pt>
                <c:pt idx="3">
                  <c:v>-0.52719361856417701</c:v>
                </c:pt>
                <c:pt idx="4">
                  <c:v>-0.34153005464480879</c:v>
                </c:pt>
                <c:pt idx="5">
                  <c:v>-4.0339702760084917E-2</c:v>
                </c:pt>
                <c:pt idx="12">
                  <c:v>-0.26122194513715713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1F-4B85-9999-55ED5FC81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D0-498A-9F5D-C0E4CFA43A58}"/>
              </c:ext>
            </c:extLst>
          </c:dPt>
          <c:val>
            <c:numRef>
              <c:f>'Pernoctaciones evol mensu TF'!$I$141:$I$153</c:f>
              <c:numCache>
                <c:formatCode>#,##0</c:formatCode>
                <c:ptCount val="13"/>
                <c:pt idx="0">
                  <c:v>2687</c:v>
                </c:pt>
                <c:pt idx="1">
                  <c:v>2836</c:v>
                </c:pt>
                <c:pt idx="2">
                  <c:v>2988</c:v>
                </c:pt>
                <c:pt idx="3">
                  <c:v>2380</c:v>
                </c:pt>
                <c:pt idx="4">
                  <c:v>1273</c:v>
                </c:pt>
                <c:pt idx="5">
                  <c:v>831</c:v>
                </c:pt>
                <c:pt idx="6">
                  <c:v>427</c:v>
                </c:pt>
                <c:pt idx="7">
                  <c:v>1227</c:v>
                </c:pt>
                <c:pt idx="8">
                  <c:v>1288</c:v>
                </c:pt>
                <c:pt idx="9">
                  <c:v>1758</c:v>
                </c:pt>
                <c:pt idx="10">
                  <c:v>2908</c:v>
                </c:pt>
                <c:pt idx="11">
                  <c:v>2036</c:v>
                </c:pt>
                <c:pt idx="12">
                  <c:v>22639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D0-498A-9F5D-C0E4CFA43A58}"/>
            </c:ext>
          </c:extLst>
        </c:ser>
        <c:ser>
          <c:idx val="0"/>
          <c:order val="2"/>
          <c:tx>
            <c:strRef>
              <c:f>'Pernoctaciones evol mensu TF'!$K$139:$L$139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D0-498A-9F5D-C0E4CFA43A5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TF'!$K$141:$K$153</c:f>
              <c:numCache>
                <c:formatCode>#,##0</c:formatCode>
                <c:ptCount val="13"/>
                <c:pt idx="0">
                  <c:v>3551</c:v>
                </c:pt>
                <c:pt idx="1">
                  <c:v>3116</c:v>
                </c:pt>
                <c:pt idx="2">
                  <c:v>3366</c:v>
                </c:pt>
                <c:pt idx="3">
                  <c:v>2313</c:v>
                </c:pt>
                <c:pt idx="4">
                  <c:v>1592</c:v>
                </c:pt>
                <c:pt idx="5">
                  <c:v>1011</c:v>
                </c:pt>
                <c:pt idx="6">
                  <c:v>454</c:v>
                </c:pt>
                <c:pt idx="7">
                  <c:v>1129</c:v>
                </c:pt>
                <c:pt idx="8">
                  <c:v>1311</c:v>
                </c:pt>
                <c:pt idx="9">
                  <c:v>1824</c:v>
                </c:pt>
                <c:pt idx="10">
                  <c:v>2912</c:v>
                </c:pt>
                <c:pt idx="11">
                  <c:v>2476</c:v>
                </c:pt>
                <c:pt idx="12">
                  <c:v>25055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D0-498A-9F5D-C0E4CFA43A58}"/>
            </c:ext>
          </c:extLst>
        </c:ser>
        <c:ser>
          <c:idx val="1"/>
          <c:order val="3"/>
          <c:tx>
            <c:strRef>
              <c:f>'Pernoctaciones evol mensu TF'!$M$139:$N$139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D0-498A-9F5D-C0E4CFA43A5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D0-498A-9F5D-C0E4CFA43A58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TF'!$M$141:$M$153</c:f>
              <c:numCache>
                <c:formatCode>#,##0</c:formatCode>
                <c:ptCount val="13"/>
                <c:pt idx="0">
                  <c:v>2661</c:v>
                </c:pt>
                <c:pt idx="1">
                  <c:v>3261</c:v>
                </c:pt>
                <c:pt idx="2">
                  <c:v>3312</c:v>
                </c:pt>
                <c:pt idx="3">
                  <c:v>1873</c:v>
                </c:pt>
                <c:pt idx="4">
                  <c:v>1415</c:v>
                </c:pt>
                <c:pt idx="5">
                  <c:v>965</c:v>
                </c:pt>
                <c:pt idx="12">
                  <c:v>13487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D0-498A-9F5D-C0E4CFA43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5D0-498A-9F5D-C0E4CFA43A5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TF'!$C$141:$C$153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2551</c:v>
                      </c:pt>
                      <c:pt idx="1">
                        <c:v>2540</c:v>
                      </c:pt>
                      <c:pt idx="2">
                        <c:v>1376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307</c:v>
                      </c:pt>
                      <c:pt idx="8">
                        <c:v>72</c:v>
                      </c:pt>
                      <c:pt idx="9">
                        <c:v>122</c:v>
                      </c:pt>
                      <c:pt idx="10">
                        <c:v>210</c:v>
                      </c:pt>
                      <c:pt idx="11">
                        <c:v>199</c:v>
                      </c:pt>
                      <c:pt idx="12">
                        <c:v>7473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5D0-498A-9F5D-C0E4CFA43A5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TF'!$N$140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5D0-498A-9F5D-C0E4CFA43A5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5D0-498A-9F5D-C0E4CFA43A5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5D0-498A-9F5D-C0E4CFA43A5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5D0-498A-9F5D-C0E4CFA43A5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5D0-498A-9F5D-C0E4CFA43A5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5D0-498A-9F5D-C0E4CFA43A5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5D0-498A-9F5D-C0E4CFA43A5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5D0-498A-9F5D-C0E4CFA43A5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5D0-498A-9F5D-C0E4CFA43A5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5D0-498A-9F5D-C0E4CFA43A5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5D0-498A-9F5D-C0E4CFA43A5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5D0-498A-9F5D-C0E4CFA43A5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5D0-498A-9F5D-C0E4CFA43A58}"/>
              </c:ext>
            </c:extLst>
          </c:dPt>
          <c:cat>
            <c:strRef>
              <c:f>'Pernoctaciones evol mensu TF'!$B$141:$B$152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TF'!$N$141:$N$153</c:f>
              <c:numCache>
                <c:formatCode>0.0%</c:formatCode>
                <c:ptCount val="13"/>
                <c:pt idx="0">
                  <c:v>-0.25063362433117431</c:v>
                </c:pt>
                <c:pt idx="1">
                  <c:v>4.6534017971758601E-2</c:v>
                </c:pt>
                <c:pt idx="2">
                  <c:v>-1.6042780748663055E-2</c:v>
                </c:pt>
                <c:pt idx="3">
                  <c:v>-0.19022913964548205</c:v>
                </c:pt>
                <c:pt idx="4">
                  <c:v>-0.11118090452261309</c:v>
                </c:pt>
                <c:pt idx="5">
                  <c:v>-4.5499505440158239E-2</c:v>
                </c:pt>
                <c:pt idx="12">
                  <c:v>-9.7799183891899122E-2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5D0-498A-9F5D-C0E4CFA43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4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B9-4315-8BF1-7F81224C2A72}"/>
              </c:ext>
            </c:extLst>
          </c:dPt>
          <c:val>
            <c:numRef>
              <c:f>'Pernoctaciones evol mensu TF'!$I$163:$I$175</c:f>
              <c:numCache>
                <c:formatCode>#,##0</c:formatCode>
                <c:ptCount val="13"/>
                <c:pt idx="0">
                  <c:v>1006</c:v>
                </c:pt>
                <c:pt idx="1">
                  <c:v>1019</c:v>
                </c:pt>
                <c:pt idx="2">
                  <c:v>1138</c:v>
                </c:pt>
                <c:pt idx="3">
                  <c:v>650</c:v>
                </c:pt>
                <c:pt idx="4">
                  <c:v>732</c:v>
                </c:pt>
                <c:pt idx="5">
                  <c:v>374</c:v>
                </c:pt>
                <c:pt idx="6">
                  <c:v>379</c:v>
                </c:pt>
                <c:pt idx="7">
                  <c:v>734</c:v>
                </c:pt>
                <c:pt idx="8">
                  <c:v>486</c:v>
                </c:pt>
                <c:pt idx="9">
                  <c:v>565</c:v>
                </c:pt>
                <c:pt idx="10">
                  <c:v>1140</c:v>
                </c:pt>
                <c:pt idx="11">
                  <c:v>679</c:v>
                </c:pt>
                <c:pt idx="12">
                  <c:v>8902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9-4315-8BF1-7F81224C2A72}"/>
            </c:ext>
          </c:extLst>
        </c:ser>
        <c:ser>
          <c:idx val="0"/>
          <c:order val="2"/>
          <c:tx>
            <c:strRef>
              <c:f>'Pernoctaciones evol mensu TF'!$K$161:$L$161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6B9-4315-8BF1-7F81224C2A7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TF'!$K$163:$K$175</c:f>
              <c:numCache>
                <c:formatCode>#,##0</c:formatCode>
                <c:ptCount val="13"/>
                <c:pt idx="0">
                  <c:v>991</c:v>
                </c:pt>
                <c:pt idx="1">
                  <c:v>1220</c:v>
                </c:pt>
                <c:pt idx="2">
                  <c:v>1305</c:v>
                </c:pt>
                <c:pt idx="3">
                  <c:v>832</c:v>
                </c:pt>
                <c:pt idx="4">
                  <c:v>862</c:v>
                </c:pt>
                <c:pt idx="5">
                  <c:v>426</c:v>
                </c:pt>
                <c:pt idx="6">
                  <c:v>596</c:v>
                </c:pt>
                <c:pt idx="7">
                  <c:v>989</c:v>
                </c:pt>
                <c:pt idx="8">
                  <c:v>421</c:v>
                </c:pt>
                <c:pt idx="9">
                  <c:v>622</c:v>
                </c:pt>
                <c:pt idx="10">
                  <c:v>772</c:v>
                </c:pt>
                <c:pt idx="11">
                  <c:v>714</c:v>
                </c:pt>
                <c:pt idx="12">
                  <c:v>9750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B9-4315-8BF1-7F81224C2A72}"/>
            </c:ext>
          </c:extLst>
        </c:ser>
        <c:ser>
          <c:idx val="1"/>
          <c:order val="3"/>
          <c:tx>
            <c:strRef>
              <c:f>'Pernoctaciones evol mensu TF'!$M$161:$N$161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6B9-4315-8BF1-7F81224C2A7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6B9-4315-8BF1-7F81224C2A7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TF'!$M$163:$M$175</c:f>
              <c:numCache>
                <c:formatCode>#,##0</c:formatCode>
                <c:ptCount val="13"/>
                <c:pt idx="0">
                  <c:v>1041</c:v>
                </c:pt>
                <c:pt idx="1">
                  <c:v>1002</c:v>
                </c:pt>
                <c:pt idx="2">
                  <c:v>1267</c:v>
                </c:pt>
                <c:pt idx="3">
                  <c:v>686</c:v>
                </c:pt>
                <c:pt idx="4">
                  <c:v>787</c:v>
                </c:pt>
                <c:pt idx="5">
                  <c:v>397</c:v>
                </c:pt>
                <c:pt idx="12">
                  <c:v>5180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B9-4315-8BF1-7F81224C2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6B9-4315-8BF1-7F81224C2A7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TF'!$C$163:$C$175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944</c:v>
                      </c:pt>
                      <c:pt idx="1">
                        <c:v>1207</c:v>
                      </c:pt>
                      <c:pt idx="2">
                        <c:v>505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912</c:v>
                      </c:pt>
                      <c:pt idx="8">
                        <c:v>104</c:v>
                      </c:pt>
                      <c:pt idx="9">
                        <c:v>266</c:v>
                      </c:pt>
                      <c:pt idx="10">
                        <c:v>143</c:v>
                      </c:pt>
                      <c:pt idx="11">
                        <c:v>445</c:v>
                      </c:pt>
                      <c:pt idx="12">
                        <c:v>4658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6B9-4315-8BF1-7F81224C2A7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TF'!$N$162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B9-4315-8BF1-7F81224C2A7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B9-4315-8BF1-7F81224C2A7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B9-4315-8BF1-7F81224C2A7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B9-4315-8BF1-7F81224C2A7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B9-4315-8BF1-7F81224C2A7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B9-4315-8BF1-7F81224C2A7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B9-4315-8BF1-7F81224C2A7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B9-4315-8BF1-7F81224C2A7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B9-4315-8BF1-7F81224C2A7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B9-4315-8BF1-7F81224C2A7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B9-4315-8BF1-7F81224C2A7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B9-4315-8BF1-7F81224C2A7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B9-4315-8BF1-7F81224C2A72}"/>
              </c:ext>
            </c:extLst>
          </c:dPt>
          <c:cat>
            <c:strRef>
              <c:f>'Pernoctaciones evol mensu TF'!$B$163:$B$174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TF'!$N$163:$N$175</c:f>
              <c:numCache>
                <c:formatCode>0.0%</c:formatCode>
                <c:ptCount val="13"/>
                <c:pt idx="0">
                  <c:v>5.045408678102925E-2</c:v>
                </c:pt>
                <c:pt idx="1">
                  <c:v>-0.17868852459016393</c:v>
                </c:pt>
                <c:pt idx="2">
                  <c:v>-2.9118773946360199E-2</c:v>
                </c:pt>
                <c:pt idx="3">
                  <c:v>-0.17548076923076927</c:v>
                </c:pt>
                <c:pt idx="4">
                  <c:v>-8.7006960556844537E-2</c:v>
                </c:pt>
                <c:pt idx="5">
                  <c:v>-6.8075117370892002E-2</c:v>
                </c:pt>
                <c:pt idx="12">
                  <c:v>-8.0908445706174614E-2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6B9-4315-8BF1-7F81224C2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2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A8-4FEE-A76F-D41A67596141}"/>
              </c:ext>
            </c:extLst>
          </c:dPt>
          <c:val>
            <c:numRef>
              <c:f>'Pernoctaciones evol mensu TF'!$I$185:$I$197</c:f>
              <c:numCache>
                <c:formatCode>#,##0</c:formatCode>
                <c:ptCount val="13"/>
                <c:pt idx="0">
                  <c:v>204</c:v>
                </c:pt>
                <c:pt idx="1">
                  <c:v>99</c:v>
                </c:pt>
                <c:pt idx="2">
                  <c:v>302</c:v>
                </c:pt>
                <c:pt idx="3">
                  <c:v>114</c:v>
                </c:pt>
                <c:pt idx="4">
                  <c:v>83</c:v>
                </c:pt>
                <c:pt idx="5">
                  <c:v>73</c:v>
                </c:pt>
                <c:pt idx="6">
                  <c:v>111</c:v>
                </c:pt>
                <c:pt idx="7">
                  <c:v>117</c:v>
                </c:pt>
                <c:pt idx="8">
                  <c:v>120</c:v>
                </c:pt>
                <c:pt idx="9">
                  <c:v>116</c:v>
                </c:pt>
                <c:pt idx="10">
                  <c:v>311</c:v>
                </c:pt>
                <c:pt idx="11">
                  <c:v>162</c:v>
                </c:pt>
                <c:pt idx="12">
                  <c:v>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A8-4FEE-A76F-D41A67596141}"/>
            </c:ext>
          </c:extLst>
        </c:ser>
        <c:ser>
          <c:idx val="0"/>
          <c:order val="2"/>
          <c:tx>
            <c:strRef>
              <c:f>'Pernoctaciones evol mensu TF'!$K$183:$L$183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A8-4FEE-A76F-D41A6759614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TF'!$K$185:$K$197</c:f>
              <c:numCache>
                <c:formatCode>#,##0</c:formatCode>
                <c:ptCount val="13"/>
                <c:pt idx="0">
                  <c:v>391</c:v>
                </c:pt>
                <c:pt idx="1">
                  <c:v>311</c:v>
                </c:pt>
                <c:pt idx="2">
                  <c:v>283</c:v>
                </c:pt>
                <c:pt idx="3">
                  <c:v>234</c:v>
                </c:pt>
                <c:pt idx="4">
                  <c:v>66</c:v>
                </c:pt>
                <c:pt idx="5">
                  <c:v>55</c:v>
                </c:pt>
                <c:pt idx="6">
                  <c:v>59</c:v>
                </c:pt>
                <c:pt idx="7">
                  <c:v>136</c:v>
                </c:pt>
                <c:pt idx="8">
                  <c:v>158</c:v>
                </c:pt>
                <c:pt idx="9">
                  <c:v>156</c:v>
                </c:pt>
                <c:pt idx="10">
                  <c:v>161</c:v>
                </c:pt>
                <c:pt idx="11">
                  <c:v>348</c:v>
                </c:pt>
                <c:pt idx="12">
                  <c:v>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A8-4FEE-A76F-D41A67596141}"/>
            </c:ext>
          </c:extLst>
        </c:ser>
        <c:ser>
          <c:idx val="1"/>
          <c:order val="3"/>
          <c:tx>
            <c:strRef>
              <c:f>'Pernoctaciones evol mensu TF'!$M$183:$N$183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A8-4FEE-A76F-D41A67596141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A8-4FEE-A76F-D41A67596141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TF'!$M$185:$M$197</c:f>
              <c:numCache>
                <c:formatCode>#,##0</c:formatCode>
                <c:ptCount val="13"/>
                <c:pt idx="0">
                  <c:v>363</c:v>
                </c:pt>
                <c:pt idx="1">
                  <c:v>340</c:v>
                </c:pt>
                <c:pt idx="2">
                  <c:v>336</c:v>
                </c:pt>
                <c:pt idx="3">
                  <c:v>313</c:v>
                </c:pt>
                <c:pt idx="4">
                  <c:v>152</c:v>
                </c:pt>
                <c:pt idx="5">
                  <c:v>105</c:v>
                </c:pt>
                <c:pt idx="12">
                  <c:v>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CA8-4FEE-A76F-D41A67596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CA8-4FEE-A76F-D41A67596141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TF'!$C$185:$C$197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171</c:v>
                      </c:pt>
                      <c:pt idx="1">
                        <c:v>80</c:v>
                      </c:pt>
                      <c:pt idx="2">
                        <c:v>43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120</c:v>
                      </c:pt>
                      <c:pt idx="8">
                        <c:v>86</c:v>
                      </c:pt>
                      <c:pt idx="9">
                        <c:v>74</c:v>
                      </c:pt>
                      <c:pt idx="10">
                        <c:v>125</c:v>
                      </c:pt>
                      <c:pt idx="11">
                        <c:v>36</c:v>
                      </c:pt>
                      <c:pt idx="12">
                        <c:v>788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CA8-4FEE-A76F-D41A675961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TF'!$N$184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A8-4FEE-A76F-D41A67596141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A8-4FEE-A76F-D41A67596141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A8-4FEE-A76F-D41A67596141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A8-4FEE-A76F-D41A67596141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CA8-4FEE-A76F-D41A67596141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A8-4FEE-A76F-D41A67596141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A8-4FEE-A76F-D41A67596141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A8-4FEE-A76F-D41A67596141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A8-4FEE-A76F-D41A67596141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A8-4FEE-A76F-D41A67596141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A8-4FEE-A76F-D41A67596141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A8-4FEE-A76F-D41A67596141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A8-4FEE-A76F-D41A67596141}"/>
              </c:ext>
            </c:extLst>
          </c:dPt>
          <c:cat>
            <c:strRef>
              <c:f>'Pernoctaciones evol mensu TF'!$B$185:$B$196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TF'!$N$185:$N$197</c:f>
              <c:numCache>
                <c:formatCode>0.0%</c:formatCode>
                <c:ptCount val="13"/>
                <c:pt idx="0">
                  <c:v>-7.1611253196930957E-2</c:v>
                </c:pt>
                <c:pt idx="1">
                  <c:v>9.3247588424437255E-2</c:v>
                </c:pt>
                <c:pt idx="2">
                  <c:v>0.1872791519434629</c:v>
                </c:pt>
                <c:pt idx="3">
                  <c:v>0.33760683760683752</c:v>
                </c:pt>
                <c:pt idx="4">
                  <c:v>1.3030303030303032</c:v>
                </c:pt>
                <c:pt idx="5">
                  <c:v>0.90909090909090917</c:v>
                </c:pt>
                <c:pt idx="12">
                  <c:v>0.20074626865671652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CA8-4FEE-A76F-D41A67596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5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AB-43F5-8CCE-DAE67B8C5B84}"/>
              </c:ext>
            </c:extLst>
          </c:dPt>
          <c:val>
            <c:numRef>
              <c:f>'Pernoctaciones evol mensu TF'!$I$207:$I$219</c:f>
              <c:numCache>
                <c:formatCode>#,##0</c:formatCode>
                <c:ptCount val="13"/>
                <c:pt idx="0">
                  <c:v>587</c:v>
                </c:pt>
                <c:pt idx="1">
                  <c:v>398</c:v>
                </c:pt>
                <c:pt idx="2">
                  <c:v>596</c:v>
                </c:pt>
                <c:pt idx="3">
                  <c:v>239</c:v>
                </c:pt>
                <c:pt idx="4">
                  <c:v>200</c:v>
                </c:pt>
                <c:pt idx="5">
                  <c:v>127</c:v>
                </c:pt>
                <c:pt idx="6">
                  <c:v>176</c:v>
                </c:pt>
                <c:pt idx="7">
                  <c:v>153</c:v>
                </c:pt>
                <c:pt idx="8">
                  <c:v>194</c:v>
                </c:pt>
                <c:pt idx="9">
                  <c:v>266</c:v>
                </c:pt>
                <c:pt idx="10">
                  <c:v>322</c:v>
                </c:pt>
                <c:pt idx="11">
                  <c:v>365</c:v>
                </c:pt>
                <c:pt idx="12">
                  <c:v>3623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AB-43F5-8CCE-DAE67B8C5B84}"/>
            </c:ext>
          </c:extLst>
        </c:ser>
        <c:ser>
          <c:idx val="0"/>
          <c:order val="2"/>
          <c:tx>
            <c:strRef>
              <c:f>'Pernoctaciones evol mensu TF'!$K$205:$L$205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AB-43F5-8CCE-DAE67B8C5B8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TF'!$K$207:$K$219</c:f>
              <c:numCache>
                <c:formatCode>#,##0</c:formatCode>
                <c:ptCount val="13"/>
                <c:pt idx="0">
                  <c:v>618</c:v>
                </c:pt>
                <c:pt idx="1">
                  <c:v>524</c:v>
                </c:pt>
                <c:pt idx="2">
                  <c:v>525</c:v>
                </c:pt>
                <c:pt idx="3">
                  <c:v>478</c:v>
                </c:pt>
                <c:pt idx="4">
                  <c:v>229</c:v>
                </c:pt>
                <c:pt idx="5">
                  <c:v>314</c:v>
                </c:pt>
                <c:pt idx="6">
                  <c:v>134</c:v>
                </c:pt>
                <c:pt idx="7">
                  <c:v>219</c:v>
                </c:pt>
                <c:pt idx="8">
                  <c:v>121</c:v>
                </c:pt>
                <c:pt idx="9">
                  <c:v>155</c:v>
                </c:pt>
                <c:pt idx="10">
                  <c:v>268</c:v>
                </c:pt>
                <c:pt idx="11">
                  <c:v>215</c:v>
                </c:pt>
                <c:pt idx="12">
                  <c:v>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AB-43F5-8CCE-DAE67B8C5B84}"/>
            </c:ext>
          </c:extLst>
        </c:ser>
        <c:ser>
          <c:idx val="1"/>
          <c:order val="3"/>
          <c:tx>
            <c:strRef>
              <c:f>'Pernoctaciones evol mensu TF'!$M$205:$N$205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AB-43F5-8CCE-DAE67B8C5B8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AB-43F5-8CCE-DAE67B8C5B84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TF'!$M$207:$M$219</c:f>
              <c:numCache>
                <c:formatCode>#,##0</c:formatCode>
                <c:ptCount val="13"/>
                <c:pt idx="0">
                  <c:v>486</c:v>
                </c:pt>
                <c:pt idx="1">
                  <c:v>402</c:v>
                </c:pt>
                <c:pt idx="2">
                  <c:v>329</c:v>
                </c:pt>
                <c:pt idx="3">
                  <c:v>141</c:v>
                </c:pt>
                <c:pt idx="4">
                  <c:v>274</c:v>
                </c:pt>
                <c:pt idx="5">
                  <c:v>155</c:v>
                </c:pt>
                <c:pt idx="12">
                  <c:v>1787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AB-43F5-8CCE-DAE67B8C5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0AB-43F5-8CCE-DAE67B8C5B8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TF'!$C$207:$C$219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207</c:v>
                      </c:pt>
                      <c:pt idx="1">
                        <c:v>537</c:v>
                      </c:pt>
                      <c:pt idx="2">
                        <c:v>95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19</c:v>
                      </c:pt>
                      <c:pt idx="8">
                        <c:v>6</c:v>
                      </c:pt>
                      <c:pt idx="9">
                        <c:v>5</c:v>
                      </c:pt>
                      <c:pt idx="10">
                        <c:v>24</c:v>
                      </c:pt>
                      <c:pt idx="11">
                        <c:v>14</c:v>
                      </c:pt>
                      <c:pt idx="12">
                        <c:v>940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0AB-43F5-8CCE-DAE67B8C5B8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TF'!$N$206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AB-43F5-8CCE-DAE67B8C5B8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AB-43F5-8CCE-DAE67B8C5B8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AB-43F5-8CCE-DAE67B8C5B8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AB-43F5-8CCE-DAE67B8C5B8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AB-43F5-8CCE-DAE67B8C5B8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AB-43F5-8CCE-DAE67B8C5B8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AB-43F5-8CCE-DAE67B8C5B8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AB-43F5-8CCE-DAE67B8C5B8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AB-43F5-8CCE-DAE67B8C5B8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AB-43F5-8CCE-DAE67B8C5B8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AB-43F5-8CCE-DAE67B8C5B8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AB-43F5-8CCE-DAE67B8C5B8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AB-43F5-8CCE-DAE67B8C5B84}"/>
              </c:ext>
            </c:extLst>
          </c:dPt>
          <c:cat>
            <c:strRef>
              <c:f>'Pernoctaciones evol mensu TF'!$B$207:$B$218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TF'!$N$207:$N$219</c:f>
              <c:numCache>
                <c:formatCode>0.0%</c:formatCode>
                <c:ptCount val="13"/>
                <c:pt idx="0">
                  <c:v>-0.21359223300970875</c:v>
                </c:pt>
                <c:pt idx="1">
                  <c:v>-0.23282442748091603</c:v>
                </c:pt>
                <c:pt idx="2">
                  <c:v>-0.37333333333333329</c:v>
                </c:pt>
                <c:pt idx="3">
                  <c:v>-0.70502092050209209</c:v>
                </c:pt>
                <c:pt idx="4">
                  <c:v>0.19650655021834051</c:v>
                </c:pt>
                <c:pt idx="5">
                  <c:v>-0.50636942675159236</c:v>
                </c:pt>
                <c:pt idx="12">
                  <c:v>-0.33519345238095233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0AB-43F5-8CCE-DAE67B8C5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8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90-4A47-A5B7-C3266B438A6D}"/>
              </c:ext>
            </c:extLst>
          </c:dPt>
          <c:val>
            <c:numRef>
              <c:f>'Pernoctaciones evol mensu TF'!$I$229:$I$241</c:f>
              <c:numCache>
                <c:formatCode>#,##0</c:formatCode>
                <c:ptCount val="13"/>
                <c:pt idx="0">
                  <c:v>130</c:v>
                </c:pt>
                <c:pt idx="1">
                  <c:v>31</c:v>
                </c:pt>
                <c:pt idx="2">
                  <c:v>28</c:v>
                </c:pt>
                <c:pt idx="3">
                  <c:v>42</c:v>
                </c:pt>
                <c:pt idx="4">
                  <c:v>10</c:v>
                </c:pt>
                <c:pt idx="5">
                  <c:v>2</c:v>
                </c:pt>
                <c:pt idx="6">
                  <c:v>35</c:v>
                </c:pt>
                <c:pt idx="7">
                  <c:v>6</c:v>
                </c:pt>
                <c:pt idx="8">
                  <c:v>14</c:v>
                </c:pt>
                <c:pt idx="9">
                  <c:v>6</c:v>
                </c:pt>
                <c:pt idx="10">
                  <c:v>82</c:v>
                </c:pt>
                <c:pt idx="11">
                  <c:v>34</c:v>
                </c:pt>
                <c:pt idx="12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90-4A47-A5B7-C3266B438A6D}"/>
            </c:ext>
          </c:extLst>
        </c:ser>
        <c:ser>
          <c:idx val="0"/>
          <c:order val="2"/>
          <c:tx>
            <c:strRef>
              <c:f>'Pernoctaciones evol mensu TF'!$K$227:$L$227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90-4A47-A5B7-C3266B438A6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TF'!$K$229:$K$241</c:f>
              <c:numCache>
                <c:formatCode>#,##0</c:formatCode>
                <c:ptCount val="13"/>
                <c:pt idx="0">
                  <c:v>167</c:v>
                </c:pt>
                <c:pt idx="1">
                  <c:v>140</c:v>
                </c:pt>
                <c:pt idx="2">
                  <c:v>62</c:v>
                </c:pt>
                <c:pt idx="3">
                  <c:v>2</c:v>
                </c:pt>
                <c:pt idx="4">
                  <c:v>0</c:v>
                </c:pt>
                <c:pt idx="5">
                  <c:v>176</c:v>
                </c:pt>
                <c:pt idx="6">
                  <c:v>45</c:v>
                </c:pt>
                <c:pt idx="7">
                  <c:v>4</c:v>
                </c:pt>
                <c:pt idx="8">
                  <c:v>36</c:v>
                </c:pt>
                <c:pt idx="9">
                  <c:v>24</c:v>
                </c:pt>
                <c:pt idx="10">
                  <c:v>116</c:v>
                </c:pt>
                <c:pt idx="11">
                  <c:v>10</c:v>
                </c:pt>
                <c:pt idx="12">
                  <c:v>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90-4A47-A5B7-C3266B438A6D}"/>
            </c:ext>
          </c:extLst>
        </c:ser>
        <c:ser>
          <c:idx val="1"/>
          <c:order val="3"/>
          <c:tx>
            <c:strRef>
              <c:f>'Pernoctaciones evol mensu TF'!$M$227:$N$227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90-4A47-A5B7-C3266B438A6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90-4A47-A5B7-C3266B438A6D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TF'!$M$229:$M$241</c:f>
              <c:numCache>
                <c:formatCode>#,##0</c:formatCode>
                <c:ptCount val="13"/>
                <c:pt idx="0">
                  <c:v>68</c:v>
                </c:pt>
                <c:pt idx="1">
                  <c:v>144</c:v>
                </c:pt>
                <c:pt idx="2">
                  <c:v>26</c:v>
                </c:pt>
                <c:pt idx="3">
                  <c:v>44</c:v>
                </c:pt>
                <c:pt idx="4">
                  <c:v>24</c:v>
                </c:pt>
                <c:pt idx="5">
                  <c:v>4</c:v>
                </c:pt>
                <c:pt idx="12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90-4A47-A5B7-C3266B438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E790-4A47-A5B7-C3266B438A6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TF'!$C$229:$C$241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324</c:v>
                      </c:pt>
                      <c:pt idx="1">
                        <c:v>73</c:v>
                      </c:pt>
                      <c:pt idx="2">
                        <c:v>168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0</c:v>
                      </c:pt>
                      <c:pt idx="10">
                        <c:v>18</c:v>
                      </c:pt>
                      <c:pt idx="11">
                        <c:v>2</c:v>
                      </c:pt>
                      <c:pt idx="12">
                        <c:v>599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E790-4A47-A5B7-C3266B438A6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TF'!$N$228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90-4A47-A5B7-C3266B438A6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90-4A47-A5B7-C3266B438A6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90-4A47-A5B7-C3266B438A6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90-4A47-A5B7-C3266B438A6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90-4A47-A5B7-C3266B438A6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90-4A47-A5B7-C3266B438A6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90-4A47-A5B7-C3266B438A6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90-4A47-A5B7-C3266B438A6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90-4A47-A5B7-C3266B438A6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90-4A47-A5B7-C3266B438A6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90-4A47-A5B7-C3266B438A6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90-4A47-A5B7-C3266B438A6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90-4A47-A5B7-C3266B438A6D}"/>
              </c:ext>
            </c:extLst>
          </c:dPt>
          <c:cat>
            <c:strRef>
              <c:f>'Pernoctaciones evol mensu TF'!$B$229:$B$240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TF'!$N$229:$N$241</c:f>
              <c:numCache>
                <c:formatCode>0.0%</c:formatCode>
                <c:ptCount val="13"/>
                <c:pt idx="0">
                  <c:v>-0.59281437125748504</c:v>
                </c:pt>
                <c:pt idx="1">
                  <c:v>2.857142857142847E-2</c:v>
                </c:pt>
                <c:pt idx="2">
                  <c:v>-0.58064516129032251</c:v>
                </c:pt>
                <c:pt idx="3">
                  <c:v>21</c:v>
                </c:pt>
                <c:pt idx="4">
                  <c:v>0</c:v>
                </c:pt>
                <c:pt idx="5">
                  <c:v>-0.97727272727272729</c:v>
                </c:pt>
                <c:pt idx="12">
                  <c:v>-0.43327239488116998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790-4A47-A5B7-C3266B438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'Pernoctaciones evol mensu TF'!$I$253:$J$253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C6-4604-97CA-8C8E52582CC2}"/>
              </c:ext>
            </c:extLst>
          </c:dPt>
          <c:val>
            <c:numRef>
              <c:f>'Pernoctaciones evol mensu TF'!$I$255:$I$267</c:f>
              <c:numCache>
                <c:formatCode>#,##0</c:formatCode>
                <c:ptCount val="13"/>
                <c:pt idx="0">
                  <c:v>236</c:v>
                </c:pt>
                <c:pt idx="1">
                  <c:v>59</c:v>
                </c:pt>
                <c:pt idx="2">
                  <c:v>105</c:v>
                </c:pt>
                <c:pt idx="3">
                  <c:v>66</c:v>
                </c:pt>
                <c:pt idx="4">
                  <c:v>63</c:v>
                </c:pt>
                <c:pt idx="5">
                  <c:v>48</c:v>
                </c:pt>
                <c:pt idx="6">
                  <c:v>29</c:v>
                </c:pt>
                <c:pt idx="7">
                  <c:v>34</c:v>
                </c:pt>
                <c:pt idx="8">
                  <c:v>40</c:v>
                </c:pt>
                <c:pt idx="9">
                  <c:v>26</c:v>
                </c:pt>
                <c:pt idx="10">
                  <c:v>97</c:v>
                </c:pt>
                <c:pt idx="11">
                  <c:v>147</c:v>
                </c:pt>
                <c:pt idx="12">
                  <c:v>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C6-4604-97CA-8C8E52582CC2}"/>
            </c:ext>
          </c:extLst>
        </c:ser>
        <c:ser>
          <c:idx val="0"/>
          <c:order val="2"/>
          <c:tx>
            <c:strRef>
              <c:f>'Pernoctaciones evol mensu TF'!$K$253:$L$253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C6-4604-97CA-8C8E52582CC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TF'!$K$255:$K$267</c:f>
              <c:numCache>
                <c:formatCode>#,##0</c:formatCode>
                <c:ptCount val="13"/>
                <c:pt idx="0">
                  <c:v>448</c:v>
                </c:pt>
                <c:pt idx="1">
                  <c:v>189</c:v>
                </c:pt>
                <c:pt idx="2">
                  <c:v>115</c:v>
                </c:pt>
                <c:pt idx="3">
                  <c:v>64</c:v>
                </c:pt>
                <c:pt idx="4">
                  <c:v>6</c:v>
                </c:pt>
                <c:pt idx="5">
                  <c:v>0</c:v>
                </c:pt>
                <c:pt idx="6">
                  <c:v>2</c:v>
                </c:pt>
                <c:pt idx="7">
                  <c:v>23</c:v>
                </c:pt>
                <c:pt idx="8">
                  <c:v>24</c:v>
                </c:pt>
                <c:pt idx="9">
                  <c:v>122</c:v>
                </c:pt>
                <c:pt idx="10">
                  <c:v>91</c:v>
                </c:pt>
                <c:pt idx="11">
                  <c:v>160</c:v>
                </c:pt>
                <c:pt idx="12">
                  <c:v>1244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C6-4604-97CA-8C8E52582CC2}"/>
            </c:ext>
          </c:extLst>
        </c:ser>
        <c:ser>
          <c:idx val="1"/>
          <c:order val="3"/>
          <c:tx>
            <c:strRef>
              <c:f>'Pernoctaciones evol mensu TF'!$M$253:$N$253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C6-4604-97CA-8C8E52582CC2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C6-4604-97CA-8C8E52582CC2}"/>
              </c:ext>
            </c:extLst>
          </c:dPt>
          <c:cat>
            <c:strRef>
              <c:f>'Pernoctaciones evol mensu TF'!$A$9:$A$21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'Pernoctaciones evol mensu TF'!$M$255:$M$267</c:f>
              <c:numCache>
                <c:formatCode>#,##0</c:formatCode>
                <c:ptCount val="13"/>
                <c:pt idx="0">
                  <c:v>203</c:v>
                </c:pt>
                <c:pt idx="1">
                  <c:v>21</c:v>
                </c:pt>
                <c:pt idx="2">
                  <c:v>104</c:v>
                </c:pt>
                <c:pt idx="3">
                  <c:v>23</c:v>
                </c:pt>
                <c:pt idx="4">
                  <c:v>52</c:v>
                </c:pt>
                <c:pt idx="5">
                  <c:v>30</c:v>
                </c:pt>
                <c:pt idx="12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C6-4604-97CA-8C8E52582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'Pernoctaciones evol mensu TF'!$C$253:$D$253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7C6-4604-97CA-8C8E52582CC2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'Pernoctaciones evol mensu TF'!$A$9:$A$21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'Pernoctaciones evol mensu TF'!$C$255:$C$267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93</c:v>
                      </c:pt>
                      <c:pt idx="1">
                        <c:v>98</c:v>
                      </c:pt>
                      <c:pt idx="2">
                        <c:v>19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</c:v>
                      </c:pt>
                      <c:pt idx="8">
                        <c:v>6</c:v>
                      </c:pt>
                      <c:pt idx="9">
                        <c:v>6</c:v>
                      </c:pt>
                      <c:pt idx="10">
                        <c:v>20</c:v>
                      </c:pt>
                      <c:pt idx="11">
                        <c:v>10</c:v>
                      </c:pt>
                      <c:pt idx="12">
                        <c:v>259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7C6-4604-97CA-8C8E52582CC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'Pernoctaciones evol mensu TF'!$N$254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C6-4604-97CA-8C8E52582CC2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C6-4604-97CA-8C8E52582CC2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C6-4604-97CA-8C8E52582CC2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C6-4604-97CA-8C8E52582CC2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C6-4604-97CA-8C8E52582CC2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C6-4604-97CA-8C8E52582CC2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C6-4604-97CA-8C8E52582CC2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C6-4604-97CA-8C8E52582CC2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C6-4604-97CA-8C8E52582CC2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C6-4604-97CA-8C8E52582CC2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C6-4604-97CA-8C8E52582CC2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C6-4604-97CA-8C8E52582CC2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C6-4604-97CA-8C8E52582CC2}"/>
              </c:ext>
            </c:extLst>
          </c:dPt>
          <c:cat>
            <c:strRef>
              <c:f>'Pernoctaciones evol mensu TF'!$B$255:$B$266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'Pernoctaciones evol mensu TF'!$N$255:$N$267</c:f>
              <c:numCache>
                <c:formatCode>0.0%</c:formatCode>
                <c:ptCount val="13"/>
                <c:pt idx="0">
                  <c:v>-0.546875</c:v>
                </c:pt>
                <c:pt idx="1">
                  <c:v>-0.88888888888888884</c:v>
                </c:pt>
                <c:pt idx="2">
                  <c:v>-9.5652173913043481E-2</c:v>
                </c:pt>
                <c:pt idx="3">
                  <c:v>-0.640625</c:v>
                </c:pt>
                <c:pt idx="4">
                  <c:v>7.6666666666666661</c:v>
                </c:pt>
                <c:pt idx="5">
                  <c:v>0</c:v>
                </c:pt>
                <c:pt idx="12">
                  <c:v>-0.47323600973236013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7C6-4604-97CA-8C8E52582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6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B4-40E0-BFFF-B9D3511538E7}"/>
              </c:ext>
            </c:extLst>
          </c:dPt>
          <c:val>
            <c:numRef>
              <c:f>'Pernocta evol mensu TF cat'!$I$9:$I$21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B4-40E0-BFFF-B9D3511538E7}"/>
            </c:ext>
          </c:extLst>
        </c:ser>
        <c:ser>
          <c:idx val="0"/>
          <c:order val="2"/>
          <c:tx>
            <c:strRef>
              <c:f>'Pernocta evol mensu TF cat'!$K$7:$L$7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B4-40E0-BFFF-B9D3511538E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cat'!$K$9:$K$21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0">
                  <c:v>14972</c:v>
                </c:pt>
                <c:pt idx="11">
                  <c:v>13319</c:v>
                </c:pt>
                <c:pt idx="12">
                  <c:v>152300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B4-40E0-BFFF-B9D3511538E7}"/>
            </c:ext>
          </c:extLst>
        </c:ser>
        <c:ser>
          <c:idx val="1"/>
          <c:order val="3"/>
          <c:tx>
            <c:strRef>
              <c:f>'Pernocta evol mensu TF cat'!$M$7:$N$7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B4-40E0-BFFF-B9D3511538E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B4-40E0-BFFF-B9D3511538E7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cat'!$M$9:$M$21</c:f>
              <c:numCache>
                <c:formatCode>#,##0</c:formatCode>
                <c:ptCount val="13"/>
                <c:pt idx="0">
                  <c:v>14255</c:v>
                </c:pt>
                <c:pt idx="1">
                  <c:v>13111</c:v>
                </c:pt>
                <c:pt idx="2">
                  <c:v>14094</c:v>
                </c:pt>
                <c:pt idx="3">
                  <c:v>11979</c:v>
                </c:pt>
                <c:pt idx="4">
                  <c:v>13411</c:v>
                </c:pt>
                <c:pt idx="5">
                  <c:v>11658</c:v>
                </c:pt>
                <c:pt idx="12">
                  <c:v>78508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B4-40E0-BFFF-B9D351153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CCB4-40E0-BFFF-B9D3511538E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cat'!$C$9:$C$21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13603</c:v>
                      </c:pt>
                      <c:pt idx="1">
                        <c:v>14342</c:v>
                      </c:pt>
                      <c:pt idx="2">
                        <c:v>5714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6941</c:v>
                      </c:pt>
                      <c:pt idx="8">
                        <c:v>3767</c:v>
                      </c:pt>
                      <c:pt idx="9">
                        <c:v>3603</c:v>
                      </c:pt>
                      <c:pt idx="10">
                        <c:v>3555</c:v>
                      </c:pt>
                      <c:pt idx="11">
                        <c:v>4049</c:v>
                      </c:pt>
                      <c:pt idx="12">
                        <c:v>59047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CCB4-40E0-BFFF-B9D3511538E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B4-40E0-BFFF-B9D3511538E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B4-40E0-BFFF-B9D3511538E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B4-40E0-BFFF-B9D3511538E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B4-40E0-BFFF-B9D3511538E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B4-40E0-BFFF-B9D3511538E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B4-40E0-BFFF-B9D3511538E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B4-40E0-BFFF-B9D3511538E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B4-40E0-BFFF-B9D3511538E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B4-40E0-BFFF-B9D3511538E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B4-40E0-BFFF-B9D3511538E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B4-40E0-BFFF-B9D3511538E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B4-40E0-BFFF-B9D3511538E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B4-40E0-BFFF-B9D3511538E7}"/>
              </c:ext>
            </c:extLst>
          </c:dPt>
          <c:cat>
            <c:strRef>
              <c:f>'Pernocta evol mensu TF cat'!$B$9:$B$20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cat'!$N$9:$N$21</c:f>
              <c:numCache>
                <c:formatCode>0.0%</c:formatCode>
                <c:ptCount val="13"/>
                <c:pt idx="0">
                  <c:v>-2.2357862972361309E-2</c:v>
                </c:pt>
                <c:pt idx="1">
                  <c:v>-0.1339014400845554</c:v>
                </c:pt>
                <c:pt idx="2">
                  <c:v>-7.834161653151972E-2</c:v>
                </c:pt>
                <c:pt idx="3">
                  <c:v>-0.10863903564253297</c:v>
                </c:pt>
                <c:pt idx="4">
                  <c:v>7.1765364021417755E-2</c:v>
                </c:pt>
                <c:pt idx="5">
                  <c:v>0.15254572417202183</c:v>
                </c:pt>
                <c:pt idx="12">
                  <c:v>-3.169787118577172E-2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CB4-40E0-BFFF-B9D351153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7E-4E23-8E07-44EFA1BC161A}"/>
              </c:ext>
            </c:extLst>
          </c:dPt>
          <c:val>
            <c:numRef>
              <c:f>'Pernocta evol mensu TF cat'!$I$31:$I$43</c:f>
              <c:numCache>
                <c:formatCode>#,##0</c:formatCode>
                <c:ptCount val="13"/>
                <c:pt idx="0">
                  <c:v>14353</c:v>
                </c:pt>
                <c:pt idx="1">
                  <c:v>14251</c:v>
                </c:pt>
                <c:pt idx="2">
                  <c:v>15603</c:v>
                </c:pt>
                <c:pt idx="3">
                  <c:v>12703</c:v>
                </c:pt>
                <c:pt idx="4">
                  <c:v>12793</c:v>
                </c:pt>
                <c:pt idx="5">
                  <c:v>10373</c:v>
                </c:pt>
                <c:pt idx="6">
                  <c:v>9594</c:v>
                </c:pt>
                <c:pt idx="7">
                  <c:v>11871</c:v>
                </c:pt>
                <c:pt idx="8">
                  <c:v>10606</c:v>
                </c:pt>
                <c:pt idx="9">
                  <c:v>11107</c:v>
                </c:pt>
                <c:pt idx="10">
                  <c:v>13216</c:v>
                </c:pt>
                <c:pt idx="11">
                  <c:v>11864</c:v>
                </c:pt>
                <c:pt idx="12">
                  <c:v>148334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7E-4E23-8E07-44EFA1BC161A}"/>
            </c:ext>
          </c:extLst>
        </c:ser>
        <c:ser>
          <c:idx val="0"/>
          <c:order val="2"/>
          <c:tx>
            <c:strRef>
              <c:f>'Pernocta evol mensu TF cat'!$K$29:$L$29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7E-4E23-8E07-44EFA1BC161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cat'!$K$31:$K$43</c:f>
              <c:numCache>
                <c:formatCode>#,##0</c:formatCode>
                <c:ptCount val="13"/>
                <c:pt idx="0">
                  <c:v>14581</c:v>
                </c:pt>
                <c:pt idx="1">
                  <c:v>15138</c:v>
                </c:pt>
                <c:pt idx="2">
                  <c:v>15292</c:v>
                </c:pt>
                <c:pt idx="3">
                  <c:v>13439</c:v>
                </c:pt>
                <c:pt idx="4">
                  <c:v>12513</c:v>
                </c:pt>
                <c:pt idx="5">
                  <c:v>10115</c:v>
                </c:pt>
                <c:pt idx="6">
                  <c:v>10140</c:v>
                </c:pt>
                <c:pt idx="7">
                  <c:v>9259</c:v>
                </c:pt>
                <c:pt idx="8">
                  <c:v>11345</c:v>
                </c:pt>
                <c:pt idx="9">
                  <c:v>12187</c:v>
                </c:pt>
                <c:pt idx="10">
                  <c:v>14972</c:v>
                </c:pt>
                <c:pt idx="11">
                  <c:v>13319</c:v>
                </c:pt>
                <c:pt idx="12">
                  <c:v>152300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7E-4E23-8E07-44EFA1BC161A}"/>
            </c:ext>
          </c:extLst>
        </c:ser>
        <c:ser>
          <c:idx val="1"/>
          <c:order val="3"/>
          <c:tx>
            <c:strRef>
              <c:f>'Pernocta evol mensu TF cat'!$M$29:$N$29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47E-4E23-8E07-44EFA1BC161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7E-4E23-8E07-44EFA1BC161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cat'!$M$31:$M$43</c:f>
              <c:numCache>
                <c:formatCode>#,##0</c:formatCode>
                <c:ptCount val="13"/>
                <c:pt idx="0">
                  <c:v>14255</c:v>
                </c:pt>
                <c:pt idx="1">
                  <c:v>13111</c:v>
                </c:pt>
                <c:pt idx="2">
                  <c:v>14094</c:v>
                </c:pt>
                <c:pt idx="3">
                  <c:v>11979</c:v>
                </c:pt>
                <c:pt idx="4">
                  <c:v>13411</c:v>
                </c:pt>
                <c:pt idx="5">
                  <c:v>11658</c:v>
                </c:pt>
                <c:pt idx="12">
                  <c:v>78508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7E-4E23-8E07-44EFA1BC1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47E-4E23-8E07-44EFA1BC161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cat'!$C$31:$C$43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13603</c:v>
                      </c:pt>
                      <c:pt idx="1">
                        <c:v>14342</c:v>
                      </c:pt>
                      <c:pt idx="2">
                        <c:v>5714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6941</c:v>
                      </c:pt>
                      <c:pt idx="8">
                        <c:v>3767</c:v>
                      </c:pt>
                      <c:pt idx="9">
                        <c:v>3603</c:v>
                      </c:pt>
                      <c:pt idx="10">
                        <c:v>3555</c:v>
                      </c:pt>
                      <c:pt idx="11">
                        <c:v>4049</c:v>
                      </c:pt>
                      <c:pt idx="12">
                        <c:v>59047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47E-4E23-8E07-44EFA1BC161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47E-4E23-8E07-44EFA1BC161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47E-4E23-8E07-44EFA1BC161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47E-4E23-8E07-44EFA1BC161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7E-4E23-8E07-44EFA1BC161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7E-4E23-8E07-44EFA1BC161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7E-4E23-8E07-44EFA1BC161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7E-4E23-8E07-44EFA1BC161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7E-4E23-8E07-44EFA1BC161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7E-4E23-8E07-44EFA1BC161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7E-4E23-8E07-44EFA1BC161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7E-4E23-8E07-44EFA1BC161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7E-4E23-8E07-44EFA1BC161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7E-4E23-8E07-44EFA1BC161A}"/>
              </c:ext>
            </c:extLst>
          </c:dPt>
          <c:cat>
            <c:strRef>
              <c:f>'Pernocta evol mensu TF cat'!$B$31:$B$42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cat'!$N$31:$N$43</c:f>
              <c:numCache>
                <c:formatCode>0.0%</c:formatCode>
                <c:ptCount val="13"/>
                <c:pt idx="0">
                  <c:v>-2.2357862972361309E-2</c:v>
                </c:pt>
                <c:pt idx="1">
                  <c:v>-0.1339014400845554</c:v>
                </c:pt>
                <c:pt idx="2">
                  <c:v>-7.834161653151972E-2</c:v>
                </c:pt>
                <c:pt idx="3">
                  <c:v>-0.10863903564253297</c:v>
                </c:pt>
                <c:pt idx="4">
                  <c:v>7.1765364021417755E-2</c:v>
                </c:pt>
                <c:pt idx="5">
                  <c:v>0.15254572417202183</c:v>
                </c:pt>
                <c:pt idx="12">
                  <c:v>-3.169787118577172E-2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7E-4E23-8E07-44EFA1BC1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6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8996403118542229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AF-4FFB-9566-ABCBE083703A}"/>
              </c:ext>
            </c:extLst>
          </c:dPt>
          <c:val>
            <c:numRef>
              <c:f>'Pernocta evol mensu TF cat'!$I$53:$I$65</c:f>
              <c:numCache>
                <c:formatCode>#,##0</c:formatCode>
                <c:ptCount val="13"/>
                <c:pt idx="0">
                  <c:v>12972</c:v>
                </c:pt>
                <c:pt idx="1">
                  <c:v>12909</c:v>
                </c:pt>
                <c:pt idx="2">
                  <c:v>14183</c:v>
                </c:pt>
                <c:pt idx="3">
                  <c:v>11501</c:v>
                </c:pt>
                <c:pt idx="4">
                  <c:v>11901</c:v>
                </c:pt>
                <c:pt idx="5">
                  <c:v>9518</c:v>
                </c:pt>
                <c:pt idx="6">
                  <c:v>0</c:v>
                </c:pt>
                <c:pt idx="7">
                  <c:v>0</c:v>
                </c:pt>
                <c:pt idx="8">
                  <c:v>9670</c:v>
                </c:pt>
                <c:pt idx="9">
                  <c:v>9853</c:v>
                </c:pt>
                <c:pt idx="10">
                  <c:v>11701</c:v>
                </c:pt>
                <c:pt idx="11">
                  <c:v>10315</c:v>
                </c:pt>
                <c:pt idx="12">
                  <c:v>134451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AF-4FFB-9566-ABCBE083703A}"/>
            </c:ext>
          </c:extLst>
        </c:ser>
        <c:ser>
          <c:idx val="0"/>
          <c:order val="2"/>
          <c:tx>
            <c:strRef>
              <c:f>'Pernocta evol mensu TF cat'!$K$51:$L$51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AF-4FFB-9566-ABCBE083703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cat'!$K$53:$K$65</c:f>
              <c:numCache>
                <c:formatCode>#,##0</c:formatCode>
                <c:ptCount val="13"/>
                <c:pt idx="0">
                  <c:v>13093</c:v>
                </c:pt>
                <c:pt idx="1">
                  <c:v>13468</c:v>
                </c:pt>
                <c:pt idx="2">
                  <c:v>13753</c:v>
                </c:pt>
                <c:pt idx="3">
                  <c:v>12269</c:v>
                </c:pt>
                <c:pt idx="4">
                  <c:v>11514</c:v>
                </c:pt>
                <c:pt idx="5">
                  <c:v>9062</c:v>
                </c:pt>
                <c:pt idx="6">
                  <c:v>8860</c:v>
                </c:pt>
                <c:pt idx="7">
                  <c:v>8826</c:v>
                </c:pt>
                <c:pt idx="8">
                  <c:v>10217</c:v>
                </c:pt>
                <c:pt idx="9">
                  <c:v>10893</c:v>
                </c:pt>
                <c:pt idx="10">
                  <c:v>13338</c:v>
                </c:pt>
                <c:pt idx="11">
                  <c:v>11641</c:v>
                </c:pt>
                <c:pt idx="12">
                  <c:v>136934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AF-4FFB-9566-ABCBE083703A}"/>
            </c:ext>
          </c:extLst>
        </c:ser>
        <c:ser>
          <c:idx val="1"/>
          <c:order val="3"/>
          <c:tx>
            <c:strRef>
              <c:f>'Pernocta evol mensu TF cat'!$M$51:$N$51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AF-4FFB-9566-ABCBE083703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AF-4FFB-9566-ABCBE083703A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cat'!$M$53:$M$65</c:f>
              <c:numCache>
                <c:formatCode>#,##0</c:formatCode>
                <c:ptCount val="13"/>
                <c:pt idx="0">
                  <c:v>12738</c:v>
                </c:pt>
                <c:pt idx="1">
                  <c:v>11624</c:v>
                </c:pt>
                <c:pt idx="2">
                  <c:v>12541</c:v>
                </c:pt>
                <c:pt idx="3">
                  <c:v>10741</c:v>
                </c:pt>
                <c:pt idx="4">
                  <c:v>11973</c:v>
                </c:pt>
                <c:pt idx="5">
                  <c:v>10628</c:v>
                </c:pt>
                <c:pt idx="12">
                  <c:v>70245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AF-4FFB-9566-ABCBE0837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0AF-4FFB-9566-ABCBE083703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cat'!$C$53:$C$65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11286</c:v>
                      </c:pt>
                      <c:pt idx="1">
                        <c:v>11308</c:v>
                      </c:pt>
                      <c:pt idx="2">
                        <c:v>4549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0AF-4FFB-9566-ABCBE083703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AF-4FFB-9566-ABCBE083703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AF-4FFB-9566-ABCBE083703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AF-4FFB-9566-ABCBE083703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AF-4FFB-9566-ABCBE083703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AF-4FFB-9566-ABCBE083703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AF-4FFB-9566-ABCBE083703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AF-4FFB-9566-ABCBE083703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AF-4FFB-9566-ABCBE083703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AF-4FFB-9566-ABCBE083703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AF-4FFB-9566-ABCBE083703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AF-4FFB-9566-ABCBE083703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AF-4FFB-9566-ABCBE083703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AF-4FFB-9566-ABCBE083703A}"/>
              </c:ext>
            </c:extLst>
          </c:dPt>
          <c:cat>
            <c:strRef>
              <c:f>'Pernocta evol mensu TF cat'!$B$53:$B$64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cat'!$N$53:$N$65</c:f>
              <c:numCache>
                <c:formatCode>0.0%</c:formatCode>
                <c:ptCount val="13"/>
                <c:pt idx="0">
                  <c:v>-2.711372489116326E-2</c:v>
                </c:pt>
                <c:pt idx="1">
                  <c:v>-0.13691713691713692</c:v>
                </c:pt>
                <c:pt idx="2">
                  <c:v>-8.8126227005017044E-2</c:v>
                </c:pt>
                <c:pt idx="3">
                  <c:v>-0.12454152742684821</c:v>
                </c:pt>
                <c:pt idx="4">
                  <c:v>3.9864512767066262E-2</c:v>
                </c:pt>
                <c:pt idx="5">
                  <c:v>0.17280953431913493</c:v>
                </c:pt>
                <c:pt idx="12">
                  <c:v>-3.9831052912150278E-2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0AF-4FFB-9566-ABCBE0837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15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'Pernocta evol mensu TF cat'!$I$73:$J$73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EE-4E74-BB8F-A481A150E389}"/>
              </c:ext>
            </c:extLst>
          </c:dPt>
          <c:val>
            <c:numRef>
              <c:f>'Pernocta evol mensu TF cat'!$I$75:$I$87</c:f>
              <c:numCache>
                <c:formatCode>#,##0</c:formatCode>
                <c:ptCount val="13"/>
                <c:pt idx="0">
                  <c:v>1381</c:v>
                </c:pt>
                <c:pt idx="1">
                  <c:v>1342</c:v>
                </c:pt>
                <c:pt idx="2">
                  <c:v>1420</c:v>
                </c:pt>
                <c:pt idx="3">
                  <c:v>1202</c:v>
                </c:pt>
                <c:pt idx="4">
                  <c:v>892</c:v>
                </c:pt>
                <c:pt idx="5">
                  <c:v>855</c:v>
                </c:pt>
                <c:pt idx="6">
                  <c:v>0</c:v>
                </c:pt>
                <c:pt idx="7">
                  <c:v>0</c:v>
                </c:pt>
                <c:pt idx="8">
                  <c:v>936</c:v>
                </c:pt>
                <c:pt idx="9">
                  <c:v>1254</c:v>
                </c:pt>
                <c:pt idx="10">
                  <c:v>1515</c:v>
                </c:pt>
                <c:pt idx="11">
                  <c:v>1549</c:v>
                </c:pt>
                <c:pt idx="12">
                  <c:v>13883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EE-4E74-BB8F-A481A150E389}"/>
            </c:ext>
          </c:extLst>
        </c:ser>
        <c:ser>
          <c:idx val="0"/>
          <c:order val="2"/>
          <c:tx>
            <c:strRef>
              <c:f>'Pernocta evol mensu TF cat'!$K$73:$L$73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FEE-4E74-BB8F-A481A150E38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cat'!$K$75:$K$87</c:f>
              <c:numCache>
                <c:formatCode>#,##0</c:formatCode>
                <c:ptCount val="13"/>
                <c:pt idx="0">
                  <c:v>1488</c:v>
                </c:pt>
                <c:pt idx="1">
                  <c:v>1670</c:v>
                </c:pt>
                <c:pt idx="2">
                  <c:v>1539</c:v>
                </c:pt>
                <c:pt idx="3">
                  <c:v>1170</c:v>
                </c:pt>
                <c:pt idx="4">
                  <c:v>999</c:v>
                </c:pt>
                <c:pt idx="5">
                  <c:v>1053</c:v>
                </c:pt>
                <c:pt idx="6">
                  <c:v>1280</c:v>
                </c:pt>
                <c:pt idx="7">
                  <c:v>433</c:v>
                </c:pt>
                <c:pt idx="8">
                  <c:v>1128</c:v>
                </c:pt>
                <c:pt idx="9">
                  <c:v>1294</c:v>
                </c:pt>
                <c:pt idx="10">
                  <c:v>1634</c:v>
                </c:pt>
                <c:pt idx="11">
                  <c:v>1678</c:v>
                </c:pt>
                <c:pt idx="12">
                  <c:v>15366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EE-4E74-BB8F-A481A150E389}"/>
            </c:ext>
          </c:extLst>
        </c:ser>
        <c:ser>
          <c:idx val="1"/>
          <c:order val="3"/>
          <c:tx>
            <c:strRef>
              <c:f>'Pernocta evol mensu TF cat'!$M$73:$N$73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FEE-4E74-BB8F-A481A150E38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FEE-4E74-BB8F-A481A150E389}"/>
              </c:ext>
            </c:extLst>
          </c:dPt>
          <c:cat>
            <c:strRef>
              <c:f>'Pernocta evol mensu TF cat'!$A$9:$A$21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'Pernocta evol mensu TF cat'!$M$75:$M$87</c:f>
              <c:numCache>
                <c:formatCode>#,##0</c:formatCode>
                <c:ptCount val="13"/>
                <c:pt idx="0">
                  <c:v>1517</c:v>
                </c:pt>
                <c:pt idx="1">
                  <c:v>1487</c:v>
                </c:pt>
                <c:pt idx="2">
                  <c:v>1553</c:v>
                </c:pt>
                <c:pt idx="3">
                  <c:v>1238</c:v>
                </c:pt>
                <c:pt idx="4">
                  <c:v>1438</c:v>
                </c:pt>
                <c:pt idx="5">
                  <c:v>1030</c:v>
                </c:pt>
                <c:pt idx="12">
                  <c:v>8263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EE-4E74-BB8F-A481A150E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'Pernocta evol mensu TF cat'!$C$73:$D$73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FEE-4E74-BB8F-A481A150E38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'Pernocta evol mensu TF cat'!$A$9:$A$21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'Pernocta evol mensu TF cat'!$C$75:$C$87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2317</c:v>
                      </c:pt>
                      <c:pt idx="1">
                        <c:v>3034</c:v>
                      </c:pt>
                      <c:pt idx="2">
                        <c:v>1165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FEE-4E74-BB8F-A481A150E38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'Pernocta evol mensu TF cat'!$N$74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EE-4E74-BB8F-A481A150E38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EE-4E74-BB8F-A481A150E38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EE-4E74-BB8F-A481A150E38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EE-4E74-BB8F-A481A150E38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EE-4E74-BB8F-A481A150E38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EE-4E74-BB8F-A481A150E38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EE-4E74-BB8F-A481A150E38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EE-4E74-BB8F-A481A150E38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EE-4E74-BB8F-A481A150E38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EE-4E74-BB8F-A481A150E38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EE-4E74-BB8F-A481A150E38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EE-4E74-BB8F-A481A150E38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EE-4E74-BB8F-A481A150E389}"/>
              </c:ext>
            </c:extLst>
          </c:dPt>
          <c:cat>
            <c:strRef>
              <c:f>'Pernocta evol mensu TF cat'!$B$75:$B$86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'Pernocta evol mensu TF cat'!$N$75:$N$87</c:f>
              <c:numCache>
                <c:formatCode>0.0%</c:formatCode>
                <c:ptCount val="13"/>
                <c:pt idx="0">
                  <c:v>1.9489247311827995E-2</c:v>
                </c:pt>
                <c:pt idx="1">
                  <c:v>-0.1095808383233533</c:v>
                </c:pt>
                <c:pt idx="2">
                  <c:v>9.0968161143600845E-3</c:v>
                </c:pt>
                <c:pt idx="3">
                  <c:v>5.8119658119658135E-2</c:v>
                </c:pt>
                <c:pt idx="4">
                  <c:v>0.43943943943943942</c:v>
                </c:pt>
                <c:pt idx="5">
                  <c:v>-2.1842355175688555E-2</c:v>
                </c:pt>
                <c:pt idx="12">
                  <c:v>4.343982826114412E-2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FEE-4E74-BB8F-A481A150E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ax val="3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95-4FEC-9254-2B94C5BF3500}"/>
              </c:ext>
            </c:extLst>
          </c:dPt>
          <c:val>
            <c:numRef>
              <c:f>'EM evol menusual lugar resd'!$I$9:$I$21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95-4FEC-9254-2B94C5BF3500}"/>
            </c:ext>
          </c:extLst>
        </c:ser>
        <c:ser>
          <c:idx val="0"/>
          <c:order val="2"/>
          <c:tx>
            <c:strRef>
              <c:f>'EM evol menusual lugar resd'!$K$7:$L$7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95-4FEC-9254-2B94C5BF350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resd'!$K$9:$K$21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2.7401171303074672</c:v>
                </c:pt>
                <c:pt idx="11">
                  <c:v>2.5476281560826322</c:v>
                </c:pt>
                <c:pt idx="12">
                  <c:v>2.6538649194953647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95-4FEC-9254-2B94C5BF3500}"/>
            </c:ext>
          </c:extLst>
        </c:ser>
        <c:ser>
          <c:idx val="1"/>
          <c:order val="3"/>
          <c:tx>
            <c:strRef>
              <c:f>'EM evol menusual lugar resd'!$M$7:$N$7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95-4FEC-9254-2B94C5BF350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695-4FEC-9254-2B94C5BF350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resd'!$M$9:$M$21</c:f>
              <c:numCache>
                <c:formatCode>0.00</c:formatCode>
                <c:ptCount val="13"/>
                <c:pt idx="0">
                  <c:v>2.6840519676143852</c:v>
                </c:pt>
                <c:pt idx="1">
                  <c:v>3.1261325703385787</c:v>
                </c:pt>
                <c:pt idx="2">
                  <c:v>2.6383377012354923</c:v>
                </c:pt>
                <c:pt idx="3">
                  <c:v>2.7806406685236769</c:v>
                </c:pt>
                <c:pt idx="4">
                  <c:v>2.6832733093237295</c:v>
                </c:pt>
                <c:pt idx="5">
                  <c:v>2.8302986161689732</c:v>
                </c:pt>
                <c:pt idx="12">
                  <c:v>2.7768817204301075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695-4FEC-9254-2B94C5BF3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695-4FEC-9254-2B94C5BF350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2.6174716182412929</c:v>
                      </c:pt>
                      <c:pt idx="1">
                        <c:v>2.6762455682030231</c:v>
                      </c:pt>
                      <c:pt idx="2">
                        <c:v>2.599636032757052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2.499459848757652</c:v>
                      </c:pt>
                      <c:pt idx="8">
                        <c:v>2.135487528344671</c:v>
                      </c:pt>
                      <c:pt idx="9">
                        <c:v>2.0425170068027212</c:v>
                      </c:pt>
                      <c:pt idx="10">
                        <c:v>2.0164492342597846</c:v>
                      </c:pt>
                      <c:pt idx="11">
                        <c:v>2.2569676700111483</c:v>
                      </c:pt>
                      <c:pt idx="12">
                        <c:v>2.437843193922629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695-4FEC-9254-2B94C5BF350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95-4FEC-9254-2B94C5BF350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95-4FEC-9254-2B94C5BF350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95-4FEC-9254-2B94C5BF350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95-4FEC-9254-2B94C5BF350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95-4FEC-9254-2B94C5BF350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95-4FEC-9254-2B94C5BF350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95-4FEC-9254-2B94C5BF350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95-4FEC-9254-2B94C5BF350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95-4FEC-9254-2B94C5BF350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95-4FEC-9254-2B94C5BF350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95-4FEC-9254-2B94C5BF350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95-4FEC-9254-2B94C5BF350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95-4FEC-9254-2B94C5BF3500}"/>
              </c:ext>
            </c:extLst>
          </c:dPt>
          <c:cat>
            <c:strRef>
              <c:f>'EM evol menusual lugar resd'!$B$9:$B$20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resd'!$N$9:$N$21</c:f>
              <c:numCache>
                <c:formatCode>0.00</c:formatCode>
                <c:ptCount val="13"/>
                <c:pt idx="0">
                  <c:v>-0.11084931664860109</c:v>
                </c:pt>
                <c:pt idx="1">
                  <c:v>-2.5647567075537392E-2</c:v>
                </c:pt>
                <c:pt idx="2">
                  <c:v>-0.32064062693788253</c:v>
                </c:pt>
                <c:pt idx="3">
                  <c:v>0.1215587532090745</c:v>
                </c:pt>
                <c:pt idx="4">
                  <c:v>0.17666273240065244</c:v>
                </c:pt>
                <c:pt idx="5">
                  <c:v>0.27858317721841797</c:v>
                </c:pt>
                <c:pt idx="12">
                  <c:v>4.7690702043912125E-5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695-4FEC-9254-2B94C5BF3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FC-4795-A00E-0412F4FDFA2B}"/>
              </c:ext>
            </c:extLst>
          </c:dPt>
          <c:val>
            <c:numRef>
              <c:f>'EM evol menusual lugar resd'!$I$31:$I$43</c:f>
              <c:numCache>
                <c:formatCode>0.00</c:formatCode>
                <c:ptCount val="13"/>
                <c:pt idx="0">
                  <c:v>1.8540433925049309</c:v>
                </c:pt>
                <c:pt idx="1">
                  <c:v>1.8500483714930667</c:v>
                </c:pt>
                <c:pt idx="2">
                  <c:v>1.8848289973691903</c:v>
                </c:pt>
                <c:pt idx="3">
                  <c:v>1.7696677080374894</c:v>
                </c:pt>
                <c:pt idx="4">
                  <c:v>2.0239369191776966</c:v>
                </c:pt>
                <c:pt idx="5">
                  <c:v>1.9933008526187577</c:v>
                </c:pt>
                <c:pt idx="6">
                  <c:v>1.9799121155053359</c:v>
                </c:pt>
                <c:pt idx="7">
                  <c:v>2.120403321470937</c:v>
                </c:pt>
                <c:pt idx="8">
                  <c:v>1.8982850384387937</c:v>
                </c:pt>
                <c:pt idx="9">
                  <c:v>1.9529203539823008</c:v>
                </c:pt>
                <c:pt idx="10">
                  <c:v>1.8118126272912423</c:v>
                </c:pt>
                <c:pt idx="11">
                  <c:v>1.8590240123934934</c:v>
                </c:pt>
                <c:pt idx="12">
                  <c:v>1.9201526960394464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FC-4795-A00E-0412F4FDFA2B}"/>
            </c:ext>
          </c:extLst>
        </c:ser>
        <c:ser>
          <c:idx val="0"/>
          <c:order val="2"/>
          <c:tx>
            <c:strRef>
              <c:f>'EM evol menusual lugar resd'!$K$29:$L$29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FC-4795-A00E-0412F4FDFA2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resd'!$K$31:$K$43</c:f>
              <c:numCache>
                <c:formatCode>0.00</c:formatCode>
                <c:ptCount val="13"/>
                <c:pt idx="0">
                  <c:v>1.7593017914561322</c:v>
                </c:pt>
                <c:pt idx="1">
                  <c:v>2.2994923857868019</c:v>
                </c:pt>
                <c:pt idx="2">
                  <c:v>1.9806231003039514</c:v>
                </c:pt>
                <c:pt idx="3">
                  <c:v>1.8177655677655677</c:v>
                </c:pt>
                <c:pt idx="4">
                  <c:v>1.8523102310231023</c:v>
                </c:pt>
                <c:pt idx="5">
                  <c:v>2.0435505319148937</c:v>
                </c:pt>
                <c:pt idx="6">
                  <c:v>1.9556135770234986</c:v>
                </c:pt>
                <c:pt idx="7">
                  <c:v>2.7328288707799766</c:v>
                </c:pt>
                <c:pt idx="8">
                  <c:v>1.8101173020527859</c:v>
                </c:pt>
                <c:pt idx="9">
                  <c:v>1.8134092346616066</c:v>
                </c:pt>
                <c:pt idx="10">
                  <c:v>2.2344701583434836</c:v>
                </c:pt>
                <c:pt idx="11">
                  <c:v>1.9500310366232154</c:v>
                </c:pt>
                <c:pt idx="12">
                  <c:v>1.9837804639736467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FC-4795-A00E-0412F4FDFA2B}"/>
            </c:ext>
          </c:extLst>
        </c:ser>
        <c:ser>
          <c:idx val="1"/>
          <c:order val="3"/>
          <c:tx>
            <c:strRef>
              <c:f>'EM evol menusual lugar resd'!$M$29:$N$29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FC-4795-A00E-0412F4FDFA2B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1FC-4795-A00E-0412F4FDFA2B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resd'!$M$31:$M$43</c:f>
              <c:numCache>
                <c:formatCode>0.00</c:formatCode>
                <c:ptCount val="13"/>
                <c:pt idx="0">
                  <c:v>1.8163650075414781</c:v>
                </c:pt>
                <c:pt idx="1">
                  <c:v>2.1857954545454548</c:v>
                </c:pt>
                <c:pt idx="2">
                  <c:v>1.7477379659790084</c:v>
                </c:pt>
                <c:pt idx="3">
                  <c:v>2.1689594356261024</c:v>
                </c:pt>
                <c:pt idx="4">
                  <c:v>2.14046061984646</c:v>
                </c:pt>
                <c:pt idx="5">
                  <c:v>2.3801732435033687</c:v>
                </c:pt>
                <c:pt idx="12">
                  <c:v>2.0781663061763997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FC-4795-A00E-0412F4FDF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1FC-4795-A00E-0412F4FDFA2B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1.9042170644001308</c:v>
                      </c:pt>
                      <c:pt idx="1">
                        <c:v>1.7546553413917021</c:v>
                      </c:pt>
                      <c:pt idx="2">
                        <c:v>1.6356821589205397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2.3508196721311476</c:v>
                      </c:pt>
                      <c:pt idx="8">
                        <c:v>2.1324549237170598</c:v>
                      </c:pt>
                      <c:pt idx="9">
                        <c:v>2.0562546262028127</c:v>
                      </c:pt>
                      <c:pt idx="10">
                        <c:v>1.9450636942675159</c:v>
                      </c:pt>
                      <c:pt idx="11">
                        <c:v>2.1720807726075506</c:v>
                      </c:pt>
                      <c:pt idx="12">
                        <c:v>1.9846470698371093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1FC-4795-A00E-0412F4FDFA2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resd'!$N$30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1FC-4795-A00E-0412F4FDFA2B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1FC-4795-A00E-0412F4FDFA2B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1FC-4795-A00E-0412F4FDFA2B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1FC-4795-A00E-0412F4FDFA2B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FC-4795-A00E-0412F4FDFA2B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FC-4795-A00E-0412F4FDFA2B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FC-4795-A00E-0412F4FDFA2B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FC-4795-A00E-0412F4FDFA2B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FC-4795-A00E-0412F4FDFA2B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FC-4795-A00E-0412F4FDFA2B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FC-4795-A00E-0412F4FDFA2B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FC-4795-A00E-0412F4FDFA2B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FC-4795-A00E-0412F4FDFA2B}"/>
              </c:ext>
            </c:extLst>
          </c:dPt>
          <c:cat>
            <c:strRef>
              <c:f>'EM evol menusual lugar resd'!$B$31:$B$42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resd'!$N$31:$N$43</c:f>
              <c:numCache>
                <c:formatCode>0.00</c:formatCode>
                <c:ptCount val="13"/>
                <c:pt idx="0">
                  <c:v>5.7063216085345925E-2</c:v>
                </c:pt>
                <c:pt idx="1">
                  <c:v>-0.11369693124134717</c:v>
                </c:pt>
                <c:pt idx="2">
                  <c:v>-0.23288513432494296</c:v>
                </c:pt>
                <c:pt idx="3">
                  <c:v>0.35119386786053464</c:v>
                </c:pt>
                <c:pt idx="4">
                  <c:v>0.28815038882335764</c:v>
                </c:pt>
                <c:pt idx="5">
                  <c:v>0.33662271158847501</c:v>
                </c:pt>
                <c:pt idx="12">
                  <c:v>0.13314973420670273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1FC-4795-A00E-0412F4FDF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0B-41DD-899E-5F97B262E38F}"/>
              </c:ext>
            </c:extLst>
          </c:dPt>
          <c:val>
            <c:numRef>
              <c:f>'EM evol menusual lugar resd'!$I$53:$I$65</c:f>
              <c:numCache>
                <c:formatCode>0.00</c:formatCode>
                <c:ptCount val="13"/>
                <c:pt idx="0">
                  <c:v>2.1779062299293512</c:v>
                </c:pt>
                <c:pt idx="1">
                  <c:v>1.910030627871363</c:v>
                </c:pt>
                <c:pt idx="2">
                  <c:v>1.9119541875447388</c:v>
                </c:pt>
                <c:pt idx="3">
                  <c:v>1.8283518360375748</c:v>
                </c:pt>
                <c:pt idx="4">
                  <c:v>2.3117593436645398</c:v>
                </c:pt>
                <c:pt idx="5">
                  <c:v>2.1816707218167073</c:v>
                </c:pt>
                <c:pt idx="6">
                  <c:v>2.1775417298937785</c:v>
                </c:pt>
                <c:pt idx="7">
                  <c:v>2.29901707190895</c:v>
                </c:pt>
                <c:pt idx="8">
                  <c:v>1.996734693877551</c:v>
                </c:pt>
                <c:pt idx="9">
                  <c:v>2.0656192236598891</c:v>
                </c:pt>
                <c:pt idx="10">
                  <c:v>1.8906950672645739</c:v>
                </c:pt>
                <c:pt idx="11">
                  <c:v>2.0252631578947367</c:v>
                </c:pt>
                <c:pt idx="12">
                  <c:v>2.0556463538018521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0B-41DD-899E-5F97B262E38F}"/>
            </c:ext>
          </c:extLst>
        </c:ser>
        <c:ser>
          <c:idx val="0"/>
          <c:order val="2"/>
          <c:tx>
            <c:strRef>
              <c:f>'EM evol menusual lugar resd'!$K$51:$L$51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0B-41DD-899E-5F97B262E38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resd'!$K$53:$K$65</c:f>
              <c:numCache>
                <c:formatCode>0.00</c:formatCode>
                <c:ptCount val="13"/>
                <c:pt idx="0">
                  <c:v>1.8096885813148789</c:v>
                </c:pt>
                <c:pt idx="1">
                  <c:v>2.0161987041036715</c:v>
                </c:pt>
                <c:pt idx="2">
                  <c:v>2.1184280403611258</c:v>
                </c:pt>
                <c:pt idx="3">
                  <c:v>1.8955807587016034</c:v>
                </c:pt>
                <c:pt idx="4">
                  <c:v>2.032228778937812</c:v>
                </c:pt>
                <c:pt idx="5">
                  <c:v>2.174083769633508</c:v>
                </c:pt>
                <c:pt idx="6">
                  <c:v>2.2250136537411249</c:v>
                </c:pt>
                <c:pt idx="7">
                  <c:v>2.3365758754863815</c:v>
                </c:pt>
                <c:pt idx="8">
                  <c:v>2.0187553282182438</c:v>
                </c:pt>
                <c:pt idx="9">
                  <c:v>2.0150204824761038</c:v>
                </c:pt>
                <c:pt idx="10">
                  <c:v>2.0650684931506849</c:v>
                </c:pt>
                <c:pt idx="11">
                  <c:v>2.1170091324200913</c:v>
                </c:pt>
                <c:pt idx="12">
                  <c:v>2.0637738055462744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0B-41DD-899E-5F97B262E38F}"/>
            </c:ext>
          </c:extLst>
        </c:ser>
        <c:ser>
          <c:idx val="1"/>
          <c:order val="3"/>
          <c:tx>
            <c:strRef>
              <c:f>'EM evol menusual lugar resd'!$M$51:$N$51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0B-41DD-899E-5F97B262E38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0B-41DD-899E-5F97B262E38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resd'!$M$53:$M$65</c:f>
              <c:numCache>
                <c:formatCode>0.00</c:formatCode>
                <c:ptCount val="13"/>
                <c:pt idx="0">
                  <c:v>1.9697488584474885</c:v>
                </c:pt>
                <c:pt idx="1">
                  <c:v>1.8417213712618528</c:v>
                </c:pt>
                <c:pt idx="2">
                  <c:v>1.8521017125064867</c:v>
                </c:pt>
                <c:pt idx="3">
                  <c:v>2.4029925187032419</c:v>
                </c:pt>
                <c:pt idx="4">
                  <c:v>2.077142857142857</c:v>
                </c:pt>
                <c:pt idx="5">
                  <c:v>2.0606205250596661</c:v>
                </c:pt>
                <c:pt idx="12">
                  <c:v>2.0481777777777777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20B-41DD-899E-5F97B262E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20B-41DD-899E-5F97B262E38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2.4701986754966887</c:v>
                      </c:pt>
                      <c:pt idx="1">
                        <c:v>2.0367700072098054</c:v>
                      </c:pt>
                      <c:pt idx="2">
                        <c:v>1.8451612903225807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2.4185218165627784</c:v>
                      </c:pt>
                      <c:pt idx="8">
                        <c:v>2.3158584534731324</c:v>
                      </c:pt>
                      <c:pt idx="9">
                        <c:v>2.404040404040404</c:v>
                      </c:pt>
                      <c:pt idx="10">
                        <c:v>2.1905737704918034</c:v>
                      </c:pt>
                      <c:pt idx="11">
                        <c:v>1.8355795148247978</c:v>
                      </c:pt>
                      <c:pt idx="12">
                        <c:v>2.2143343779806512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20B-41DD-899E-5F97B262E38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resd'!$N$52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20B-41DD-899E-5F97B262E38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20B-41DD-899E-5F97B262E38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0B-41DD-899E-5F97B262E38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0B-41DD-899E-5F97B262E38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0B-41DD-899E-5F97B262E38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0B-41DD-899E-5F97B262E38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0B-41DD-899E-5F97B262E38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0B-41DD-899E-5F97B262E38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0B-41DD-899E-5F97B262E38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0B-41DD-899E-5F97B262E38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0B-41DD-899E-5F97B262E38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0B-41DD-899E-5F97B262E38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0B-41DD-899E-5F97B262E38F}"/>
              </c:ext>
            </c:extLst>
          </c:dPt>
          <c:cat>
            <c:strRef>
              <c:f>'EM evol menusual lugar resd'!$B$53:$B$64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resd'!$N$53:$N$65</c:f>
              <c:numCache>
                <c:formatCode>0.00</c:formatCode>
                <c:ptCount val="13"/>
                <c:pt idx="0">
                  <c:v>0.16006027713260962</c:v>
                </c:pt>
                <c:pt idx="1">
                  <c:v>-0.17447733284181877</c:v>
                </c:pt>
                <c:pt idx="2">
                  <c:v>-0.26632632785463906</c:v>
                </c:pt>
                <c:pt idx="3">
                  <c:v>0.50741176000163857</c:v>
                </c:pt>
                <c:pt idx="4">
                  <c:v>4.4914078205045005E-2</c:v>
                </c:pt>
                <c:pt idx="5">
                  <c:v>-0.11346324457384194</c:v>
                </c:pt>
                <c:pt idx="12">
                  <c:v>3.3380524671172029E-2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20B-41DD-899E-5F97B262E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83-4673-A00B-4DC8D3AF091D}"/>
              </c:ext>
            </c:extLst>
          </c:dPt>
          <c:val>
            <c:numRef>
              <c:f>'EM evol menusual lugar resd'!$I$75:$I$87</c:f>
              <c:numCache>
                <c:formatCode>0.00</c:formatCode>
                <c:ptCount val="13"/>
                <c:pt idx="0">
                  <c:v>1.5144781144781145</c:v>
                </c:pt>
                <c:pt idx="1">
                  <c:v>1.5296523517382412</c:v>
                </c:pt>
                <c:pt idx="2">
                  <c:v>1.7639553429027113</c:v>
                </c:pt>
                <c:pt idx="3">
                  <c:v>1.6530958439355385</c:v>
                </c:pt>
                <c:pt idx="4">
                  <c:v>1.5585851142225498</c:v>
                </c:pt>
                <c:pt idx="5">
                  <c:v>1.4254278728606358</c:v>
                </c:pt>
                <c:pt idx="6">
                  <c:v>1.6567411083540116</c:v>
                </c:pt>
                <c:pt idx="7">
                  <c:v>1.88047255038221</c:v>
                </c:pt>
                <c:pt idx="8">
                  <c:v>1.6394849785407726</c:v>
                </c:pt>
                <c:pt idx="9">
                  <c:v>1.5839636913767019</c:v>
                </c:pt>
                <c:pt idx="10">
                  <c:v>1.6020864381520119</c:v>
                </c:pt>
                <c:pt idx="11">
                  <c:v>1.6542783059636992</c:v>
                </c:pt>
                <c:pt idx="12">
                  <c:v>1.6305721889554226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83-4673-A00B-4DC8D3AF091D}"/>
            </c:ext>
          </c:extLst>
        </c:ser>
        <c:ser>
          <c:idx val="0"/>
          <c:order val="2"/>
          <c:tx>
            <c:strRef>
              <c:f>'EM evol menusual lugar resd'!$K$73:$L$73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83-4673-A00B-4DC8D3AF091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resd'!$K$75:$K$87</c:f>
              <c:numCache>
                <c:formatCode>0.00</c:formatCode>
                <c:ptCount val="13"/>
                <c:pt idx="0">
                  <c:v>1.6598360655737705</c:v>
                </c:pt>
                <c:pt idx="1">
                  <c:v>3.9650793650793652</c:v>
                </c:pt>
                <c:pt idx="2">
                  <c:v>1.6341789052069426</c:v>
                </c:pt>
                <c:pt idx="3">
                  <c:v>1.5410292072322671</c:v>
                </c:pt>
                <c:pt idx="4">
                  <c:v>1.5757152826238661</c:v>
                </c:pt>
                <c:pt idx="5">
                  <c:v>1.6256983240223464</c:v>
                </c:pt>
                <c:pt idx="6">
                  <c:v>1.6503712871287128</c:v>
                </c:pt>
                <c:pt idx="7">
                  <c:v>6.2045454545454541</c:v>
                </c:pt>
                <c:pt idx="8">
                  <c:v>1.5297823596792668</c:v>
                </c:pt>
                <c:pt idx="9">
                  <c:v>1.3544041450777202</c:v>
                </c:pt>
                <c:pt idx="10">
                  <c:v>2.5137096774193548</c:v>
                </c:pt>
                <c:pt idx="11">
                  <c:v>1.7510204081632652</c:v>
                </c:pt>
                <c:pt idx="12">
                  <c:v>1.8225141028879346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83-4673-A00B-4DC8D3AF091D}"/>
            </c:ext>
          </c:extLst>
        </c:ser>
        <c:ser>
          <c:idx val="1"/>
          <c:order val="3"/>
          <c:tx>
            <c:strRef>
              <c:f>'EM evol menusual lugar resd'!$M$73:$N$73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83-4673-A00B-4DC8D3AF091D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83-4673-A00B-4DC8D3AF091D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resd'!$M$75:$M$87</c:f>
              <c:numCache>
                <c:formatCode>0.00</c:formatCode>
                <c:ptCount val="13"/>
                <c:pt idx="0">
                  <c:v>1.5177777777777777</c:v>
                </c:pt>
                <c:pt idx="1">
                  <c:v>3.3984575835475579</c:v>
                </c:pt>
                <c:pt idx="2">
                  <c:v>1.5071770334928229</c:v>
                </c:pt>
                <c:pt idx="3">
                  <c:v>1.6036144578313254</c:v>
                </c:pt>
                <c:pt idx="4">
                  <c:v>2.2342978122794634</c:v>
                </c:pt>
                <c:pt idx="5">
                  <c:v>3.0352250489236789</c:v>
                </c:pt>
                <c:pt idx="12">
                  <c:v>2.1407119021134595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083-4673-A00B-4DC8D3AF0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5083-4673-A00B-4DC8D3AF091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1.5348460291734198</c:v>
                      </c:pt>
                      <c:pt idx="1">
                        <c:v>1.5209080047789725</c:v>
                      </c:pt>
                      <c:pt idx="2">
                        <c:v>1.453781512605042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2.2756916996047432</c:v>
                      </c:pt>
                      <c:pt idx="8">
                        <c:v>1.9263622974963182</c:v>
                      </c:pt>
                      <c:pt idx="9">
                        <c:v>1.5635062611806798</c:v>
                      </c:pt>
                      <c:pt idx="10">
                        <c:v>1.7890625</c:v>
                      </c:pt>
                      <c:pt idx="11">
                        <c:v>2.3346354166666665</c:v>
                      </c:pt>
                      <c:pt idx="12">
                        <c:v>1.7905343159834177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5083-4673-A00B-4DC8D3AF091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resd'!$N$74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83-4673-A00B-4DC8D3AF091D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83-4673-A00B-4DC8D3AF091D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83-4673-A00B-4DC8D3AF091D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83-4673-A00B-4DC8D3AF091D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83-4673-A00B-4DC8D3AF091D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83-4673-A00B-4DC8D3AF091D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83-4673-A00B-4DC8D3AF091D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83-4673-A00B-4DC8D3AF091D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83-4673-A00B-4DC8D3AF091D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83-4673-A00B-4DC8D3AF091D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83-4673-A00B-4DC8D3AF091D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83-4673-A00B-4DC8D3AF091D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83-4673-A00B-4DC8D3AF091D}"/>
              </c:ext>
            </c:extLst>
          </c:dPt>
          <c:cat>
            <c:strRef>
              <c:f>'EM evol menusual lugar resd'!$B$75:$B$86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resd'!$N$75:$N$87</c:f>
              <c:numCache>
                <c:formatCode>0.00</c:formatCode>
                <c:ptCount val="13"/>
                <c:pt idx="0">
                  <c:v>-0.14205828779599283</c:v>
                </c:pt>
                <c:pt idx="1">
                  <c:v>-0.56662178153180731</c:v>
                </c:pt>
                <c:pt idx="2">
                  <c:v>-0.1270018717141197</c:v>
                </c:pt>
                <c:pt idx="3">
                  <c:v>6.2585250599058284E-2</c:v>
                </c:pt>
                <c:pt idx="4">
                  <c:v>0.65858252965559738</c:v>
                </c:pt>
                <c:pt idx="5">
                  <c:v>1.4095267249013326</c:v>
                </c:pt>
                <c:pt idx="12">
                  <c:v>0.37870504104999458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083-4673-A00B-4DC8D3AF0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resd'!$I$95:$J$95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18-4B5A-A28C-7CA2B5B2DECF}"/>
              </c:ext>
            </c:extLst>
          </c:dPt>
          <c:val>
            <c:numRef>
              <c:f>'EM evol menusual lugar resd'!$I$97:$I$109</c:f>
              <c:numCache>
                <c:formatCode>0.00</c:formatCode>
                <c:ptCount val="13"/>
                <c:pt idx="0">
                  <c:v>3.7108177172061327</c:v>
                </c:pt>
                <c:pt idx="1">
                  <c:v>3.9253112033195019</c:v>
                </c:pt>
                <c:pt idx="2">
                  <c:v>4.0907059874888292</c:v>
                </c:pt>
                <c:pt idx="3">
                  <c:v>3.9248029108550635</c:v>
                </c:pt>
                <c:pt idx="4">
                  <c:v>3.8344733242134064</c:v>
                </c:pt>
                <c:pt idx="5">
                  <c:v>4.2664437012263097</c:v>
                </c:pt>
                <c:pt idx="6">
                  <c:v>2.8474870017331022</c:v>
                </c:pt>
                <c:pt idx="7">
                  <c:v>3.7085624509033779</c:v>
                </c:pt>
                <c:pt idx="8">
                  <c:v>3.6751536435469712</c:v>
                </c:pt>
                <c:pt idx="9">
                  <c:v>3.5069008782936009</c:v>
                </c:pt>
                <c:pt idx="10">
                  <c:v>3.4946193702670385</c:v>
                </c:pt>
                <c:pt idx="11">
                  <c:v>3.5267099350973541</c:v>
                </c:pt>
                <c:pt idx="12">
                  <c:v>3.714313677514069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18-4B5A-A28C-7CA2B5B2DECF}"/>
            </c:ext>
          </c:extLst>
        </c:ser>
        <c:ser>
          <c:idx val="0"/>
          <c:order val="2"/>
          <c:tx>
            <c:strRef>
              <c:f>'EM evol menusual lugar resd'!$K$95:$L$95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18-4B5A-A28C-7CA2B5B2DEC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resd'!$K$97:$K$109</c:f>
              <c:numCache>
                <c:formatCode>0.00</c:formatCode>
                <c:ptCount val="13"/>
                <c:pt idx="0">
                  <c:v>3.5365131578947366</c:v>
                </c:pt>
                <c:pt idx="1">
                  <c:v>3.8524279210925645</c:v>
                </c:pt>
                <c:pt idx="2">
                  <c:v>3.9743690851735014</c:v>
                </c:pt>
                <c:pt idx="3">
                  <c:v>4.209223847019123</c:v>
                </c:pt>
                <c:pt idx="4">
                  <c:v>4.2610619469026547</c:v>
                </c:pt>
                <c:pt idx="5">
                  <c:v>4.1506276150627617</c:v>
                </c:pt>
                <c:pt idx="6">
                  <c:v>2.9659685863874348</c:v>
                </c:pt>
                <c:pt idx="7">
                  <c:v>3.8645215918712954</c:v>
                </c:pt>
                <c:pt idx="8">
                  <c:v>3.9577889447236183</c:v>
                </c:pt>
                <c:pt idx="9">
                  <c:v>3.6727376209447922</c:v>
                </c:pt>
                <c:pt idx="10">
                  <c:v>3.501834862385321</c:v>
                </c:pt>
                <c:pt idx="11">
                  <c:v>3.5074775672981056</c:v>
                </c:pt>
                <c:pt idx="12">
                  <c:v>3.7668196782120833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18-4B5A-A28C-7CA2B5B2DECF}"/>
            </c:ext>
          </c:extLst>
        </c:ser>
        <c:ser>
          <c:idx val="1"/>
          <c:order val="3"/>
          <c:tx>
            <c:strRef>
              <c:f>'EM evol menusual lugar resd'!$M$95:$N$95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E18-4B5A-A28C-7CA2B5B2DEC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18-4B5A-A28C-7CA2B5B2DEC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resd'!$M$97:$M$109</c:f>
              <c:numCache>
                <c:formatCode>0.00</c:formatCode>
                <c:ptCount val="13"/>
                <c:pt idx="0">
                  <c:v>3.5494546822113575</c:v>
                </c:pt>
                <c:pt idx="1">
                  <c:v>3.8060805258833197</c:v>
                </c:pt>
                <c:pt idx="2">
                  <c:v>3.5924777045366421</c:v>
                </c:pt>
                <c:pt idx="3">
                  <c:v>3.9579090291921251</c:v>
                </c:pt>
                <c:pt idx="4">
                  <c:v>3.9723160027008779</c:v>
                </c:pt>
                <c:pt idx="5">
                  <c:v>4.2305389221556888</c:v>
                </c:pt>
                <c:pt idx="12">
                  <c:v>3.7770037839697284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18-4B5A-A28C-7CA2B5B2D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resd'!$C$95:$D$95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E18-4B5A-A28C-7CA2B5B2DEC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resd'!$C$97:$C$109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3.6379794200187092</c:v>
                      </c:pt>
                      <c:pt idx="1">
                        <c:v>3.9038294168842471</c:v>
                      </c:pt>
                      <c:pt idx="2">
                        <c:v>4.0879629629629628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2.9937694704049846</c:v>
                      </c:pt>
                      <c:pt idx="8">
                        <c:v>2.1490683229813663</c:v>
                      </c:pt>
                      <c:pt idx="9">
                        <c:v>1.9975786924939467</c:v>
                      </c:pt>
                      <c:pt idx="10">
                        <c:v>2.193293885601578</c:v>
                      </c:pt>
                      <c:pt idx="11">
                        <c:v>2.4045801526717558</c:v>
                      </c:pt>
                      <c:pt idx="12">
                        <c:v>3.3236155159795073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E18-4B5A-A28C-7CA2B5B2DEC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resd'!$N$96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18-4B5A-A28C-7CA2B5B2DEC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18-4B5A-A28C-7CA2B5B2DEC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18-4B5A-A28C-7CA2B5B2DEC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18-4B5A-A28C-7CA2B5B2DEC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18-4B5A-A28C-7CA2B5B2DEC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18-4B5A-A28C-7CA2B5B2DEC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18-4B5A-A28C-7CA2B5B2DEC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18-4B5A-A28C-7CA2B5B2DEC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18-4B5A-A28C-7CA2B5B2DEC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18-4B5A-A28C-7CA2B5B2DEC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18-4B5A-A28C-7CA2B5B2DEC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18-4B5A-A28C-7CA2B5B2DEC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18-4B5A-A28C-7CA2B5B2DECF}"/>
              </c:ext>
            </c:extLst>
          </c:dPt>
          <c:cat>
            <c:strRef>
              <c:f>'EM evol menusual lugar resd'!$B$97:$B$108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resd'!$N$97:$N$109</c:f>
              <c:numCache>
                <c:formatCode>0.00</c:formatCode>
                <c:ptCount val="13"/>
                <c:pt idx="0">
                  <c:v>1.2941524316620878E-2</c:v>
                </c:pt>
                <c:pt idx="1">
                  <c:v>-4.6347395209244802E-2</c:v>
                </c:pt>
                <c:pt idx="2">
                  <c:v>-0.38189138063685935</c:v>
                </c:pt>
                <c:pt idx="3">
                  <c:v>-0.25131481782699794</c:v>
                </c:pt>
                <c:pt idx="4">
                  <c:v>-0.28874594420177679</c:v>
                </c:pt>
                <c:pt idx="5">
                  <c:v>7.9911307092927153E-2</c:v>
                </c:pt>
                <c:pt idx="12">
                  <c:v>-0.14227763368593749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E18-4B5A-A28C-7CA2B5B2D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resd'!$I$117:$J$117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7C-490F-81C0-11D6982FD350}"/>
              </c:ext>
            </c:extLst>
          </c:dPt>
          <c:val>
            <c:numRef>
              <c:f>'EM evol menusual lugar resd'!$I$119:$I$131</c:f>
              <c:numCache>
                <c:formatCode>0.00</c:formatCode>
                <c:ptCount val="13"/>
                <c:pt idx="0">
                  <c:v>4.534391534391534</c:v>
                </c:pt>
                <c:pt idx="1">
                  <c:v>4.2433090024330902</c:v>
                </c:pt>
                <c:pt idx="2">
                  <c:v>4.5290697674418601</c:v>
                </c:pt>
                <c:pt idx="3">
                  <c:v>4.4000000000000004</c:v>
                </c:pt>
                <c:pt idx="4">
                  <c:v>3.6912751677852347</c:v>
                </c:pt>
                <c:pt idx="5">
                  <c:v>4.112903225806452</c:v>
                </c:pt>
                <c:pt idx="6">
                  <c:v>2.7749999999999999</c:v>
                </c:pt>
                <c:pt idx="7">
                  <c:v>3.7320261437908497</c:v>
                </c:pt>
                <c:pt idx="8">
                  <c:v>4.6111111111111107</c:v>
                </c:pt>
                <c:pt idx="9">
                  <c:v>3.6555555555555554</c:v>
                </c:pt>
                <c:pt idx="10">
                  <c:v>3.0539568345323742</c:v>
                </c:pt>
                <c:pt idx="11">
                  <c:v>3.865203761755486</c:v>
                </c:pt>
                <c:pt idx="12">
                  <c:v>3.9989266547406084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7C-490F-81C0-11D6982FD350}"/>
            </c:ext>
          </c:extLst>
        </c:ser>
        <c:ser>
          <c:idx val="0"/>
          <c:order val="2"/>
          <c:tx>
            <c:strRef>
              <c:f>'EM evol menusual lugar resd'!$K$117:$L$117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7C-490F-81C0-11D6982FD35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resd'!$K$119:$K$131</c:f>
              <c:numCache>
                <c:formatCode>0.00</c:formatCode>
                <c:ptCount val="13"/>
                <c:pt idx="0">
                  <c:v>3.3109619686800893</c:v>
                </c:pt>
                <c:pt idx="1">
                  <c:v>4.3813559322033901</c:v>
                </c:pt>
                <c:pt idx="2">
                  <c:v>4.2471910112359552</c:v>
                </c:pt>
                <c:pt idx="3">
                  <c:v>5.560483870967742</c:v>
                </c:pt>
                <c:pt idx="4">
                  <c:v>5.503759398496241</c:v>
                </c:pt>
                <c:pt idx="5">
                  <c:v>4.71</c:v>
                </c:pt>
                <c:pt idx="6">
                  <c:v>2.5705128205128207</c:v>
                </c:pt>
                <c:pt idx="7">
                  <c:v>4.6885245901639347</c:v>
                </c:pt>
                <c:pt idx="8">
                  <c:v>4.2195121951219514</c:v>
                </c:pt>
                <c:pt idx="9">
                  <c:v>4.166666666666667</c:v>
                </c:pt>
                <c:pt idx="10">
                  <c:v>3.359375</c:v>
                </c:pt>
                <c:pt idx="11">
                  <c:v>3.3038461538461537</c:v>
                </c:pt>
                <c:pt idx="12">
                  <c:v>4.0580858085808584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7C-490F-81C0-11D6982FD350}"/>
            </c:ext>
          </c:extLst>
        </c:ser>
        <c:ser>
          <c:idx val="1"/>
          <c:order val="3"/>
          <c:tx>
            <c:strRef>
              <c:f>'EM evol menusual lugar resd'!$M$117:$N$117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E7C-490F-81C0-11D6982FD35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7C-490F-81C0-11D6982FD350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resd'!$M$119:$M$131</c:f>
              <c:numCache>
                <c:formatCode>0.00</c:formatCode>
                <c:ptCount val="13"/>
                <c:pt idx="0">
                  <c:v>3.440203562340967</c:v>
                </c:pt>
                <c:pt idx="1">
                  <c:v>3.6422594142259412</c:v>
                </c:pt>
                <c:pt idx="2">
                  <c:v>3.9305993690851735</c:v>
                </c:pt>
                <c:pt idx="3">
                  <c:v>5.1338582677165352</c:v>
                </c:pt>
                <c:pt idx="4">
                  <c:v>3.8870967741935485</c:v>
                </c:pt>
                <c:pt idx="5">
                  <c:v>4</c:v>
                </c:pt>
                <c:pt idx="12">
                  <c:v>3.8176546391752577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7C-490F-81C0-11D6982FD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resd'!$C$117:$D$117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4E7C-490F-81C0-11D6982FD35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resd'!$C$119:$C$131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4.0140056022408963</c:v>
                      </c:pt>
                      <c:pt idx="1">
                        <c:v>4.5580952380952384</c:v>
                      </c:pt>
                      <c:pt idx="2">
                        <c:v>5.4910714285714288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2.75</c:v>
                      </c:pt>
                      <c:pt idx="8">
                        <c:v>1.75</c:v>
                      </c:pt>
                      <c:pt idx="9">
                        <c:v>1.8</c:v>
                      </c:pt>
                      <c:pt idx="10">
                        <c:v>2.1458333333333335</c:v>
                      </c:pt>
                      <c:pt idx="11">
                        <c:v>1.8378378378378379</c:v>
                      </c:pt>
                      <c:pt idx="12">
                        <c:v>3.8967391304347827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4E7C-490F-81C0-11D6982FD35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resd'!$N$118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7C-490F-81C0-11D6982FD35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7C-490F-81C0-11D6982FD35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7C-490F-81C0-11D6982FD35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7C-490F-81C0-11D6982FD35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7C-490F-81C0-11D6982FD35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7C-490F-81C0-11D6982FD35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7C-490F-81C0-11D6982FD35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7C-490F-81C0-11D6982FD35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7C-490F-81C0-11D6982FD35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7C-490F-81C0-11D6982FD35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7C-490F-81C0-11D6982FD35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7C-490F-81C0-11D6982FD35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7C-490F-81C0-11D6982FD350}"/>
              </c:ext>
            </c:extLst>
          </c:dPt>
          <c:cat>
            <c:strRef>
              <c:f>'EM evol menusual lugar resd'!$B$119:$B$130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resd'!$N$119:$N$131</c:f>
              <c:numCache>
                <c:formatCode>0.00</c:formatCode>
                <c:ptCount val="13"/>
                <c:pt idx="0">
                  <c:v>0.12924159366087773</c:v>
                </c:pt>
                <c:pt idx="1">
                  <c:v>-0.73909651797744891</c:v>
                </c:pt>
                <c:pt idx="2">
                  <c:v>-0.31659164215078173</c:v>
                </c:pt>
                <c:pt idx="3">
                  <c:v>-0.4266256032512068</c:v>
                </c:pt>
                <c:pt idx="4">
                  <c:v>-1.6166626243026925</c:v>
                </c:pt>
                <c:pt idx="5">
                  <c:v>-0.71</c:v>
                </c:pt>
                <c:pt idx="12">
                  <c:v>-0.52922882965943074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E7C-490F-81C0-11D6982FD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6198377665"/>
          <c:y val="0.14880802061904425"/>
          <c:w val="0.85077925409699728"/>
          <c:h val="0.44673508775094251"/>
        </c:manualLayout>
      </c:layout>
      <c:lineChart>
        <c:grouping val="standard"/>
        <c:varyColors val="0"/>
        <c:ser>
          <c:idx val="5"/>
          <c:order val="2"/>
          <c:tx>
            <c:strRef>
              <c:f>'EM evol menusual lugar resd'!$I$139:$J$139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DB-4ECD-A907-7FD1D5D31D9C}"/>
              </c:ext>
            </c:extLst>
          </c:dPt>
          <c:val>
            <c:numRef>
              <c:f>'EM evol menusual lugar resd'!$I$141:$I$153</c:f>
              <c:numCache>
                <c:formatCode>0.00</c:formatCode>
                <c:ptCount val="13"/>
                <c:pt idx="0">
                  <c:v>5.8413043478260871</c:v>
                </c:pt>
                <c:pt idx="1">
                  <c:v>6.4454545454545453</c:v>
                </c:pt>
                <c:pt idx="2">
                  <c:v>6.64</c:v>
                </c:pt>
                <c:pt idx="3">
                  <c:v>6.6480446927374306</c:v>
                </c:pt>
                <c:pt idx="4">
                  <c:v>6.7712765957446805</c:v>
                </c:pt>
                <c:pt idx="5">
                  <c:v>6.4921875</c:v>
                </c:pt>
                <c:pt idx="6">
                  <c:v>3.9537037037037037</c:v>
                </c:pt>
                <c:pt idx="7">
                  <c:v>5.2212765957446807</c:v>
                </c:pt>
                <c:pt idx="8">
                  <c:v>5.801801801801802</c:v>
                </c:pt>
                <c:pt idx="9">
                  <c:v>5.7828947368421053</c:v>
                </c:pt>
                <c:pt idx="10">
                  <c:v>5.8276553106212425</c:v>
                </c:pt>
                <c:pt idx="11">
                  <c:v>4.8246445497630335</c:v>
                </c:pt>
                <c:pt idx="12">
                  <c:v>5.9357629785002626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DB-4ECD-A907-7FD1D5D31D9C}"/>
            </c:ext>
          </c:extLst>
        </c:ser>
        <c:ser>
          <c:idx val="0"/>
          <c:order val="3"/>
          <c:tx>
            <c:strRef>
              <c:f>'EM evol menusual lugar resd'!$K$139:$L$139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DB-4ECD-A907-7FD1D5D31D9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resd'!$K$141:$K$153</c:f>
              <c:numCache>
                <c:formatCode>0.00</c:formatCode>
                <c:ptCount val="13"/>
                <c:pt idx="0">
                  <c:v>5.5225505443234839</c:v>
                </c:pt>
                <c:pt idx="1">
                  <c:v>5.8026070763500934</c:v>
                </c:pt>
                <c:pt idx="2">
                  <c:v>5.9575221238938054</c:v>
                </c:pt>
                <c:pt idx="3">
                  <c:v>6.6465517241379306</c:v>
                </c:pt>
                <c:pt idx="4">
                  <c:v>6.5785123966942152</c:v>
                </c:pt>
                <c:pt idx="5">
                  <c:v>6.5649350649350646</c:v>
                </c:pt>
                <c:pt idx="6">
                  <c:v>3.661290322580645</c:v>
                </c:pt>
                <c:pt idx="7">
                  <c:v>6.5260115606936413</c:v>
                </c:pt>
                <c:pt idx="8">
                  <c:v>5.8526785714285712</c:v>
                </c:pt>
                <c:pt idx="9">
                  <c:v>5.9803278688524593</c:v>
                </c:pt>
                <c:pt idx="10">
                  <c:v>6.3442265795206971</c:v>
                </c:pt>
                <c:pt idx="11">
                  <c:v>5.3826086956521735</c:v>
                </c:pt>
                <c:pt idx="12">
                  <c:v>5.917572035899858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DB-4ECD-A907-7FD1D5D31D9C}"/>
            </c:ext>
          </c:extLst>
        </c:ser>
        <c:ser>
          <c:idx val="1"/>
          <c:order val="4"/>
          <c:tx>
            <c:strRef>
              <c:f>'EM evol menusual lugar resd'!$M$139:$N$139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DB-4ECD-A907-7FD1D5D31D9C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FDB-4ECD-A907-7FD1D5D31D9C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resd'!$M$141:$M$153</c:f>
              <c:numCache>
                <c:formatCode>0.00</c:formatCode>
                <c:ptCount val="13"/>
                <c:pt idx="0">
                  <c:v>5.0589353612167303</c:v>
                </c:pt>
                <c:pt idx="1">
                  <c:v>6.4574257425742578</c:v>
                </c:pt>
                <c:pt idx="2">
                  <c:v>6.3815028901734108</c:v>
                </c:pt>
                <c:pt idx="3">
                  <c:v>6.349152542372881</c:v>
                </c:pt>
                <c:pt idx="4">
                  <c:v>6.7061611374407581</c:v>
                </c:pt>
                <c:pt idx="5">
                  <c:v>8.247863247863247</c:v>
                </c:pt>
                <c:pt idx="12">
                  <c:v>6.2066267832489643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FDB-4ECD-A907-7FD1D5D31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resd'!$C$139:$D$139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FDB-4ECD-A907-7FD1D5D31D9C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resd'!$C$141:$C$153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5.9742388758782203</c:v>
                      </c:pt>
                      <c:pt idx="1">
                        <c:v>5.5458515283842793</c:v>
                      </c:pt>
                      <c:pt idx="2">
                        <c:v>7.397849462365591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3.5697674418604652</c:v>
                      </c:pt>
                      <c:pt idx="8">
                        <c:v>1.7142857142857142</c:v>
                      </c:pt>
                      <c:pt idx="9">
                        <c:v>3.05</c:v>
                      </c:pt>
                      <c:pt idx="10">
                        <c:v>2.0388349514563107</c:v>
                      </c:pt>
                      <c:pt idx="11">
                        <c:v>2.2873563218390807</c:v>
                      </c:pt>
                      <c:pt idx="12">
                        <c:v>5.0459149223497635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FDB-4ECD-A907-7FD1D5D31D9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'EM evol menusual lugar resd'!$G$139:$H$139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spPr>
                  <a:ln w="25400" cap="rnd">
                    <a:solidFill>
                      <a:srgbClr val="0047BA">
                        <a:lumMod val="20000"/>
                        <a:lumOff val="80000"/>
                      </a:srgb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0047BA">
                        <a:lumMod val="20000"/>
                        <a:lumOff val="80000"/>
                      </a:srgbClr>
                    </a:solidFill>
                    <a:ln w="9525"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solidFill>
                        <a:srgbClr val="0047BA">
                          <a:lumMod val="20000"/>
                          <a:lumOff val="80000"/>
                        </a:srgbClr>
                      </a:solidFill>
                      <a:ln w="9525">
                        <a:solidFill>
                          <a:srgbClr val="0047BA">
                            <a:lumMod val="20000"/>
                            <a:lumOff val="80000"/>
                          </a:srgbClr>
                        </a:solidFill>
                      </a:ln>
                      <a:effectLst/>
                    </c:spPr>
                  </c:marker>
                  <c:bubble3D val="0"/>
                  <c:spPr>
                    <a:ln w="25400" cap="rnd">
                      <a:noFill/>
                      <a:round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DFDB-4ECD-A907-7FD1D5D31D9C}"/>
                    </c:ext>
                  </c:extLst>
                </c:dP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('EM evol menusual lugar resd'!$G$141:$G$152,'EM evol menusual lugar resd'!$G$153)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5.7216828478964405</c:v>
                      </c:pt>
                      <c:pt idx="1">
                        <c:v>6.0282051282051281</c:v>
                      </c:pt>
                      <c:pt idx="2">
                        <c:v>5.8561484918793507</c:v>
                      </c:pt>
                      <c:pt idx="3">
                        <c:v>6.5965909090909092</c:v>
                      </c:pt>
                      <c:pt idx="4">
                        <c:v>7.4578947368421051</c:v>
                      </c:pt>
                      <c:pt idx="5">
                        <c:v>5.2280701754385968</c:v>
                      </c:pt>
                      <c:pt idx="6">
                        <c:v>6.9485294117647056</c:v>
                      </c:pt>
                      <c:pt idx="7">
                        <c:v>5.5595854922279795</c:v>
                      </c:pt>
                      <c:pt idx="8">
                        <c:v>6.1875</c:v>
                      </c:pt>
                      <c:pt idx="9">
                        <c:v>6.6477987421383649</c:v>
                      </c:pt>
                      <c:pt idx="10">
                        <c:v>5.9533169533169534</c:v>
                      </c:pt>
                      <c:pt idx="11">
                        <c:v>5.0775623268698062</c:v>
                      </c:pt>
                      <c:pt idx="12">
                        <c:v>6.0453762205628951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FDB-4ECD-A907-7FD1D5D31D9C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5"/>
          <c:tx>
            <c:strRef>
              <c:f>'EM evol menusual lugar resd'!$N$140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DB-4ECD-A907-7FD1D5D31D9C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DB-4ECD-A907-7FD1D5D31D9C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DB-4ECD-A907-7FD1D5D31D9C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DB-4ECD-A907-7FD1D5D31D9C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DB-4ECD-A907-7FD1D5D31D9C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DB-4ECD-A907-7FD1D5D31D9C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DB-4ECD-A907-7FD1D5D31D9C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FDB-4ECD-A907-7FD1D5D31D9C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FDB-4ECD-A907-7FD1D5D31D9C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FDB-4ECD-A907-7FD1D5D31D9C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DB-4ECD-A907-7FD1D5D31D9C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DB-4ECD-A907-7FD1D5D31D9C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DB-4ECD-A907-7FD1D5D31D9C}"/>
              </c:ext>
            </c:extLst>
          </c:dPt>
          <c:cat>
            <c:strRef>
              <c:f>'EM evol menusual lugar resd'!$B$141:$B$152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resd'!$N$141:$N$153</c:f>
              <c:numCache>
                <c:formatCode>0.00</c:formatCode>
                <c:ptCount val="13"/>
                <c:pt idx="0">
                  <c:v>-0.46361518310675365</c:v>
                </c:pt>
                <c:pt idx="1">
                  <c:v>0.6548186662241644</c:v>
                </c:pt>
                <c:pt idx="2">
                  <c:v>0.42398076627960535</c:v>
                </c:pt>
                <c:pt idx="3">
                  <c:v>-0.29739918176504965</c:v>
                </c:pt>
                <c:pt idx="4">
                  <c:v>0.12764874074654298</c:v>
                </c:pt>
                <c:pt idx="5">
                  <c:v>1.6829281829281824</c:v>
                </c:pt>
                <c:pt idx="12">
                  <c:v>0.20060026657560126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FDB-4ECD-A907-7FD1D5D31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resd'!$I$161:$J$161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F8-4336-82A0-02E0BF74EB27}"/>
              </c:ext>
            </c:extLst>
          </c:dPt>
          <c:val>
            <c:numRef>
              <c:f>'EM evol menusual lugar resd'!$I$163:$I$175</c:f>
              <c:numCache>
                <c:formatCode>0.00</c:formatCode>
                <c:ptCount val="13"/>
                <c:pt idx="0">
                  <c:v>2.0614754098360657</c:v>
                </c:pt>
                <c:pt idx="1">
                  <c:v>2.5348258706467663</c:v>
                </c:pt>
                <c:pt idx="2">
                  <c:v>2.4316239316239314</c:v>
                </c:pt>
                <c:pt idx="3">
                  <c:v>2.1666666666666665</c:v>
                </c:pt>
                <c:pt idx="4">
                  <c:v>2.3689320388349513</c:v>
                </c:pt>
                <c:pt idx="5">
                  <c:v>2.4933333333333332</c:v>
                </c:pt>
                <c:pt idx="6">
                  <c:v>2.0376344086021505</c:v>
                </c:pt>
                <c:pt idx="7">
                  <c:v>2.2378048780487805</c:v>
                </c:pt>
                <c:pt idx="8">
                  <c:v>2.3365384615384617</c:v>
                </c:pt>
                <c:pt idx="9">
                  <c:v>1.9482758620689655</c:v>
                </c:pt>
                <c:pt idx="10">
                  <c:v>2.5221238938053099</c:v>
                </c:pt>
                <c:pt idx="11">
                  <c:v>2.2335526315789473</c:v>
                </c:pt>
                <c:pt idx="12">
                  <c:v>2.2913770913770914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F8-4336-82A0-02E0BF74EB27}"/>
            </c:ext>
          </c:extLst>
        </c:ser>
        <c:ser>
          <c:idx val="0"/>
          <c:order val="2"/>
          <c:tx>
            <c:strRef>
              <c:f>'EM evol menusual lugar resd'!$K$161:$L$161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AF8-4336-82A0-02E0BF74EB2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resd'!$K$163:$K$175</c:f>
              <c:numCache>
                <c:formatCode>0.00</c:formatCode>
                <c:ptCount val="13"/>
                <c:pt idx="0">
                  <c:v>2.5740259740259739</c:v>
                </c:pt>
                <c:pt idx="1">
                  <c:v>2.6754385964912282</c:v>
                </c:pt>
                <c:pt idx="2">
                  <c:v>2.6632653061224492</c:v>
                </c:pt>
                <c:pt idx="3">
                  <c:v>2.4542772861356932</c:v>
                </c:pt>
                <c:pt idx="4">
                  <c:v>2.9319727891156462</c:v>
                </c:pt>
                <c:pt idx="5">
                  <c:v>3.6101694915254239</c:v>
                </c:pt>
                <c:pt idx="6">
                  <c:v>3.2391304347826089</c:v>
                </c:pt>
                <c:pt idx="7">
                  <c:v>2.9610778443113772</c:v>
                </c:pt>
                <c:pt idx="8">
                  <c:v>2.7697368421052633</c:v>
                </c:pt>
                <c:pt idx="9">
                  <c:v>2.174825174825175</c:v>
                </c:pt>
                <c:pt idx="10">
                  <c:v>2.103542234332425</c:v>
                </c:pt>
                <c:pt idx="11">
                  <c:v>2.5499999999999998</c:v>
                </c:pt>
                <c:pt idx="12">
                  <c:v>2.6458616010854819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F8-4336-82A0-02E0BF74EB27}"/>
            </c:ext>
          </c:extLst>
        </c:ser>
        <c:ser>
          <c:idx val="1"/>
          <c:order val="3"/>
          <c:tx>
            <c:strRef>
              <c:f>'EM evol menusual lugar resd'!$M$161:$N$161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F8-4336-82A0-02E0BF74EB27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F8-4336-82A0-02E0BF74EB27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resd'!$M$163:$M$175</c:f>
              <c:numCache>
                <c:formatCode>0.00</c:formatCode>
                <c:ptCount val="13"/>
                <c:pt idx="0">
                  <c:v>2.6155778894472363</c:v>
                </c:pt>
                <c:pt idx="1">
                  <c:v>2.4320388349514563</c:v>
                </c:pt>
                <c:pt idx="2">
                  <c:v>2.4990138067061145</c:v>
                </c:pt>
                <c:pt idx="3">
                  <c:v>2.3902439024390243</c:v>
                </c:pt>
                <c:pt idx="4">
                  <c:v>2.7326388888888888</c:v>
                </c:pt>
                <c:pt idx="5">
                  <c:v>2.8768115942028984</c:v>
                </c:pt>
                <c:pt idx="12">
                  <c:v>2.5517241379310347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F8-4336-82A0-02E0BF74E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resd'!$C$161:$D$161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AF8-4336-82A0-02E0BF74EB2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resd'!$C$163:$C$175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2.3308641975308642</c:v>
                      </c:pt>
                      <c:pt idx="1">
                        <c:v>2.4140000000000001</c:v>
                      </c:pt>
                      <c:pt idx="2">
                        <c:v>1.97265625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3.2</c:v>
                      </c:pt>
                      <c:pt idx="8">
                        <c:v>2.1666666666666665</c:v>
                      </c:pt>
                      <c:pt idx="9">
                        <c:v>1.7272727272727273</c:v>
                      </c:pt>
                      <c:pt idx="10">
                        <c:v>2.9183673469387754</c:v>
                      </c:pt>
                      <c:pt idx="11">
                        <c:v>2.2029702970297032</c:v>
                      </c:pt>
                      <c:pt idx="12">
                        <c:v>2.3596757852076999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AF8-4336-82A0-02E0BF74EB2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resd'!$N$162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AF8-4336-82A0-02E0BF74EB27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AF8-4336-82A0-02E0BF74EB27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AF8-4336-82A0-02E0BF74EB27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AF8-4336-82A0-02E0BF74EB27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AF8-4336-82A0-02E0BF74EB27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AF8-4336-82A0-02E0BF74EB27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AF8-4336-82A0-02E0BF74EB27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F8-4336-82A0-02E0BF74EB27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F8-4336-82A0-02E0BF74EB27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F8-4336-82A0-02E0BF74EB27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F8-4336-82A0-02E0BF74EB27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F8-4336-82A0-02E0BF74EB27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F8-4336-82A0-02E0BF74EB27}"/>
              </c:ext>
            </c:extLst>
          </c:dPt>
          <c:cat>
            <c:strRef>
              <c:f>'EM evol menusual lugar resd'!$B$163:$B$174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resd'!$N$163:$N$175</c:f>
              <c:numCache>
                <c:formatCode>0.00</c:formatCode>
                <c:ptCount val="13"/>
                <c:pt idx="0">
                  <c:v>4.1551915421262464E-2</c:v>
                </c:pt>
                <c:pt idx="1">
                  <c:v>-0.24339976153977183</c:v>
                </c:pt>
                <c:pt idx="2">
                  <c:v>-0.16425149941633466</c:v>
                </c:pt>
                <c:pt idx="3">
                  <c:v>-6.4033383696668889E-2</c:v>
                </c:pt>
                <c:pt idx="4">
                  <c:v>-0.19933390022675734</c:v>
                </c:pt>
                <c:pt idx="5">
                  <c:v>-0.73335789732252543</c:v>
                </c:pt>
                <c:pt idx="12">
                  <c:v>-0.1552883500612805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AF8-4336-82A0-02E0BF74E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resd'!$I$183:$J$183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9A-4056-9BED-FA6F92850A29}"/>
              </c:ext>
            </c:extLst>
          </c:dPt>
          <c:val>
            <c:numRef>
              <c:f>'EM evol menusual lugar resd'!$I$185:$I$197</c:f>
              <c:numCache>
                <c:formatCode>0.00</c:formatCode>
                <c:ptCount val="13"/>
                <c:pt idx="0">
                  <c:v>2.5185185185185186</c:v>
                </c:pt>
                <c:pt idx="1">
                  <c:v>3</c:v>
                </c:pt>
                <c:pt idx="2">
                  <c:v>4.253521126760563</c:v>
                </c:pt>
                <c:pt idx="3">
                  <c:v>2.5909090909090908</c:v>
                </c:pt>
                <c:pt idx="4">
                  <c:v>2.59375</c:v>
                </c:pt>
                <c:pt idx="5">
                  <c:v>2.28125</c:v>
                </c:pt>
                <c:pt idx="6">
                  <c:v>2.5813953488372094</c:v>
                </c:pt>
                <c:pt idx="7">
                  <c:v>2.3877551020408165</c:v>
                </c:pt>
                <c:pt idx="8">
                  <c:v>2.9268292682926829</c:v>
                </c:pt>
                <c:pt idx="9">
                  <c:v>2.9</c:v>
                </c:pt>
                <c:pt idx="10">
                  <c:v>2.961904761904762</c:v>
                </c:pt>
                <c:pt idx="11">
                  <c:v>2.0506329113924049</c:v>
                </c:pt>
                <c:pt idx="12">
                  <c:v>2.7876923076923079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9A-4056-9BED-FA6F92850A29}"/>
            </c:ext>
          </c:extLst>
        </c:ser>
        <c:ser>
          <c:idx val="0"/>
          <c:order val="2"/>
          <c:tx>
            <c:strRef>
              <c:f>'EM evol menusual lugar resd'!$K$183:$L$183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99A-4056-9BED-FA6F92850A2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resd'!$K$185:$K$197</c:f>
              <c:numCache>
                <c:formatCode>0.00</c:formatCode>
                <c:ptCount val="13"/>
                <c:pt idx="0">
                  <c:v>2.2865497076023393</c:v>
                </c:pt>
                <c:pt idx="1">
                  <c:v>3.2736842105263158</c:v>
                </c:pt>
                <c:pt idx="2">
                  <c:v>3.043010752688172</c:v>
                </c:pt>
                <c:pt idx="3">
                  <c:v>2.6896551724137931</c:v>
                </c:pt>
                <c:pt idx="4">
                  <c:v>1.346938775510204</c:v>
                </c:pt>
                <c:pt idx="5">
                  <c:v>2.8947368421052633</c:v>
                </c:pt>
                <c:pt idx="6">
                  <c:v>2.36</c:v>
                </c:pt>
                <c:pt idx="7">
                  <c:v>2.3050847457627119</c:v>
                </c:pt>
                <c:pt idx="8">
                  <c:v>3.8536585365853657</c:v>
                </c:pt>
                <c:pt idx="9">
                  <c:v>2.736842105263158</c:v>
                </c:pt>
                <c:pt idx="10">
                  <c:v>2.515625</c:v>
                </c:pt>
                <c:pt idx="11">
                  <c:v>2.4335664335664338</c:v>
                </c:pt>
                <c:pt idx="12">
                  <c:v>2.6112956810631229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9A-4056-9BED-FA6F92850A29}"/>
            </c:ext>
          </c:extLst>
        </c:ser>
        <c:ser>
          <c:idx val="1"/>
          <c:order val="3"/>
          <c:tx>
            <c:strRef>
              <c:f>'EM evol menusual lugar resd'!$M$183:$N$183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9A-4056-9BED-FA6F92850A2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99A-4056-9BED-FA6F92850A2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resd'!$M$185:$M$197</c:f>
              <c:numCache>
                <c:formatCode>0.00</c:formatCode>
                <c:ptCount val="13"/>
                <c:pt idx="0">
                  <c:v>2.7923076923076922</c:v>
                </c:pt>
                <c:pt idx="1">
                  <c:v>3.6956521739130435</c:v>
                </c:pt>
                <c:pt idx="2">
                  <c:v>3</c:v>
                </c:pt>
                <c:pt idx="3">
                  <c:v>3.3297872340425534</c:v>
                </c:pt>
                <c:pt idx="4">
                  <c:v>4</c:v>
                </c:pt>
                <c:pt idx="5">
                  <c:v>5.833333333333333</c:v>
                </c:pt>
                <c:pt idx="12">
                  <c:v>3.3243801652892562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99A-4056-9BED-FA6F92850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resd'!$C$183:$D$183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F99A-4056-9BED-FA6F92850A2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resd'!$C$185:$C$197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2.408450704225352</c:v>
                      </c:pt>
                      <c:pt idx="1">
                        <c:v>2.7586206896551726</c:v>
                      </c:pt>
                      <c:pt idx="2">
                        <c:v>1.34375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2.6666666666666665</c:v>
                      </c:pt>
                      <c:pt idx="8">
                        <c:v>2.15</c:v>
                      </c:pt>
                      <c:pt idx="9">
                        <c:v>1.8974358974358974</c:v>
                      </c:pt>
                      <c:pt idx="10">
                        <c:v>2.4509803921568629</c:v>
                      </c:pt>
                      <c:pt idx="11">
                        <c:v>1.8</c:v>
                      </c:pt>
                      <c:pt idx="12">
                        <c:v>2.2450142450142452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F99A-4056-9BED-FA6F92850A2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resd'!$N$184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99A-4056-9BED-FA6F92850A2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99A-4056-9BED-FA6F92850A2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99A-4056-9BED-FA6F92850A2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99A-4056-9BED-FA6F92850A2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99A-4056-9BED-FA6F92850A2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9A-4056-9BED-FA6F92850A2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9A-4056-9BED-FA6F92850A2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9A-4056-9BED-FA6F92850A2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9A-4056-9BED-FA6F92850A2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9A-4056-9BED-FA6F92850A2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9A-4056-9BED-FA6F92850A2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9A-4056-9BED-FA6F92850A2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9A-4056-9BED-FA6F92850A29}"/>
              </c:ext>
            </c:extLst>
          </c:dPt>
          <c:cat>
            <c:strRef>
              <c:f>'EM evol menusual lugar resd'!$B$185:$B$196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resd'!$N$185:$N$197</c:f>
              <c:numCache>
                <c:formatCode>0.00</c:formatCode>
                <c:ptCount val="13"/>
                <c:pt idx="0">
                  <c:v>0.50575798470535283</c:v>
                </c:pt>
                <c:pt idx="1">
                  <c:v>0.42196796338672771</c:v>
                </c:pt>
                <c:pt idx="2">
                  <c:v>-4.3010752688172005E-2</c:v>
                </c:pt>
                <c:pt idx="3">
                  <c:v>0.64013206162876024</c:v>
                </c:pt>
                <c:pt idx="4">
                  <c:v>2.6530612244897958</c:v>
                </c:pt>
                <c:pt idx="5">
                  <c:v>2.9385964912280698</c:v>
                </c:pt>
                <c:pt idx="12">
                  <c:v>0.71737627423867245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99A-4056-9BED-FA6F92850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resd'!$I$205:$J$205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89-45EE-A3D0-111F01653584}"/>
              </c:ext>
            </c:extLst>
          </c:dPt>
          <c:val>
            <c:numRef>
              <c:f>'EM evol menusual lugar resd'!$I$207:$I$219</c:f>
              <c:numCache>
                <c:formatCode>0.00</c:formatCode>
                <c:ptCount val="13"/>
                <c:pt idx="0">
                  <c:v>4.2846715328467155</c:v>
                </c:pt>
                <c:pt idx="1">
                  <c:v>4.5227272727272725</c:v>
                </c:pt>
                <c:pt idx="2">
                  <c:v>3.8451612903225807</c:v>
                </c:pt>
                <c:pt idx="3">
                  <c:v>2.9874999999999998</c:v>
                </c:pt>
                <c:pt idx="4">
                  <c:v>4.8780487804878048</c:v>
                </c:pt>
                <c:pt idx="5">
                  <c:v>4.2333333333333334</c:v>
                </c:pt>
                <c:pt idx="6">
                  <c:v>4.6315789473684212</c:v>
                </c:pt>
                <c:pt idx="7">
                  <c:v>3.3260869565217392</c:v>
                </c:pt>
                <c:pt idx="8">
                  <c:v>6.258064516129032</c:v>
                </c:pt>
                <c:pt idx="9">
                  <c:v>4.092307692307692</c:v>
                </c:pt>
                <c:pt idx="10">
                  <c:v>2.8245614035087718</c:v>
                </c:pt>
                <c:pt idx="11">
                  <c:v>3.2300884955752212</c:v>
                </c:pt>
                <c:pt idx="12">
                  <c:v>3.8624733475479744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89-45EE-A3D0-111F01653584}"/>
            </c:ext>
          </c:extLst>
        </c:ser>
        <c:ser>
          <c:idx val="0"/>
          <c:order val="2"/>
          <c:tx>
            <c:strRef>
              <c:f>'EM evol menusual lugar resd'!$K$205:$L$205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89-45EE-A3D0-111F0165358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resd'!$K$207:$K$219</c:f>
              <c:numCache>
                <c:formatCode>0.00</c:formatCode>
                <c:ptCount val="13"/>
                <c:pt idx="0">
                  <c:v>4.0129870129870131</c:v>
                </c:pt>
                <c:pt idx="1">
                  <c:v>3.5890410958904111</c:v>
                </c:pt>
                <c:pt idx="2">
                  <c:v>3.3227848101265822</c:v>
                </c:pt>
                <c:pt idx="3">
                  <c:v>7.709677419354839</c:v>
                </c:pt>
                <c:pt idx="4">
                  <c:v>5.4523809523809526</c:v>
                </c:pt>
                <c:pt idx="5">
                  <c:v>8.7222222222222214</c:v>
                </c:pt>
                <c:pt idx="6">
                  <c:v>4.6206896551724137</c:v>
                </c:pt>
                <c:pt idx="7">
                  <c:v>5.0930232558139537</c:v>
                </c:pt>
                <c:pt idx="8">
                  <c:v>3.903225806451613</c:v>
                </c:pt>
                <c:pt idx="9">
                  <c:v>1.9620253164556962</c:v>
                </c:pt>
                <c:pt idx="10">
                  <c:v>3.4358974358974357</c:v>
                </c:pt>
                <c:pt idx="11">
                  <c:v>2.8666666666666667</c:v>
                </c:pt>
                <c:pt idx="12">
                  <c:v>4.072883172561629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89-45EE-A3D0-111F01653584}"/>
            </c:ext>
          </c:extLst>
        </c:ser>
        <c:ser>
          <c:idx val="1"/>
          <c:order val="3"/>
          <c:tx>
            <c:strRef>
              <c:f>'EM evol menusual lugar resd'!$M$205:$N$205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89-45EE-A3D0-111F0165358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89-45EE-A3D0-111F01653584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resd'!$M$207:$M$219</c:f>
              <c:numCache>
                <c:formatCode>0.00</c:formatCode>
                <c:ptCount val="13"/>
                <c:pt idx="0">
                  <c:v>2.6703296703296702</c:v>
                </c:pt>
                <c:pt idx="1">
                  <c:v>3</c:v>
                </c:pt>
                <c:pt idx="2">
                  <c:v>3.0183486238532109</c:v>
                </c:pt>
                <c:pt idx="3">
                  <c:v>2.9375</c:v>
                </c:pt>
                <c:pt idx="4">
                  <c:v>3.9142857142857141</c:v>
                </c:pt>
                <c:pt idx="5">
                  <c:v>4.6969696969696972</c:v>
                </c:pt>
                <c:pt idx="12">
                  <c:v>3.1024305555555554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B89-45EE-A3D0-111F0165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resd'!$C$205:$D$205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3B89-45EE-A3D0-111F0165358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resd'!$C$207:$C$219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2.3258426966292136</c:v>
                      </c:pt>
                      <c:pt idx="1">
                        <c:v>3.5098039215686274</c:v>
                      </c:pt>
                      <c:pt idx="2">
                        <c:v>4.1304347826086953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2.1111111111111112</c:v>
                      </c:pt>
                      <c:pt idx="8">
                        <c:v>1</c:v>
                      </c:pt>
                      <c:pt idx="9">
                        <c:v>1.25</c:v>
                      </c:pt>
                      <c:pt idx="10">
                        <c:v>1.3333333333333333</c:v>
                      </c:pt>
                      <c:pt idx="11">
                        <c:v>1</c:v>
                      </c:pt>
                      <c:pt idx="12">
                        <c:v>2.9102167182662537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3B89-45EE-A3D0-111F0165358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resd'!$N$206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89-45EE-A3D0-111F0165358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89-45EE-A3D0-111F0165358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89-45EE-A3D0-111F0165358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89-45EE-A3D0-111F0165358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89-45EE-A3D0-111F0165358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89-45EE-A3D0-111F0165358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89-45EE-A3D0-111F0165358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89-45EE-A3D0-111F0165358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89-45EE-A3D0-111F0165358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89-45EE-A3D0-111F0165358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89-45EE-A3D0-111F0165358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89-45EE-A3D0-111F0165358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89-45EE-A3D0-111F01653584}"/>
              </c:ext>
            </c:extLst>
          </c:dPt>
          <c:cat>
            <c:strRef>
              <c:f>'EM evol menusual lugar resd'!$B$207:$B$218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resd'!$N$207:$N$219</c:f>
              <c:numCache>
                <c:formatCode>0.00</c:formatCode>
                <c:ptCount val="13"/>
                <c:pt idx="0">
                  <c:v>-1.3426573426573429</c:v>
                </c:pt>
                <c:pt idx="1">
                  <c:v>-0.58904109589041109</c:v>
                </c:pt>
                <c:pt idx="2">
                  <c:v>-0.30443618627337132</c:v>
                </c:pt>
                <c:pt idx="3">
                  <c:v>-4.772177419354839</c:v>
                </c:pt>
                <c:pt idx="4">
                  <c:v>-1.5380952380952384</c:v>
                </c:pt>
                <c:pt idx="5">
                  <c:v>-4.0252525252525242</c:v>
                </c:pt>
                <c:pt idx="12">
                  <c:v>-1.3925527220364176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B89-45EE-A3D0-111F01653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resd'!$I$227:$J$227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DA-4D7F-A7FC-68CB3758BDDE}"/>
              </c:ext>
            </c:extLst>
          </c:dPt>
          <c:val>
            <c:numRef>
              <c:f>'EM evol menusual lugar resd'!$I$229:$I$241</c:f>
              <c:numCache>
                <c:formatCode>0.00</c:formatCode>
                <c:ptCount val="13"/>
                <c:pt idx="0">
                  <c:v>2.5185185185185186</c:v>
                </c:pt>
                <c:pt idx="1">
                  <c:v>3</c:v>
                </c:pt>
                <c:pt idx="2">
                  <c:v>4.253521126760563</c:v>
                </c:pt>
                <c:pt idx="3">
                  <c:v>2.5909090909090908</c:v>
                </c:pt>
                <c:pt idx="4">
                  <c:v>2.59375</c:v>
                </c:pt>
                <c:pt idx="5">
                  <c:v>2.28125</c:v>
                </c:pt>
                <c:pt idx="6">
                  <c:v>2.5813953488372094</c:v>
                </c:pt>
                <c:pt idx="7">
                  <c:v>2.3877551020408165</c:v>
                </c:pt>
                <c:pt idx="8">
                  <c:v>2.9268292682926829</c:v>
                </c:pt>
                <c:pt idx="9">
                  <c:v>2.9</c:v>
                </c:pt>
                <c:pt idx="10">
                  <c:v>2.961904761904762</c:v>
                </c:pt>
                <c:pt idx="11">
                  <c:v>2.0506329113924049</c:v>
                </c:pt>
                <c:pt idx="12">
                  <c:v>2.7876923076923079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DA-4D7F-A7FC-68CB3758BDDE}"/>
            </c:ext>
          </c:extLst>
        </c:ser>
        <c:ser>
          <c:idx val="0"/>
          <c:order val="2"/>
          <c:tx>
            <c:strRef>
              <c:f>'EM evol menusual lugar resd'!$K$227:$L$227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DA-4D7F-A7FC-68CB3758BDD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resd'!$K$229:$K$241</c:f>
              <c:numCache>
                <c:formatCode>0.00</c:formatCode>
                <c:ptCount val="13"/>
                <c:pt idx="0">
                  <c:v>2.2865497076023393</c:v>
                </c:pt>
                <c:pt idx="1">
                  <c:v>3.2736842105263158</c:v>
                </c:pt>
                <c:pt idx="2">
                  <c:v>3.043010752688172</c:v>
                </c:pt>
                <c:pt idx="3">
                  <c:v>2.6896551724137931</c:v>
                </c:pt>
                <c:pt idx="4">
                  <c:v>1.346938775510204</c:v>
                </c:pt>
                <c:pt idx="5">
                  <c:v>2.8947368421052633</c:v>
                </c:pt>
                <c:pt idx="6">
                  <c:v>2.36</c:v>
                </c:pt>
                <c:pt idx="7">
                  <c:v>2.3050847457627119</c:v>
                </c:pt>
                <c:pt idx="8">
                  <c:v>3.8536585365853657</c:v>
                </c:pt>
                <c:pt idx="9">
                  <c:v>2.736842105263158</c:v>
                </c:pt>
                <c:pt idx="10">
                  <c:v>2.515625</c:v>
                </c:pt>
                <c:pt idx="11">
                  <c:v>2.4335664335664338</c:v>
                </c:pt>
                <c:pt idx="12">
                  <c:v>2.6112956810631229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DA-4D7F-A7FC-68CB3758BDDE}"/>
            </c:ext>
          </c:extLst>
        </c:ser>
        <c:ser>
          <c:idx val="1"/>
          <c:order val="3"/>
          <c:tx>
            <c:strRef>
              <c:f>'EM evol menusual lugar resd'!$M$227:$N$227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DA-4D7F-A7FC-68CB3758BDD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BDA-4D7F-A7FC-68CB3758BDDE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resd'!$M$229:$M$241</c:f>
              <c:numCache>
                <c:formatCode>0.00</c:formatCode>
                <c:ptCount val="13"/>
                <c:pt idx="0">
                  <c:v>2.7923076923076922</c:v>
                </c:pt>
                <c:pt idx="1">
                  <c:v>3.6956521739130435</c:v>
                </c:pt>
                <c:pt idx="2">
                  <c:v>3</c:v>
                </c:pt>
                <c:pt idx="3">
                  <c:v>3.3297872340425534</c:v>
                </c:pt>
                <c:pt idx="4">
                  <c:v>4</c:v>
                </c:pt>
                <c:pt idx="5">
                  <c:v>5.833333333333333</c:v>
                </c:pt>
                <c:pt idx="12">
                  <c:v>3.3243801652892562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DA-4D7F-A7FC-68CB3758B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resd'!$C$227:$D$227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BDA-4D7F-A7FC-68CB3758BDD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resd'!$C$229:$C$241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2.408450704225352</c:v>
                      </c:pt>
                      <c:pt idx="1">
                        <c:v>2.7586206896551726</c:v>
                      </c:pt>
                      <c:pt idx="2">
                        <c:v>1.34375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2.6666666666666665</c:v>
                      </c:pt>
                      <c:pt idx="8">
                        <c:v>2.15</c:v>
                      </c:pt>
                      <c:pt idx="9">
                        <c:v>1.8974358974358974</c:v>
                      </c:pt>
                      <c:pt idx="10">
                        <c:v>2.4509803921568629</c:v>
                      </c:pt>
                      <c:pt idx="11">
                        <c:v>1.8</c:v>
                      </c:pt>
                      <c:pt idx="12">
                        <c:v>2.2450142450142452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BDA-4D7F-A7FC-68CB3758BDD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resd'!$N$228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DA-4D7F-A7FC-68CB3758BDD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DA-4D7F-A7FC-68CB3758BDD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DA-4D7F-A7FC-68CB3758BDD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DA-4D7F-A7FC-68CB3758BDD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DA-4D7F-A7FC-68CB3758BDD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DA-4D7F-A7FC-68CB3758BDD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DA-4D7F-A7FC-68CB3758BDD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DA-4D7F-A7FC-68CB3758BDD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DA-4D7F-A7FC-68CB3758BDD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DA-4D7F-A7FC-68CB3758BDD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DA-4D7F-A7FC-68CB3758BDD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DA-4D7F-A7FC-68CB3758BDD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DA-4D7F-A7FC-68CB3758BDDE}"/>
              </c:ext>
            </c:extLst>
          </c:dPt>
          <c:cat>
            <c:strRef>
              <c:f>'EM evol menusual lugar resd'!$B$229:$B$240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resd'!$N$229:$N$241</c:f>
              <c:numCache>
                <c:formatCode>0.00</c:formatCode>
                <c:ptCount val="13"/>
                <c:pt idx="0">
                  <c:v>0.50575798470535283</c:v>
                </c:pt>
                <c:pt idx="1">
                  <c:v>0.42196796338672771</c:v>
                </c:pt>
                <c:pt idx="2">
                  <c:v>-4.3010752688172005E-2</c:v>
                </c:pt>
                <c:pt idx="3">
                  <c:v>0.64013206162876024</c:v>
                </c:pt>
                <c:pt idx="4">
                  <c:v>2.6530612244897958</c:v>
                </c:pt>
                <c:pt idx="5">
                  <c:v>2.9385964912280698</c:v>
                </c:pt>
                <c:pt idx="12">
                  <c:v>0.71737627423867245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BDA-4D7F-A7FC-68CB3758B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resd'!$I$249:$J$249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B-4A2D-814D-D7B674C9A249}"/>
              </c:ext>
            </c:extLst>
          </c:dPt>
          <c:val>
            <c:numRef>
              <c:f>'EM evol menusual lugar resd'!$I$251:$I$263</c:f>
              <c:numCache>
                <c:formatCode>0.00</c:formatCode>
                <c:ptCount val="13"/>
                <c:pt idx="0">
                  <c:v>3.6111111111111112</c:v>
                </c:pt>
                <c:pt idx="1">
                  <c:v>1.8235294117647058</c:v>
                </c:pt>
                <c:pt idx="2">
                  <c:v>2</c:v>
                </c:pt>
                <c:pt idx="3">
                  <c:v>2.625</c:v>
                </c:pt>
                <c:pt idx="4">
                  <c:v>5</c:v>
                </c:pt>
                <c:pt idx="5">
                  <c:v>1</c:v>
                </c:pt>
                <c:pt idx="6">
                  <c:v>3.8888888888888888</c:v>
                </c:pt>
                <c:pt idx="7">
                  <c:v>1</c:v>
                </c:pt>
                <c:pt idx="8">
                  <c:v>3.5</c:v>
                </c:pt>
                <c:pt idx="9">
                  <c:v>1</c:v>
                </c:pt>
                <c:pt idx="10">
                  <c:v>3.4166666666666665</c:v>
                </c:pt>
                <c:pt idx="11">
                  <c:v>2</c:v>
                </c:pt>
                <c:pt idx="12">
                  <c:v>2.7450980392156863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B-4A2D-814D-D7B674C9A249}"/>
            </c:ext>
          </c:extLst>
        </c:ser>
        <c:ser>
          <c:idx val="0"/>
          <c:order val="2"/>
          <c:tx>
            <c:strRef>
              <c:f>'EM evol menusual lugar resd'!$K$249:$L$249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55B-4A2D-814D-D7B674C9A24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resd'!$K$251:$K$263</c:f>
              <c:numCache>
                <c:formatCode>0.00</c:formatCode>
                <c:ptCount val="13"/>
                <c:pt idx="0">
                  <c:v>2.8793103448275863</c:v>
                </c:pt>
                <c:pt idx="1">
                  <c:v>4.2424242424242422</c:v>
                </c:pt>
                <c:pt idx="2">
                  <c:v>4.7692307692307692</c:v>
                </c:pt>
                <c:pt idx="3">
                  <c:v>0</c:v>
                </c:pt>
                <c:pt idx="4">
                  <c:v>0</c:v>
                </c:pt>
                <c:pt idx="5">
                  <c:v>3.7446808510638299</c:v>
                </c:pt>
                <c:pt idx="6">
                  <c:v>4.5</c:v>
                </c:pt>
                <c:pt idx="7">
                  <c:v>1</c:v>
                </c:pt>
                <c:pt idx="8">
                  <c:v>2.7692307692307692</c:v>
                </c:pt>
                <c:pt idx="9">
                  <c:v>2.4</c:v>
                </c:pt>
                <c:pt idx="10">
                  <c:v>3.0526315789473686</c:v>
                </c:pt>
                <c:pt idx="11">
                  <c:v>2.5</c:v>
                </c:pt>
                <c:pt idx="12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5B-4A2D-814D-D7B674C9A249}"/>
            </c:ext>
          </c:extLst>
        </c:ser>
        <c:ser>
          <c:idx val="1"/>
          <c:order val="3"/>
          <c:tx>
            <c:strRef>
              <c:f>'EM evol menusual lugar resd'!$M$249:$N$249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5B-4A2D-814D-D7B674C9A249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5B-4A2D-814D-D7B674C9A249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resd'!$M$251:$M$263</c:f>
              <c:numCache>
                <c:formatCode>0.00</c:formatCode>
                <c:ptCount val="13"/>
                <c:pt idx="0">
                  <c:v>3.0909090909090908</c:v>
                </c:pt>
                <c:pt idx="1">
                  <c:v>1.8461538461538463</c:v>
                </c:pt>
                <c:pt idx="2">
                  <c:v>2.6</c:v>
                </c:pt>
                <c:pt idx="3">
                  <c:v>3.6666666666666665</c:v>
                </c:pt>
                <c:pt idx="4">
                  <c:v>6</c:v>
                </c:pt>
                <c:pt idx="5">
                  <c:v>2</c:v>
                </c:pt>
                <c:pt idx="12">
                  <c:v>2.421875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5B-4A2D-814D-D7B674C9A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resd'!$C$249:$D$249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155B-4A2D-814D-D7B674C9A249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resd'!$C$251:$C$263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3.7241379310344827</c:v>
                      </c:pt>
                      <c:pt idx="1">
                        <c:v>4.2941176470588234</c:v>
                      </c:pt>
                      <c:pt idx="2">
                        <c:v>21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0</c:v>
                      </c:pt>
                      <c:pt idx="10">
                        <c:v>4.5</c:v>
                      </c:pt>
                      <c:pt idx="11">
                        <c:v>1</c:v>
                      </c:pt>
                      <c:pt idx="12">
                        <c:v>4.830645161290323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155B-4A2D-814D-D7B674C9A24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resd'!$N$250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55B-4A2D-814D-D7B674C9A249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5B-4A2D-814D-D7B674C9A249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5B-4A2D-814D-D7B674C9A249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5B-4A2D-814D-D7B674C9A249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5B-4A2D-814D-D7B674C9A249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5B-4A2D-814D-D7B674C9A249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5B-4A2D-814D-D7B674C9A249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5B-4A2D-814D-D7B674C9A249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5B-4A2D-814D-D7B674C9A249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5B-4A2D-814D-D7B674C9A249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5B-4A2D-814D-D7B674C9A249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5B-4A2D-814D-D7B674C9A249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5B-4A2D-814D-D7B674C9A249}"/>
              </c:ext>
            </c:extLst>
          </c:dPt>
          <c:cat>
            <c:strRef>
              <c:f>'EM evol menusual lugar resd'!$B$251:$B$262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resd'!$N$251:$N$263</c:f>
              <c:numCache>
                <c:formatCode>0.00</c:formatCode>
                <c:ptCount val="13"/>
                <c:pt idx="0">
                  <c:v>0.21159874608150453</c:v>
                </c:pt>
                <c:pt idx="1">
                  <c:v>-2.396270396270396</c:v>
                </c:pt>
                <c:pt idx="2">
                  <c:v>-2.1692307692307691</c:v>
                </c:pt>
                <c:pt idx="3">
                  <c:v>0</c:v>
                </c:pt>
                <c:pt idx="4">
                  <c:v>0</c:v>
                </c:pt>
                <c:pt idx="5">
                  <c:v>-1.7446808510638299</c:v>
                </c:pt>
                <c:pt idx="12">
                  <c:v>-1.2006415562913908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55B-4A2D-814D-D7B674C9A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menusual lugar resd'!$I$271:$J$271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B3-44A0-9E59-0EF92A7BBCDF}"/>
              </c:ext>
            </c:extLst>
          </c:dPt>
          <c:val>
            <c:numRef>
              <c:f>'EM evol menusual lugar resd'!$I$273:$I$285</c:f>
              <c:numCache>
                <c:formatCode>0.00</c:formatCode>
                <c:ptCount val="13"/>
                <c:pt idx="0">
                  <c:v>3.6875</c:v>
                </c:pt>
                <c:pt idx="1">
                  <c:v>3.6875</c:v>
                </c:pt>
                <c:pt idx="2">
                  <c:v>2.763157894736842</c:v>
                </c:pt>
                <c:pt idx="3">
                  <c:v>3</c:v>
                </c:pt>
                <c:pt idx="4">
                  <c:v>10.5</c:v>
                </c:pt>
                <c:pt idx="5">
                  <c:v>5.333333333333333</c:v>
                </c:pt>
                <c:pt idx="6">
                  <c:v>3.2222222222222223</c:v>
                </c:pt>
                <c:pt idx="7">
                  <c:v>2.4285714285714284</c:v>
                </c:pt>
                <c:pt idx="8">
                  <c:v>3.3333333333333335</c:v>
                </c:pt>
                <c:pt idx="9">
                  <c:v>1.625</c:v>
                </c:pt>
                <c:pt idx="10">
                  <c:v>3.03125</c:v>
                </c:pt>
                <c:pt idx="11">
                  <c:v>4.59375</c:v>
                </c:pt>
                <c:pt idx="12">
                  <c:v>3.5185185185185186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B3-44A0-9E59-0EF92A7BBCDF}"/>
            </c:ext>
          </c:extLst>
        </c:ser>
        <c:ser>
          <c:idx val="0"/>
          <c:order val="2"/>
          <c:tx>
            <c:strRef>
              <c:f>'EM evol menusual lugar resd'!$K$271:$L$271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1B3-44A0-9E59-0EF92A7BBCD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resd'!$K$273:$K$285</c:f>
              <c:numCache>
                <c:formatCode>0.00</c:formatCode>
                <c:ptCount val="13"/>
                <c:pt idx="0">
                  <c:v>2.7826086956521738</c:v>
                </c:pt>
                <c:pt idx="1">
                  <c:v>4.2</c:v>
                </c:pt>
                <c:pt idx="2">
                  <c:v>3.2857142857142856</c:v>
                </c:pt>
                <c:pt idx="3">
                  <c:v>3.2</c:v>
                </c:pt>
                <c:pt idx="4">
                  <c:v>1.5</c:v>
                </c:pt>
                <c:pt idx="5">
                  <c:v>0</c:v>
                </c:pt>
                <c:pt idx="6">
                  <c:v>1</c:v>
                </c:pt>
                <c:pt idx="7">
                  <c:v>4.5999999999999996</c:v>
                </c:pt>
                <c:pt idx="8">
                  <c:v>2.4</c:v>
                </c:pt>
                <c:pt idx="9">
                  <c:v>4.6923076923076925</c:v>
                </c:pt>
                <c:pt idx="10">
                  <c:v>2.6764705882352939</c:v>
                </c:pt>
                <c:pt idx="11">
                  <c:v>3.8095238095238093</c:v>
                </c:pt>
                <c:pt idx="12">
                  <c:v>3.2395833333333335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B3-44A0-9E59-0EF92A7BBCDF}"/>
            </c:ext>
          </c:extLst>
        </c:ser>
        <c:ser>
          <c:idx val="1"/>
          <c:order val="3"/>
          <c:tx>
            <c:strRef>
              <c:f>'EM evol menusual lugar resd'!$M$271:$N$271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B3-44A0-9E59-0EF92A7BBCDF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1B3-44A0-9E59-0EF92A7BBCDF}"/>
              </c:ext>
            </c:extLst>
          </c:dPt>
          <c:cat>
            <c:strRef>
              <c:f>'EM evol menusual lugar resd'!$A$9:$A$21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menusual lugar resd'!$M$273:$M$285</c:f>
              <c:numCache>
                <c:formatCode>0.00</c:formatCode>
                <c:ptCount val="13"/>
                <c:pt idx="0">
                  <c:v>2.4457831325301207</c:v>
                </c:pt>
                <c:pt idx="1">
                  <c:v>1.9090909090909092</c:v>
                </c:pt>
                <c:pt idx="2">
                  <c:v>3.5862068965517242</c:v>
                </c:pt>
                <c:pt idx="3">
                  <c:v>3.8333333333333335</c:v>
                </c:pt>
                <c:pt idx="4">
                  <c:v>5.2</c:v>
                </c:pt>
                <c:pt idx="5">
                  <c:v>7.5</c:v>
                </c:pt>
                <c:pt idx="12">
                  <c:v>3.0279720279720279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B3-44A0-9E59-0EF92A7BB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menusual lugar resd'!$C$271:$D$271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D1B3-44A0-9E59-0EF92A7BBCDF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menusual lugar resd'!$A$9:$A$21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menusual lugar resd'!$C$273:$C$285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3.1</c:v>
                      </c:pt>
                      <c:pt idx="1">
                        <c:v>3.7692307692307692</c:v>
                      </c:pt>
                      <c:pt idx="2">
                        <c:v>3.8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3</c:v>
                      </c:pt>
                      <c:pt idx="9">
                        <c:v>1.5</c:v>
                      </c:pt>
                      <c:pt idx="10">
                        <c:v>1.6666666666666667</c:v>
                      </c:pt>
                      <c:pt idx="11">
                        <c:v>2</c:v>
                      </c:pt>
                      <c:pt idx="12">
                        <c:v>2.9101123595505616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D1B3-44A0-9E59-0EF92A7BBCD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menusual lugar resd'!$N$272</c:f>
              <c:strCache>
                <c:ptCount val="1"/>
                <c:pt idx="0">
                  <c:v>dif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B3-44A0-9E59-0EF92A7BBCDF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B3-44A0-9E59-0EF92A7BBCDF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B3-44A0-9E59-0EF92A7BBCDF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B3-44A0-9E59-0EF92A7BBCDF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B3-44A0-9E59-0EF92A7BBCDF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B3-44A0-9E59-0EF92A7BBCDF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B3-44A0-9E59-0EF92A7BBCDF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B3-44A0-9E59-0EF92A7BBCDF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B3-44A0-9E59-0EF92A7BBCDF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B3-44A0-9E59-0EF92A7BBCDF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B3-44A0-9E59-0EF92A7BBCDF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B3-44A0-9E59-0EF92A7BBCDF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B3-44A0-9E59-0EF92A7BBCDF}"/>
              </c:ext>
            </c:extLst>
          </c:dPt>
          <c:cat>
            <c:strRef>
              <c:f>'EM evol menusual lugar resd'!$B$273:$B$284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menusual lugar resd'!$N$273:$N$285</c:f>
              <c:numCache>
                <c:formatCode>0.00</c:formatCode>
                <c:ptCount val="13"/>
                <c:pt idx="0">
                  <c:v>-0.33682556312205314</c:v>
                </c:pt>
                <c:pt idx="1">
                  <c:v>-2.290909090909091</c:v>
                </c:pt>
                <c:pt idx="2">
                  <c:v>0.30049261083743861</c:v>
                </c:pt>
                <c:pt idx="3">
                  <c:v>0.6333333333333333</c:v>
                </c:pt>
                <c:pt idx="4">
                  <c:v>3.7</c:v>
                </c:pt>
                <c:pt idx="5">
                  <c:v>0</c:v>
                </c:pt>
                <c:pt idx="12">
                  <c:v>-7.3914764480802475E-2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1B3-44A0-9E59-0EF92A7BB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60-49ED-8977-FE1ED91CE05E}"/>
              </c:ext>
            </c:extLst>
          </c:dPt>
          <c:val>
            <c:numRef>
              <c:f>'EM evol mensu TF cat '!$I$9:$I$21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60-49ED-8977-FE1ED91CE05E}"/>
            </c:ext>
          </c:extLst>
        </c:ser>
        <c:ser>
          <c:idx val="0"/>
          <c:order val="2"/>
          <c:tx>
            <c:strRef>
              <c:f>'EM evol mensu TF cat 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60-49ED-8977-FE1ED91CE05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'!$K$9:$K$21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2.7401171303074672</c:v>
                </c:pt>
                <c:pt idx="11">
                  <c:v>2.5476281560826322</c:v>
                </c:pt>
                <c:pt idx="12">
                  <c:v>2.6538649194953647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60-49ED-8977-FE1ED91CE05E}"/>
            </c:ext>
          </c:extLst>
        </c:ser>
        <c:ser>
          <c:idx val="1"/>
          <c:order val="3"/>
          <c:tx>
            <c:strRef>
              <c:f>'EM evol mensu TF cat 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60-49ED-8977-FE1ED91CE05E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60-49ED-8977-FE1ED91CE05E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'!$M$9:$M$21</c:f>
              <c:numCache>
                <c:formatCode>0.00</c:formatCode>
                <c:ptCount val="13"/>
                <c:pt idx="0">
                  <c:v>2.6840519676143852</c:v>
                </c:pt>
                <c:pt idx="1">
                  <c:v>3.1261325703385787</c:v>
                </c:pt>
                <c:pt idx="2">
                  <c:v>2.6383377012354923</c:v>
                </c:pt>
                <c:pt idx="3">
                  <c:v>2.7806406685236769</c:v>
                </c:pt>
                <c:pt idx="4">
                  <c:v>2.6832733093237295</c:v>
                </c:pt>
                <c:pt idx="5">
                  <c:v>2.8302986161689732</c:v>
                </c:pt>
                <c:pt idx="12">
                  <c:v>2.7768817204301075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660-49ED-8977-FE1ED91CE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8660-49ED-8977-FE1ED91CE05E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'!$C$9:$C$21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2.6174716182412929</c:v>
                      </c:pt>
                      <c:pt idx="1">
                        <c:v>2.6762455682030231</c:v>
                      </c:pt>
                      <c:pt idx="2">
                        <c:v>2.599636032757052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2.499459848757652</c:v>
                      </c:pt>
                      <c:pt idx="8">
                        <c:v>2.135487528344671</c:v>
                      </c:pt>
                      <c:pt idx="9">
                        <c:v>2.0425170068027212</c:v>
                      </c:pt>
                      <c:pt idx="10">
                        <c:v>2.0164492342597846</c:v>
                      </c:pt>
                      <c:pt idx="11">
                        <c:v>2.2569676700111483</c:v>
                      </c:pt>
                      <c:pt idx="12">
                        <c:v>2.437843193922629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8660-49ED-8977-FE1ED91CE05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'!$N$8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660-49ED-8977-FE1ED91CE05E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660-49ED-8977-FE1ED91CE05E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660-49ED-8977-FE1ED91CE05E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60-49ED-8977-FE1ED91CE05E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60-49ED-8977-FE1ED91CE05E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60-49ED-8977-FE1ED91CE05E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60-49ED-8977-FE1ED91CE05E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60-49ED-8977-FE1ED91CE05E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60-49ED-8977-FE1ED91CE05E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60-49ED-8977-FE1ED91CE05E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60-49ED-8977-FE1ED91CE05E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60-49ED-8977-FE1ED91CE05E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60-49ED-8977-FE1ED91CE05E}"/>
              </c:ext>
            </c:extLst>
          </c:dPt>
          <c:cat>
            <c:strRef>
              <c:f>'EM evol mensu TF cat 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'!$N$9:$N$21</c:f>
              <c:numCache>
                <c:formatCode>0.00</c:formatCode>
                <c:ptCount val="13"/>
                <c:pt idx="0">
                  <c:v>-0.11084931664860109</c:v>
                </c:pt>
                <c:pt idx="1">
                  <c:v>-2.5647567075537392E-2</c:v>
                </c:pt>
                <c:pt idx="2">
                  <c:v>-0.32064062693788253</c:v>
                </c:pt>
                <c:pt idx="3">
                  <c:v>0.1215587532090745</c:v>
                </c:pt>
                <c:pt idx="4">
                  <c:v>0.17666273240065244</c:v>
                </c:pt>
                <c:pt idx="5">
                  <c:v>0.27858317721841797</c:v>
                </c:pt>
                <c:pt idx="12">
                  <c:v>4.7690702043912125E-5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660-49ED-8977-FE1ED91CE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0624332445310046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D-4856-96B7-B46F9F8DC86A}"/>
              </c:ext>
            </c:extLst>
          </c:dPt>
          <c:val>
            <c:numRef>
              <c:f>'EM evol mensu TF cat '!$I$31:$I$43</c:f>
              <c:numCache>
                <c:formatCode>0.00</c:formatCode>
                <c:ptCount val="13"/>
                <c:pt idx="0">
                  <c:v>2.6628942486085343</c:v>
                </c:pt>
                <c:pt idx="1">
                  <c:v>2.7041745730550284</c:v>
                </c:pt>
                <c:pt idx="2">
                  <c:v>2.7572009188902631</c:v>
                </c:pt>
                <c:pt idx="3">
                  <c:v>2.4570599613152804</c:v>
                </c:pt>
                <c:pt idx="4">
                  <c:v>2.5519648912826649</c:v>
                </c:pt>
                <c:pt idx="5">
                  <c:v>2.4809854101889499</c:v>
                </c:pt>
                <c:pt idx="6">
                  <c:v>2.2105990783410139</c:v>
                </c:pt>
                <c:pt idx="7">
                  <c:v>2.5556512378902045</c:v>
                </c:pt>
                <c:pt idx="8">
                  <c:v>2.3459411634594116</c:v>
                </c:pt>
                <c:pt idx="9">
                  <c:v>2.5134645847476804</c:v>
                </c:pt>
                <c:pt idx="10">
                  <c:v>2.6623690572119258</c:v>
                </c:pt>
                <c:pt idx="11">
                  <c:v>2.587568157033806</c:v>
                </c:pt>
                <c:pt idx="12">
                  <c:v>2.5505786061867015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AD-4856-96B7-B46F9F8DC86A}"/>
            </c:ext>
          </c:extLst>
        </c:ser>
        <c:ser>
          <c:idx val="0"/>
          <c:order val="2"/>
          <c:tx>
            <c:strRef>
              <c:f>'EM evol mensu TF cat 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AD-4856-96B7-B46F9F8DC86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'!$K$31:$K$43</c:f>
              <c:numCache>
                <c:formatCode>0.00</c:formatCode>
                <c:ptCount val="13"/>
                <c:pt idx="0">
                  <c:v>2.7949012842629863</c:v>
                </c:pt>
                <c:pt idx="1">
                  <c:v>3.1517801374141161</c:v>
                </c:pt>
                <c:pt idx="2">
                  <c:v>2.9589783281733748</c:v>
                </c:pt>
                <c:pt idx="3">
                  <c:v>2.6590819153146024</c:v>
                </c:pt>
                <c:pt idx="4">
                  <c:v>2.5066105769230771</c:v>
                </c:pt>
                <c:pt idx="5">
                  <c:v>2.5517154389505552</c:v>
                </c:pt>
                <c:pt idx="6">
                  <c:v>2.2077073807968648</c:v>
                </c:pt>
                <c:pt idx="7">
                  <c:v>3.1938599517074855</c:v>
                </c:pt>
                <c:pt idx="8">
                  <c:v>2.2301946137212503</c:v>
                </c:pt>
                <c:pt idx="9">
                  <c:v>2.4775360845700347</c:v>
                </c:pt>
                <c:pt idx="10">
                  <c:v>2.7401171303074672</c:v>
                </c:pt>
                <c:pt idx="11">
                  <c:v>2.5476281560826322</c:v>
                </c:pt>
                <c:pt idx="12">
                  <c:v>2.6538649194953647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AD-4856-96B7-B46F9F8DC86A}"/>
            </c:ext>
          </c:extLst>
        </c:ser>
        <c:ser>
          <c:idx val="1"/>
          <c:order val="3"/>
          <c:tx>
            <c:strRef>
              <c:f>'EM evol mensu TF cat 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D-4856-96B7-B46F9F8DC86A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AD-4856-96B7-B46F9F8DC86A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'!$M$31:$M$43</c:f>
              <c:numCache>
                <c:formatCode>0.00</c:formatCode>
                <c:ptCount val="13"/>
                <c:pt idx="0">
                  <c:v>2.6840519676143852</c:v>
                </c:pt>
                <c:pt idx="1">
                  <c:v>3.1261325703385787</c:v>
                </c:pt>
                <c:pt idx="2">
                  <c:v>2.6383377012354923</c:v>
                </c:pt>
                <c:pt idx="3">
                  <c:v>2.7806406685236769</c:v>
                </c:pt>
                <c:pt idx="4">
                  <c:v>2.6832733093237295</c:v>
                </c:pt>
                <c:pt idx="5">
                  <c:v>2.8302986161689732</c:v>
                </c:pt>
                <c:pt idx="12">
                  <c:v>2.7768817204301075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AD-4856-96B7-B46F9F8DC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5AD-4856-96B7-B46F9F8DC86A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'!$C$31:$C$43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2.6174716182412929</c:v>
                      </c:pt>
                      <c:pt idx="1">
                        <c:v>2.6762455682030231</c:v>
                      </c:pt>
                      <c:pt idx="2">
                        <c:v>2.599636032757052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2.499459848757652</c:v>
                      </c:pt>
                      <c:pt idx="8">
                        <c:v>2.135487528344671</c:v>
                      </c:pt>
                      <c:pt idx="9">
                        <c:v>2.0425170068027212</c:v>
                      </c:pt>
                      <c:pt idx="10">
                        <c:v>2.0164492342597846</c:v>
                      </c:pt>
                      <c:pt idx="11">
                        <c:v>2.2569676700111483</c:v>
                      </c:pt>
                      <c:pt idx="12">
                        <c:v>2.437843193922629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5AD-4856-96B7-B46F9F8DC86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'!$N$30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5AD-4856-96B7-B46F9F8DC86A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5AD-4856-96B7-B46F9F8DC86A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5AD-4856-96B7-B46F9F8DC86A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5AD-4856-96B7-B46F9F8DC86A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5AD-4856-96B7-B46F9F8DC86A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5AD-4856-96B7-B46F9F8DC86A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5AD-4856-96B7-B46F9F8DC86A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AD-4856-96B7-B46F9F8DC86A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AD-4856-96B7-B46F9F8DC86A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AD-4856-96B7-B46F9F8DC86A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AD-4856-96B7-B46F9F8DC86A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AD-4856-96B7-B46F9F8DC86A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AD-4856-96B7-B46F9F8DC86A}"/>
              </c:ext>
            </c:extLst>
          </c:dPt>
          <c:cat>
            <c:strRef>
              <c:f>'EM evol mensu TF cat 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'!$N$31:$N$43</c:f>
              <c:numCache>
                <c:formatCode>0.00</c:formatCode>
                <c:ptCount val="13"/>
                <c:pt idx="0">
                  <c:v>-0.11084931664860109</c:v>
                </c:pt>
                <c:pt idx="1">
                  <c:v>-2.5647567075537392E-2</c:v>
                </c:pt>
                <c:pt idx="2">
                  <c:v>-0.32064062693788253</c:v>
                </c:pt>
                <c:pt idx="3">
                  <c:v>0.1215587532090745</c:v>
                </c:pt>
                <c:pt idx="4">
                  <c:v>0.17666273240065244</c:v>
                </c:pt>
                <c:pt idx="5">
                  <c:v>0.27858317721841797</c:v>
                </c:pt>
                <c:pt idx="12">
                  <c:v>4.7690702043912125E-5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5AD-4856-96B7-B46F9F8DC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1187294267900032"/>
          <c:w val="0.86939722222222227"/>
          <c:h val="0.42070463713947498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D5-4A6A-A736-670EE49E1B54}"/>
              </c:ext>
            </c:extLst>
          </c:dPt>
          <c:val>
            <c:numRef>
              <c:f>'EM evol mensu TF cat '!$I$53:$I$65</c:f>
              <c:numCache>
                <c:formatCode>0.00</c:formatCode>
                <c:ptCount val="13"/>
                <c:pt idx="0">
                  <c:v>2.7950872656755008</c:v>
                </c:pt>
                <c:pt idx="1">
                  <c:v>2.8731359893167148</c:v>
                </c:pt>
                <c:pt idx="2">
                  <c:v>2.9364389233954453</c:v>
                </c:pt>
                <c:pt idx="3">
                  <c:v>2.5746586075665996</c:v>
                </c:pt>
                <c:pt idx="4">
                  <c:v>2.6306366047745358</c:v>
                </c:pt>
                <c:pt idx="5">
                  <c:v>2.5592901317558483</c:v>
                </c:pt>
                <c:pt idx="6">
                  <c:v>0</c:v>
                </c:pt>
                <c:pt idx="7">
                  <c:v>0</c:v>
                </c:pt>
                <c:pt idx="8">
                  <c:v>2.3941569695469176</c:v>
                </c:pt>
                <c:pt idx="9">
                  <c:v>2.651506996770721</c:v>
                </c:pt>
                <c:pt idx="10">
                  <c:v>2.8276945384243595</c:v>
                </c:pt>
                <c:pt idx="11">
                  <c:v>2.7499333511063715</c:v>
                </c:pt>
                <c:pt idx="12">
                  <c:v>2.6597626112759643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D5-4A6A-A736-670EE49E1B54}"/>
            </c:ext>
          </c:extLst>
        </c:ser>
        <c:ser>
          <c:idx val="0"/>
          <c:order val="2"/>
          <c:tx>
            <c:strRef>
              <c:f>'EM evol mensu TF cat 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D5-4A6A-A736-670EE49E1B5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'!$K$53:$K$65</c:f>
              <c:numCache>
                <c:formatCode>0.00</c:formatCode>
                <c:ptCount val="13"/>
                <c:pt idx="0">
                  <c:v>2.9186357556843512</c:v>
                </c:pt>
                <c:pt idx="1">
                  <c:v>3.347750434998757</c:v>
                </c:pt>
                <c:pt idx="2">
                  <c:v>3.1342297174111211</c:v>
                </c:pt>
                <c:pt idx="3">
                  <c:v>2.7839800317676424</c:v>
                </c:pt>
                <c:pt idx="4">
                  <c:v>2.5609430604982206</c:v>
                </c:pt>
                <c:pt idx="5">
                  <c:v>2.6040229885057471</c:v>
                </c:pt>
                <c:pt idx="6">
                  <c:v>2.2533062054933874</c:v>
                </c:pt>
                <c:pt idx="7">
                  <c:v>3.3068565005620081</c:v>
                </c:pt>
                <c:pt idx="8">
                  <c:v>2.2749944333110665</c:v>
                </c:pt>
                <c:pt idx="9">
                  <c:v>2.6273516642547032</c:v>
                </c:pt>
                <c:pt idx="10">
                  <c:v>2.9430714916151808</c:v>
                </c:pt>
                <c:pt idx="11">
                  <c:v>2.6366930917327291</c:v>
                </c:pt>
                <c:pt idx="12">
                  <c:v>2.7683008187607401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D5-4A6A-A736-670EE49E1B54}"/>
            </c:ext>
          </c:extLst>
        </c:ser>
        <c:ser>
          <c:idx val="1"/>
          <c:order val="3"/>
          <c:tx>
            <c:strRef>
              <c:f>'EM evol mensu TF cat 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D5-4A6A-A736-670EE49E1B54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D5-4A6A-A736-670EE49E1B54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'!$M$53:$M$65</c:f>
              <c:numCache>
                <c:formatCode>0.00</c:formatCode>
                <c:ptCount val="13"/>
                <c:pt idx="0">
                  <c:v>2.8401337792642138</c:v>
                </c:pt>
                <c:pt idx="1">
                  <c:v>3.4421083802191292</c:v>
                </c:pt>
                <c:pt idx="2">
                  <c:v>2.7850322007550523</c:v>
                </c:pt>
                <c:pt idx="3">
                  <c:v>2.9443530701754388</c:v>
                </c:pt>
                <c:pt idx="4">
                  <c:v>2.8007017543859649</c:v>
                </c:pt>
                <c:pt idx="5">
                  <c:v>3.045272206303725</c:v>
                </c:pt>
                <c:pt idx="12">
                  <c:v>2.9542013626040879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D5-4A6A-A736-670EE49E1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77D5-4A6A-A736-670EE49E1B54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'!$C$53:$C$65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3.0477990818255467</c:v>
                      </c:pt>
                      <c:pt idx="1">
                        <c:v>3.1402388225492919</c:v>
                      </c:pt>
                      <c:pt idx="2">
                        <c:v>3.2750179985601151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77D5-4A6A-A736-670EE49E1B5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'!$N$52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D5-4A6A-A736-670EE49E1B54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D5-4A6A-A736-670EE49E1B54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D5-4A6A-A736-670EE49E1B54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D5-4A6A-A736-670EE49E1B54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D5-4A6A-A736-670EE49E1B54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D5-4A6A-A736-670EE49E1B54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D5-4A6A-A736-670EE49E1B54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7D5-4A6A-A736-670EE49E1B54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7D5-4A6A-A736-670EE49E1B54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7D5-4A6A-A736-670EE49E1B54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7D5-4A6A-A736-670EE49E1B54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7D5-4A6A-A736-670EE49E1B54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D5-4A6A-A736-670EE49E1B54}"/>
              </c:ext>
            </c:extLst>
          </c:dPt>
          <c:cat>
            <c:strRef>
              <c:f>'EM evol mensu TF cat 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'!$N$53:$N$65</c:f>
              <c:numCache>
                <c:formatCode>0.00</c:formatCode>
                <c:ptCount val="13"/>
                <c:pt idx="0">
                  <c:v>-7.8501976420137343E-2</c:v>
                </c:pt>
                <c:pt idx="1">
                  <c:v>9.4357945220372219E-2</c:v>
                </c:pt>
                <c:pt idx="2">
                  <c:v>-0.3491975166560688</c:v>
                </c:pt>
                <c:pt idx="3">
                  <c:v>0.16037303840779638</c:v>
                </c:pt>
                <c:pt idx="4">
                  <c:v>0.23975869388774429</c:v>
                </c:pt>
                <c:pt idx="5">
                  <c:v>0.44124921779797788</c:v>
                </c:pt>
                <c:pt idx="12">
                  <c:v>6.0253577793961455E-2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7D5-4A6A-A736-670EE49E1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75351449275362"/>
          <c:y val="0.16682593088722317"/>
          <c:w val="0.86939722222222227"/>
          <c:h val="0.44673508775094251"/>
        </c:manualLayout>
      </c:layout>
      <c:lineChart>
        <c:grouping val="standard"/>
        <c:varyColors val="0"/>
        <c:ser>
          <c:idx val="5"/>
          <c:order val="1"/>
          <c:tx>
            <c:strRef>
              <c:f>'EM evol mensu TF cat 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74-4C60-BAF4-668429EC7556}"/>
              </c:ext>
            </c:extLst>
          </c:dPt>
          <c:val>
            <c:numRef>
              <c:f>'EM evol mensu TF cat '!$I$75:$I$87</c:f>
              <c:numCache>
                <c:formatCode>0.00</c:formatCode>
                <c:ptCount val="13"/>
                <c:pt idx="0">
                  <c:v>1.8437917222963951</c:v>
                </c:pt>
                <c:pt idx="1">
                  <c:v>1.7271557271557272</c:v>
                </c:pt>
                <c:pt idx="2">
                  <c:v>1.712907117008444</c:v>
                </c:pt>
                <c:pt idx="3">
                  <c:v>1.7098150782361308</c:v>
                </c:pt>
                <c:pt idx="4">
                  <c:v>1.8241308793456033</c:v>
                </c:pt>
                <c:pt idx="5">
                  <c:v>1.8506493506493507</c:v>
                </c:pt>
                <c:pt idx="6">
                  <c:v>0</c:v>
                </c:pt>
                <c:pt idx="7">
                  <c:v>0</c:v>
                </c:pt>
                <c:pt idx="8">
                  <c:v>1.941908713692946</c:v>
                </c:pt>
                <c:pt idx="9">
                  <c:v>1.7837837837837838</c:v>
                </c:pt>
                <c:pt idx="10">
                  <c:v>1.834140435835351</c:v>
                </c:pt>
                <c:pt idx="11">
                  <c:v>1.8573141486810552</c:v>
                </c:pt>
                <c:pt idx="12">
                  <c:v>1.8250295780202446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74-4C60-BAF4-668429EC7556}"/>
            </c:ext>
          </c:extLst>
        </c:ser>
        <c:ser>
          <c:idx val="0"/>
          <c:order val="2"/>
          <c:tx>
            <c:strRef>
              <c:f>'EM evol mensu TF cat 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74-4C60-BAF4-668429EC7556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'!$K$75:$K$87</c:f>
              <c:numCache>
                <c:formatCode>0.00</c:formatCode>
                <c:ptCount val="13"/>
                <c:pt idx="0">
                  <c:v>2.0355677154582765</c:v>
                </c:pt>
                <c:pt idx="1">
                  <c:v>2.141025641025641</c:v>
                </c:pt>
                <c:pt idx="2">
                  <c:v>1.9730769230769232</c:v>
                </c:pt>
                <c:pt idx="3">
                  <c:v>1.8083462132921175</c:v>
                </c:pt>
                <c:pt idx="4">
                  <c:v>2.0141129032258065</c:v>
                </c:pt>
                <c:pt idx="5">
                  <c:v>2.1756198347107438</c:v>
                </c:pt>
                <c:pt idx="6">
                  <c:v>1.9364599092284418</c:v>
                </c:pt>
                <c:pt idx="7">
                  <c:v>1.8826086956521739</c:v>
                </c:pt>
                <c:pt idx="8">
                  <c:v>1.8926174496644295</c:v>
                </c:pt>
                <c:pt idx="9">
                  <c:v>1.6739974126778785</c:v>
                </c:pt>
                <c:pt idx="10">
                  <c:v>1.7532188841201717</c:v>
                </c:pt>
                <c:pt idx="11">
                  <c:v>2.0639606396063961</c:v>
                </c:pt>
                <c:pt idx="12">
                  <c:v>1.9394168875425974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74-4C60-BAF4-668429EC7556}"/>
            </c:ext>
          </c:extLst>
        </c:ser>
        <c:ser>
          <c:idx val="1"/>
          <c:order val="3"/>
          <c:tx>
            <c:strRef>
              <c:f>'EM evol mensu TF cat 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74-4C60-BAF4-668429EC755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74-4C60-BAF4-668429EC7556}"/>
              </c:ext>
            </c:extLst>
          </c:dPt>
          <c:cat>
            <c:strRef>
              <c:f>'EM evol mensu TF cat 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'EM evol mensu TF cat '!$M$75:$M$87</c:f>
              <c:numCache>
                <c:formatCode>0.00</c:formatCode>
                <c:ptCount val="13"/>
                <c:pt idx="0">
                  <c:v>1.8365617433414043</c:v>
                </c:pt>
                <c:pt idx="1">
                  <c:v>1.8200734394124847</c:v>
                </c:pt>
                <c:pt idx="2">
                  <c:v>1.8510131108462455</c:v>
                </c:pt>
                <c:pt idx="3">
                  <c:v>1.8757575757575757</c:v>
                </c:pt>
                <c:pt idx="4">
                  <c:v>1.9889349930843707</c:v>
                </c:pt>
                <c:pt idx="5">
                  <c:v>1.6375198728139904</c:v>
                </c:pt>
                <c:pt idx="12">
                  <c:v>1.8386737872719181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74-4C60-BAF4-668429EC7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'EM evol mensu TF cat '!$C$73:$D$73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2E74-4C60-BAF4-668429EC755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'EM evol mensu TF cat 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'EM evol mensu TF cat '!$C$75:$C$87</c15:sqref>
                        </c15:formulaRef>
                      </c:ext>
                    </c:extLst>
                    <c:numCache>
                      <c:formatCode>0.00</c:formatCode>
                      <c:ptCount val="13"/>
                      <c:pt idx="0">
                        <c:v>1.5508701472556894</c:v>
                      </c:pt>
                      <c:pt idx="1">
                        <c:v>1.7258248009101251</c:v>
                      </c:pt>
                      <c:pt idx="2">
                        <c:v>1.4400494437577256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2E74-4C60-BAF4-668429EC755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'EM evol mensu TF cat '!$N$74</c:f>
              <c:strCache>
                <c:ptCount val="1"/>
                <c:pt idx="0">
                  <c:v>def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E74-4C60-BAF4-668429EC755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E74-4C60-BAF4-668429EC755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E74-4C60-BAF4-668429EC755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E74-4C60-BAF4-668429EC755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E74-4C60-BAF4-668429EC755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74-4C60-BAF4-668429EC755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74-4C60-BAF4-668429EC755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74-4C60-BAF4-668429EC755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74-4C60-BAF4-668429EC755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74-4C60-BAF4-668429EC755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74-4C60-BAF4-668429EC755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74-4C60-BAF4-668429EC755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74-4C60-BAF4-668429EC7556}"/>
              </c:ext>
            </c:extLst>
          </c:dPt>
          <c:cat>
            <c:strRef>
              <c:f>'EM evol mensu TF cat '!$B$75:$B$86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 mensu TF cat '!$N$75:$N$87</c:f>
              <c:numCache>
                <c:formatCode>0.00</c:formatCode>
                <c:ptCount val="13"/>
                <c:pt idx="0">
                  <c:v>-0.19900597211687221</c:v>
                </c:pt>
                <c:pt idx="1">
                  <c:v>-0.3209522016131563</c:v>
                </c:pt>
                <c:pt idx="2">
                  <c:v>-0.12206381223067764</c:v>
                </c:pt>
                <c:pt idx="3">
                  <c:v>6.7411362465458202E-2</c:v>
                </c:pt>
                <c:pt idx="4">
                  <c:v>-2.5177910141435778E-2</c:v>
                </c:pt>
                <c:pt idx="5">
                  <c:v>-0.53809996189675346</c:v>
                </c:pt>
                <c:pt idx="12">
                  <c:v>-0.18251049042078216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E74-4C60-BAF4-668429EC7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7750569674669167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mens'!$I$7:$J$7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FB-43F7-876B-165F0D065A88}"/>
              </c:ext>
            </c:extLst>
          </c:dPt>
          <c:val>
            <c:numRef>
              <c:f>'tasa de ocupación evol mens'!$I$9:$I$21</c:f>
              <c:numCache>
                <c:formatCode>0.0%</c:formatCode>
                <c:ptCount val="13"/>
                <c:pt idx="0">
                  <c:v>0.69830000000000003</c:v>
                </c:pt>
                <c:pt idx="1">
                  <c:v>0.76769999999999994</c:v>
                </c:pt>
                <c:pt idx="2">
                  <c:v>0.75919999999999999</c:v>
                </c:pt>
                <c:pt idx="3">
                  <c:v>0.63869999999999993</c:v>
                </c:pt>
                <c:pt idx="4">
                  <c:v>0.62240000000000006</c:v>
                </c:pt>
                <c:pt idx="5">
                  <c:v>0.52149999999999996</c:v>
                </c:pt>
                <c:pt idx="6">
                  <c:v>0.46679999999999999</c:v>
                </c:pt>
                <c:pt idx="7">
                  <c:v>0.60020000000000007</c:v>
                </c:pt>
                <c:pt idx="8">
                  <c:v>0.53320000000000001</c:v>
                </c:pt>
                <c:pt idx="9">
                  <c:v>0.53239999999999998</c:v>
                </c:pt>
                <c:pt idx="10">
                  <c:v>0.65459999999999996</c:v>
                </c:pt>
                <c:pt idx="11">
                  <c:v>0.56869999999999998</c:v>
                </c:pt>
                <c:pt idx="12">
                  <c:v>0.61259601883208059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B-43F7-876B-165F0D065A88}"/>
            </c:ext>
          </c:extLst>
        </c:ser>
        <c:ser>
          <c:idx val="0"/>
          <c:order val="2"/>
          <c:tx>
            <c:strRef>
              <c:f>'tasa de ocupación evol mens'!$K$7:$L$7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FB-43F7-876B-165F0D065A8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mens'!$K$9:$K$21</c:f>
              <c:numCache>
                <c:formatCode>0.0%</c:formatCode>
                <c:ptCount val="13"/>
                <c:pt idx="0">
                  <c:v>0.69889999999999997</c:v>
                </c:pt>
                <c:pt idx="1">
                  <c:v>0.77560000000000007</c:v>
                </c:pt>
                <c:pt idx="2">
                  <c:v>0.73299999999999998</c:v>
                </c:pt>
                <c:pt idx="3">
                  <c:v>0.66559999999999997</c:v>
                </c:pt>
                <c:pt idx="4">
                  <c:v>0.5998</c:v>
                </c:pt>
                <c:pt idx="5">
                  <c:v>0.501</c:v>
                </c:pt>
                <c:pt idx="6">
                  <c:v>0.48599999999999999</c:v>
                </c:pt>
                <c:pt idx="7">
                  <c:v>0.44380000000000003</c:v>
                </c:pt>
                <c:pt idx="8">
                  <c:v>0.56189999999999996</c:v>
                </c:pt>
                <c:pt idx="9">
                  <c:v>0.58409999999999995</c:v>
                </c:pt>
                <c:pt idx="10">
                  <c:v>0.74159999999999993</c:v>
                </c:pt>
                <c:pt idx="11">
                  <c:v>0.63840000000000008</c:v>
                </c:pt>
                <c:pt idx="12">
                  <c:v>0.6183064169082243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FB-43F7-876B-165F0D065A88}"/>
            </c:ext>
          </c:extLst>
        </c:ser>
        <c:ser>
          <c:idx val="1"/>
          <c:order val="3"/>
          <c:tx>
            <c:strRef>
              <c:f>'tasa de ocupación evol mens'!$M$7:$N$7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FB-43F7-876B-165F0D065A88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FB-43F7-876B-165F0D065A88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mens'!$M$9:$M$21</c:f>
              <c:numCache>
                <c:formatCode>0.0%</c:formatCode>
                <c:ptCount val="13"/>
                <c:pt idx="0">
                  <c:v>0.68330000000000002</c:v>
                </c:pt>
                <c:pt idx="1">
                  <c:v>0.69579999999999997</c:v>
                </c:pt>
                <c:pt idx="2">
                  <c:v>0.67559999999999998</c:v>
                </c:pt>
                <c:pt idx="3">
                  <c:v>0.59329999999999994</c:v>
                </c:pt>
                <c:pt idx="4">
                  <c:v>0.64280000000000004</c:v>
                </c:pt>
                <c:pt idx="5">
                  <c:v>0.57740000000000002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FB-43F7-876B-165F0D065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mens'!$C$7:$D$7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9DFB-43F7-876B-165F0D065A88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mens'!$C$9:$C$21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0.56399999999999995</c:v>
                      </c:pt>
                      <c:pt idx="1">
                        <c:v>0.63570000000000004</c:v>
                      </c:pt>
                      <c:pt idx="2">
                        <c:v>0.2369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0.76939999999999997</c:v>
                      </c:pt>
                      <c:pt idx="8">
                        <c:v>0.43149999999999999</c:v>
                      </c:pt>
                      <c:pt idx="9">
                        <c:v>0.39939999999999998</c:v>
                      </c:pt>
                      <c:pt idx="10">
                        <c:v>0.40720000000000001</c:v>
                      </c:pt>
                      <c:pt idx="11">
                        <c:v>0.48200000000000004</c:v>
                      </c:pt>
                      <c:pt idx="12">
                        <c:v>0.4768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9DFB-43F7-876B-165F0D065A8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mens'!$N$8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FB-43F7-876B-165F0D065A88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FB-43F7-876B-165F0D065A88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FB-43F7-876B-165F0D065A88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FB-43F7-876B-165F0D065A88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FB-43F7-876B-165F0D065A88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FB-43F7-876B-165F0D065A88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FB-43F7-876B-165F0D065A88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FB-43F7-876B-165F0D065A88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FB-43F7-876B-165F0D065A88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FB-43F7-876B-165F0D065A88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FB-43F7-876B-165F0D065A88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FB-43F7-876B-165F0D065A88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FB-43F7-876B-165F0D065A88}"/>
              </c:ext>
            </c:extLst>
          </c:dPt>
          <c:cat>
            <c:strRef>
              <c:f>'tasa de ocupación evol mens'!$B$9:$B$20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mens'!$N$9:$N$21</c:f>
              <c:numCache>
                <c:formatCode>0.0%</c:formatCode>
                <c:ptCount val="13"/>
                <c:pt idx="0">
                  <c:v>-2.2320789812562469E-2</c:v>
                </c:pt>
                <c:pt idx="1">
                  <c:v>-0.10288808664259941</c:v>
                </c:pt>
                <c:pt idx="2">
                  <c:v>-7.8308321964529304E-2</c:v>
                </c:pt>
                <c:pt idx="3">
                  <c:v>-0.10862379807692313</c:v>
                </c:pt>
                <c:pt idx="4">
                  <c:v>7.1690563521173756E-2</c:v>
                </c:pt>
                <c:pt idx="5">
                  <c:v>0.15249500998003995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DFB-43F7-876B-165F0D065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739082125603864"/>
          <c:y val="0.15564305555555558"/>
          <c:w val="0.8970059178743961"/>
          <c:h val="0.42248339762898768"/>
        </c:manualLayout>
      </c:layout>
      <c:lineChart>
        <c:grouping val="standard"/>
        <c:varyColors val="0"/>
        <c:ser>
          <c:idx val="3"/>
          <c:order val="0"/>
          <c:tx>
            <c:strRef>
              <c:f>'tasa de ocupación evol mens'!$I$73:$J$73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31-4A81-AEE1-0EEF129E81C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mens'!$I$75:$I$87</c:f>
              <c:numCache>
                <c:formatCode>0.0%</c:formatCode>
                <c:ptCount val="13"/>
                <c:pt idx="0">
                  <c:v>0.70709999999999995</c:v>
                </c:pt>
                <c:pt idx="1">
                  <c:v>0.76080000000000003</c:v>
                </c:pt>
                <c:pt idx="2">
                  <c:v>0.72709999999999997</c:v>
                </c:pt>
                <c:pt idx="3">
                  <c:v>0.63600000000000001</c:v>
                </c:pt>
                <c:pt idx="4">
                  <c:v>0.45669999999999999</c:v>
                </c:pt>
                <c:pt idx="5">
                  <c:v>0.45240000000000002</c:v>
                </c:pt>
                <c:pt idx="6">
                  <c:v>0</c:v>
                </c:pt>
                <c:pt idx="7">
                  <c:v>0</c:v>
                </c:pt>
                <c:pt idx="8">
                  <c:v>0.49520000000000003</c:v>
                </c:pt>
                <c:pt idx="9">
                  <c:v>0.55409999999999993</c:v>
                </c:pt>
                <c:pt idx="10">
                  <c:v>0.69180000000000008</c:v>
                </c:pt>
                <c:pt idx="11">
                  <c:v>0.6845</c:v>
                </c:pt>
                <c:pt idx="12">
                  <c:v>0.6139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1-4A81-AEE1-0EEF129E81C3}"/>
            </c:ext>
          </c:extLst>
        </c:ser>
        <c:ser>
          <c:idx val="0"/>
          <c:order val="1"/>
          <c:tx>
            <c:strRef>
              <c:f>'tasa de ocupación evol mens'!$K$73:$L$73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31-4A81-AEE1-0EEF129E81C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mens'!$K$75:$K$87</c:f>
              <c:numCache>
                <c:formatCode>0.0%</c:formatCode>
                <c:ptCount val="13"/>
                <c:pt idx="0">
                  <c:v>0.65749999999999997</c:v>
                </c:pt>
                <c:pt idx="1">
                  <c:v>0.81700000000000006</c:v>
                </c:pt>
                <c:pt idx="2">
                  <c:v>0.68010000000000004</c:v>
                </c:pt>
                <c:pt idx="3">
                  <c:v>0.53420000000000001</c:v>
                </c:pt>
                <c:pt idx="4">
                  <c:v>0.44140000000000001</c:v>
                </c:pt>
                <c:pt idx="5">
                  <c:v>0.48080000000000001</c:v>
                </c:pt>
                <c:pt idx="6">
                  <c:v>0.56559999999999999</c:v>
                </c:pt>
                <c:pt idx="7">
                  <c:v>0.1913</c:v>
                </c:pt>
                <c:pt idx="8">
                  <c:v>0.5151</c:v>
                </c:pt>
                <c:pt idx="9">
                  <c:v>0.57179999999999997</c:v>
                </c:pt>
                <c:pt idx="10">
                  <c:v>0.74609999999999999</c:v>
                </c:pt>
                <c:pt idx="11">
                  <c:v>0.74150000000000005</c:v>
                </c:pt>
                <c:pt idx="12">
                  <c:v>0.57669999999999999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31-4A81-AEE1-0EEF129E81C3}"/>
            </c:ext>
          </c:extLst>
        </c:ser>
        <c:ser>
          <c:idx val="1"/>
          <c:order val="2"/>
          <c:tx>
            <c:strRef>
              <c:f>'tasa de ocupación evol mens'!$M$73:$N$73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31-4A81-AEE1-0EEF129E81C3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mens'!$M$75:$M$87</c:f>
              <c:numCache>
                <c:formatCode>0.0%</c:formatCode>
                <c:ptCount val="13"/>
                <c:pt idx="0">
                  <c:v>0.67030000000000001</c:v>
                </c:pt>
                <c:pt idx="1">
                  <c:v>0.72750000000000004</c:v>
                </c:pt>
                <c:pt idx="2">
                  <c:v>0.68629999999999991</c:v>
                </c:pt>
                <c:pt idx="3">
                  <c:v>0.56530000000000002</c:v>
                </c:pt>
                <c:pt idx="4">
                  <c:v>0.63539999999999996</c:v>
                </c:pt>
                <c:pt idx="5">
                  <c:v>0.4703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31-4A81-AEE1-0EEF129E8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3"/>
          <c:tx>
            <c:strRef>
              <c:f>'tasa de ocupación evol mens'!$N$74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31-4A81-AEE1-0EEF129E81C3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31-4A81-AEE1-0EEF129E81C3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31-4A81-AEE1-0EEF129E81C3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31-4A81-AEE1-0EEF129E81C3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31-4A81-AEE1-0EEF129E81C3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31-4A81-AEE1-0EEF129E81C3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31-4A81-AEE1-0EEF129E81C3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31-4A81-AEE1-0EEF129E81C3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31-4A81-AEE1-0EEF129E81C3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31-4A81-AEE1-0EEF129E81C3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D31-4A81-AEE1-0EEF129E81C3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31-4A81-AEE1-0EEF129E81C3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31-4A81-AEE1-0EEF129E81C3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mens'!$N$75:$N$87</c:f>
              <c:numCache>
                <c:formatCode>0.0%</c:formatCode>
                <c:ptCount val="13"/>
                <c:pt idx="0">
                  <c:v>1.9467680608365123E-2</c:v>
                </c:pt>
                <c:pt idx="1">
                  <c:v>-0.109547123623011</c:v>
                </c:pt>
                <c:pt idx="2">
                  <c:v>9.1163064255255222E-3</c:v>
                </c:pt>
                <c:pt idx="3">
                  <c:v>5.8217895919131513E-2</c:v>
                </c:pt>
                <c:pt idx="4">
                  <c:v>0.43951064793837769</c:v>
                </c:pt>
                <c:pt idx="5">
                  <c:v>-2.1838602329450896E-2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31-4A81-AEE1-0EEF129E8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3474552527311315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mens'!$I$29:$J$29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37-46D0-8EEC-632B7BDA94D6}"/>
              </c:ext>
            </c:extLst>
          </c:dPt>
          <c:val>
            <c:numRef>
              <c:f>'tasa de ocupación evol mens'!$I$31:$I$43</c:f>
              <c:numCache>
                <c:formatCode>0.0%</c:formatCode>
                <c:ptCount val="13"/>
                <c:pt idx="0">
                  <c:v>0.69830000000000003</c:v>
                </c:pt>
                <c:pt idx="1">
                  <c:v>0.76769999999999994</c:v>
                </c:pt>
                <c:pt idx="2">
                  <c:v>0.75919999999999999</c:v>
                </c:pt>
                <c:pt idx="3">
                  <c:v>0.63869999999999993</c:v>
                </c:pt>
                <c:pt idx="4">
                  <c:v>0.62240000000000006</c:v>
                </c:pt>
                <c:pt idx="5">
                  <c:v>0.52149999999999996</c:v>
                </c:pt>
                <c:pt idx="6">
                  <c:v>0.46679999999999999</c:v>
                </c:pt>
                <c:pt idx="7">
                  <c:v>0.60020000000000007</c:v>
                </c:pt>
                <c:pt idx="8">
                  <c:v>0.53320000000000001</c:v>
                </c:pt>
                <c:pt idx="9">
                  <c:v>0.53239999999999998</c:v>
                </c:pt>
                <c:pt idx="10">
                  <c:v>0.65459999999999996</c:v>
                </c:pt>
                <c:pt idx="11">
                  <c:v>0.56869999999999998</c:v>
                </c:pt>
                <c:pt idx="12">
                  <c:v>0.61259601883208059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37-46D0-8EEC-632B7BDA94D6}"/>
            </c:ext>
          </c:extLst>
        </c:ser>
        <c:ser>
          <c:idx val="0"/>
          <c:order val="2"/>
          <c:tx>
            <c:strRef>
              <c:f>'tasa de ocupación evol mens'!$K$29:$L$29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37-46D0-8EEC-632B7BDA94D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mens'!$K$31:$K$43</c:f>
              <c:numCache>
                <c:formatCode>0.0%</c:formatCode>
                <c:ptCount val="13"/>
                <c:pt idx="0">
                  <c:v>0.69889999999999997</c:v>
                </c:pt>
                <c:pt idx="1">
                  <c:v>0.80330000000000001</c:v>
                </c:pt>
                <c:pt idx="2">
                  <c:v>0.73299999999999998</c:v>
                </c:pt>
                <c:pt idx="3">
                  <c:v>0.66559999999999997</c:v>
                </c:pt>
                <c:pt idx="4">
                  <c:v>0.5998</c:v>
                </c:pt>
                <c:pt idx="5">
                  <c:v>0.501</c:v>
                </c:pt>
                <c:pt idx="6">
                  <c:v>0.48599999999999999</c:v>
                </c:pt>
                <c:pt idx="7">
                  <c:v>0.44380000000000003</c:v>
                </c:pt>
                <c:pt idx="8">
                  <c:v>0.56189999999999996</c:v>
                </c:pt>
                <c:pt idx="9">
                  <c:v>0.58409999999999995</c:v>
                </c:pt>
                <c:pt idx="10">
                  <c:v>0.74159999999999993</c:v>
                </c:pt>
                <c:pt idx="11">
                  <c:v>0.63840000000000008</c:v>
                </c:pt>
                <c:pt idx="12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37-46D0-8EEC-632B7BDA94D6}"/>
            </c:ext>
          </c:extLst>
        </c:ser>
        <c:ser>
          <c:idx val="1"/>
          <c:order val="3"/>
          <c:tx>
            <c:strRef>
              <c:f>'tasa de ocupación evol mens'!$M$29:$N$29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37-46D0-8EEC-632B7BDA94D6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A37-46D0-8EEC-632B7BDA94D6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mens'!$M$31:$M$43</c:f>
              <c:numCache>
                <c:formatCode>0.0%</c:formatCode>
                <c:ptCount val="13"/>
                <c:pt idx="0">
                  <c:v>0.68330000000000002</c:v>
                </c:pt>
                <c:pt idx="1">
                  <c:v>0.69579999999999997</c:v>
                </c:pt>
                <c:pt idx="2">
                  <c:v>0.67559999999999998</c:v>
                </c:pt>
                <c:pt idx="3">
                  <c:v>0.59329999999999994</c:v>
                </c:pt>
                <c:pt idx="4">
                  <c:v>0.64280000000000004</c:v>
                </c:pt>
                <c:pt idx="5">
                  <c:v>0.57740000000000002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37-46D0-8EEC-632B7BDA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mens'!$C$29:$D$29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AA37-46D0-8EEC-632B7BDA94D6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mens'!$C$31:$C$43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0.56399999999999995</c:v>
                      </c:pt>
                      <c:pt idx="1">
                        <c:v>0.63570000000000004</c:v>
                      </c:pt>
                      <c:pt idx="2">
                        <c:v>0.2369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0.76939999999999997</c:v>
                      </c:pt>
                      <c:pt idx="8">
                        <c:v>0.43149999999999999</c:v>
                      </c:pt>
                      <c:pt idx="9">
                        <c:v>0.39939999999999998</c:v>
                      </c:pt>
                      <c:pt idx="10">
                        <c:v>0.40720000000000001</c:v>
                      </c:pt>
                      <c:pt idx="11">
                        <c:v>0.48200000000000004</c:v>
                      </c:pt>
                      <c:pt idx="12">
                        <c:v>0.4768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AA37-46D0-8EEC-632B7BDA94D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mens'!$N$30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37-46D0-8EEC-632B7BDA94D6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37-46D0-8EEC-632B7BDA94D6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37-46D0-8EEC-632B7BDA94D6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37-46D0-8EEC-632B7BDA94D6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A37-46D0-8EEC-632B7BDA94D6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A37-46D0-8EEC-632B7BDA94D6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A37-46D0-8EEC-632B7BDA94D6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A37-46D0-8EEC-632B7BDA94D6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A37-46D0-8EEC-632B7BDA94D6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A37-46D0-8EEC-632B7BDA94D6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A37-46D0-8EEC-632B7BDA94D6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A37-46D0-8EEC-632B7BDA94D6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A37-46D0-8EEC-632B7BDA94D6}"/>
              </c:ext>
            </c:extLst>
          </c:dPt>
          <c:cat>
            <c:strRef>
              <c:f>'tasa de ocupación evol mens'!$B$31:$B$42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mens'!$N$31:$N$43</c:f>
              <c:numCache>
                <c:formatCode>0.0%</c:formatCode>
                <c:ptCount val="13"/>
                <c:pt idx="0">
                  <c:v>-2.2320789812562469E-2</c:v>
                </c:pt>
                <c:pt idx="1">
                  <c:v>-0.13382298020664762</c:v>
                </c:pt>
                <c:pt idx="2">
                  <c:v>-7.8308321964529304E-2</c:v>
                </c:pt>
                <c:pt idx="3">
                  <c:v>-0.10862379807692313</c:v>
                </c:pt>
                <c:pt idx="4">
                  <c:v>7.1690563521173756E-2</c:v>
                </c:pt>
                <c:pt idx="5">
                  <c:v>0.15249500998003995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A37-46D0-8EEC-632B7BDA9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79304380456516"/>
          <c:y val="0.15001701508510548"/>
          <c:w val="0.87120700483091784"/>
          <c:h val="0.42248339762898768"/>
        </c:manualLayout>
      </c:layout>
      <c:lineChart>
        <c:grouping val="standard"/>
        <c:varyColors val="0"/>
        <c:ser>
          <c:idx val="5"/>
          <c:order val="1"/>
          <c:tx>
            <c:strRef>
              <c:f>'tasa de ocupación evol mens'!$I$51:$J$51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solidFill>
                <a:srgbClr val="2683C6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>
                  <a:lumMod val="60000"/>
                  <a:lumOff val="40000"/>
                </a:srgbClr>
              </a:solidFill>
              <a:ln w="9525">
                <a:solidFill>
                  <a:srgbClr val="2683C6">
                    <a:lumMod val="60000"/>
                    <a:lumOff val="40000"/>
                  </a:srgbClr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3E-4581-A77D-CFC8811406F0}"/>
              </c:ext>
            </c:extLst>
          </c:dPt>
          <c:val>
            <c:numRef>
              <c:f>'tasa de ocupación evol mens'!$I$53:$I$65</c:f>
              <c:numCache>
                <c:formatCode>0.0%</c:formatCode>
                <c:ptCount val="13"/>
                <c:pt idx="0">
                  <c:v>0.69739999999999991</c:v>
                </c:pt>
                <c:pt idx="1">
                  <c:v>0.76840000000000008</c:v>
                </c:pt>
                <c:pt idx="2">
                  <c:v>0.76249999999999996</c:v>
                </c:pt>
                <c:pt idx="3">
                  <c:v>0.63890000000000002</c:v>
                </c:pt>
                <c:pt idx="4">
                  <c:v>0.63979999999999992</c:v>
                </c:pt>
                <c:pt idx="5">
                  <c:v>0.52880000000000005</c:v>
                </c:pt>
                <c:pt idx="6">
                  <c:v>0</c:v>
                </c:pt>
                <c:pt idx="7">
                  <c:v>0</c:v>
                </c:pt>
                <c:pt idx="8">
                  <c:v>0.53720000000000001</c:v>
                </c:pt>
                <c:pt idx="9">
                  <c:v>0.52969999999999995</c:v>
                </c:pt>
                <c:pt idx="10">
                  <c:v>0.65010000000000001</c:v>
                </c:pt>
                <c:pt idx="11">
                  <c:v>0.55459999999999998</c:v>
                </c:pt>
                <c:pt idx="12">
                  <c:v>0.6139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3E-4581-A77D-CFC8811406F0}"/>
            </c:ext>
          </c:extLst>
        </c:ser>
        <c:ser>
          <c:idx val="0"/>
          <c:order val="2"/>
          <c:tx>
            <c:strRef>
              <c:f>'tasa de ocupación evol mens'!$K$51:$L$51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3E-4581-A77D-CFC8811406F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mens'!$K$53:$K$65</c:f>
              <c:numCache>
                <c:formatCode>0.0%</c:formatCode>
                <c:ptCount val="13"/>
                <c:pt idx="0">
                  <c:v>0.70389999999999997</c:v>
                </c:pt>
                <c:pt idx="1">
                  <c:v>0.80169999999999997</c:v>
                </c:pt>
                <c:pt idx="2">
                  <c:v>0.73939999999999995</c:v>
                </c:pt>
                <c:pt idx="3">
                  <c:v>0.68159999999999998</c:v>
                </c:pt>
                <c:pt idx="4">
                  <c:v>0.61899999999999999</c:v>
                </c:pt>
                <c:pt idx="5">
                  <c:v>0.50340000000000007</c:v>
                </c:pt>
                <c:pt idx="6">
                  <c:v>0.4763</c:v>
                </c:pt>
                <c:pt idx="7">
                  <c:v>0.47450000000000003</c:v>
                </c:pt>
                <c:pt idx="8">
                  <c:v>0.56759999999999999</c:v>
                </c:pt>
                <c:pt idx="9">
                  <c:v>0.58560000000000001</c:v>
                </c:pt>
                <c:pt idx="10">
                  <c:v>0.74099999999999999</c:v>
                </c:pt>
                <c:pt idx="11">
                  <c:v>0.62590000000000001</c:v>
                </c:pt>
                <c:pt idx="12">
                  <c:v>0.62529999999999997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3E-4581-A77D-CFC8811406F0}"/>
            </c:ext>
          </c:extLst>
        </c:ser>
        <c:ser>
          <c:idx val="1"/>
          <c:order val="3"/>
          <c:tx>
            <c:strRef>
              <c:f>'tasa de ocupación evol mens'!$M$51:$N$51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58B6C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58B6C0">
                    <a:shade val="95000"/>
                    <a:satMod val="105000"/>
                  </a:srgb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3E-4581-A77D-CFC8811406F0}"/>
              </c:ext>
            </c:extLst>
          </c:dPt>
          <c:dPt>
            <c:idx val="12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3E-4581-A77D-CFC8811406F0}"/>
              </c:ext>
            </c:extLst>
          </c:dPt>
          <c:cat>
            <c:strRef>
              <c:f>'tasa de ocupación evol mens'!$A$9:$A$21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'tasa de ocupación evol mens'!$M$53:$M$65</c:f>
              <c:numCache>
                <c:formatCode>0.0%</c:formatCode>
                <c:ptCount val="13"/>
                <c:pt idx="0">
                  <c:v>0.68480000000000008</c:v>
                </c:pt>
                <c:pt idx="1">
                  <c:v>0.69189999999999996</c:v>
                </c:pt>
                <c:pt idx="2">
                  <c:v>0.67420000000000002</c:v>
                </c:pt>
                <c:pt idx="3">
                  <c:v>0.59670000000000001</c:v>
                </c:pt>
                <c:pt idx="4">
                  <c:v>0.64370000000000005</c:v>
                </c:pt>
                <c:pt idx="5">
                  <c:v>0.59040000000000004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03E-4581-A77D-CFC881140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'tasa de ocupación evol mens'!$C$51:$D$51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bg1">
                        <a:lumMod val="65000"/>
                      </a:schemeClr>
                    </a:solidFill>
                    <a:ln w="9525">
                      <a:solidFill>
                        <a:schemeClr val="bg1">
                          <a:lumMod val="65000"/>
                        </a:schemeClr>
                      </a:solidFill>
                    </a:ln>
                    <a:effectLst/>
                  </c:spPr>
                </c:marker>
                <c:dPt>
                  <c:idx val="12"/>
                  <c:marker>
                    <c:symbol val="circle"/>
                    <c:size val="5"/>
                    <c:spPr>
                      <a:noFill/>
                      <a:ln w="9525">
                        <a:noFill/>
                      </a:ln>
                      <a:effectLst/>
                    </c:spPr>
                  </c:marker>
                  <c:bubble3D val="0"/>
                  <c:spPr>
                    <a:ln w="28575" cap="rnd">
                      <a:noFill/>
                      <a:round/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A-003E-4581-A77D-CFC8811406F0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'tasa de ocupación evol mens'!$A$9:$A$21</c15:sqref>
                        </c15:formulaRef>
                      </c:ext>
                    </c:extLst>
                    <c:strCache>
                      <c:ptCount val="13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'tasa de ocupación evol mens'!$C$53:$C$65</c15:sqref>
                        </c15:formulaRef>
                      </c:ext>
                    </c:extLst>
                    <c:numCache>
                      <c:formatCode>0.0%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B-003E-4581-A77D-CFC8811406F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4"/>
          <c:tx>
            <c:strRef>
              <c:f>'tasa de ocupación evol mens'!$N$52</c:f>
              <c:strCache>
                <c:ptCount val="1"/>
                <c:pt idx="0">
                  <c:v>var 25/24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Pt>
            <c:idx val="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3E-4581-A77D-CFC8811406F0}"/>
              </c:ext>
            </c:extLst>
          </c:dPt>
          <c:dPt>
            <c:idx val="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3E-4581-A77D-CFC8811406F0}"/>
              </c:ext>
            </c:extLst>
          </c:dPt>
          <c:dPt>
            <c:idx val="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3E-4581-A77D-CFC8811406F0}"/>
              </c:ext>
            </c:extLst>
          </c:dPt>
          <c:dPt>
            <c:idx val="3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3E-4581-A77D-CFC8811406F0}"/>
              </c:ext>
            </c:extLst>
          </c:dPt>
          <c:dPt>
            <c:idx val="4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3E-4581-A77D-CFC8811406F0}"/>
              </c:ext>
            </c:extLst>
          </c:dPt>
          <c:dPt>
            <c:idx val="5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3E-4581-A77D-CFC8811406F0}"/>
              </c:ext>
            </c:extLst>
          </c:dPt>
          <c:dPt>
            <c:idx val="6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3E-4581-A77D-CFC8811406F0}"/>
              </c:ext>
            </c:extLst>
          </c:dPt>
          <c:dPt>
            <c:idx val="7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3E-4581-A77D-CFC8811406F0}"/>
              </c:ext>
            </c:extLst>
          </c:dPt>
          <c:dPt>
            <c:idx val="8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3E-4581-A77D-CFC8811406F0}"/>
              </c:ext>
            </c:extLst>
          </c:dPt>
          <c:dPt>
            <c:idx val="9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3E-4581-A77D-CFC8811406F0}"/>
              </c:ext>
            </c:extLst>
          </c:dPt>
          <c:dPt>
            <c:idx val="10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3E-4581-A77D-CFC8811406F0}"/>
              </c:ext>
            </c:extLst>
          </c:dPt>
          <c:dPt>
            <c:idx val="11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3E-4581-A77D-CFC8811406F0}"/>
              </c:ext>
            </c:extLst>
          </c:dPt>
          <c:dPt>
            <c:idx val="12"/>
            <c:marker>
              <c:symbol val="squar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3E-4581-A77D-CFC8811406F0}"/>
              </c:ext>
            </c:extLst>
          </c:dPt>
          <c:cat>
            <c:strRef>
              <c:f>'tasa de ocupación evol mens'!$B$53:$B$64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'tasa de ocupación evol mens'!$N$53:$N$65</c:f>
              <c:numCache>
                <c:formatCode>0.0%</c:formatCode>
                <c:ptCount val="13"/>
                <c:pt idx="0">
                  <c:v>-2.7134536155703826E-2</c:v>
                </c:pt>
                <c:pt idx="1">
                  <c:v>-0.13695896220531367</c:v>
                </c:pt>
                <c:pt idx="2">
                  <c:v>-8.8179605085204171E-2</c:v>
                </c:pt>
                <c:pt idx="3">
                  <c:v>-0.12455985915492951</c:v>
                </c:pt>
                <c:pt idx="4">
                  <c:v>3.9903069466882268E-2</c:v>
                </c:pt>
                <c:pt idx="5">
                  <c:v>0.17282479141835516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03E-4581-A77D-CFC881140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227839"/>
        <c:axId val="383247327"/>
      </c:lineChart>
      <c:catAx>
        <c:axId val="293731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autoZero"/>
        <c:crossBetween val="between"/>
      </c:valAx>
      <c:valAx>
        <c:axId val="383247327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3227839"/>
        <c:crosses val="max"/>
        <c:crossBetween val="between"/>
      </c:valAx>
      <c:catAx>
        <c:axId val="3832278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324732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426500876382174E-3"/>
          <c:y val="0.5733020131929728"/>
          <c:w val="0.97760879170679205"/>
          <c:h val="0.224754101996125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'distribución españoles x Resid'!$J$5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Resid'!$J$8,'distribución españoles x Resid'!$J$10:$J$11)</c:f>
              <c:numCache>
                <c:formatCode>#,##0</c:formatCode>
                <c:ptCount val="3"/>
                <c:pt idx="0">
                  <c:v>12232</c:v>
                </c:pt>
                <c:pt idx="1">
                  <c:v>909</c:v>
                </c:pt>
                <c:pt idx="2">
                  <c:v>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E-49D3-A6C1-C99C83050CBE}"/>
            </c:ext>
          </c:extLst>
        </c:ser>
        <c:ser>
          <c:idx val="0"/>
          <c:order val="1"/>
          <c:tx>
            <c:strRef>
              <c:f>'distribución españoles x Resid'!$N$5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11250</c:v>
                </c:pt>
                <c:pt idx="1">
                  <c:v>940</c:v>
                </c:pt>
                <c:pt idx="2">
                  <c:v>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E-49D3-A6C1-C99C83050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A6E-49D3-A6C1-C99C83050CB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A6E-49D3-A6C1-C99C83050CB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A6E-49D3-A6C1-C99C83050CB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E-49D3-A6C1-C99C83050CBE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E-49D3-A6C1-C99C83050CBE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6E-49D3-A6C1-C99C83050CBE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6E-49D3-A6C1-C99C83050CBE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6E-49D3-A6C1-C99C83050CB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6E-49D3-A6C1-C99C83050CBE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bg1">
                        <a:lumMod val="6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('distribución españoles x Resid'!$S$8,'distribución españoles x Resid'!$S$10,'distribución españoles x Resid'!$S$11)</c:f>
              <c:numCache>
                <c:formatCode>0.0%</c:formatCode>
                <c:ptCount val="3"/>
                <c:pt idx="0">
                  <c:v>0.67591925018024512</c:v>
                </c:pt>
                <c:pt idx="1">
                  <c:v>5.6476808459504924E-2</c:v>
                </c:pt>
                <c:pt idx="2">
                  <c:v>0.26760394136024995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A6E-49D3-A6C1-C99C83050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'distribución españoles x Resid'!$O$5</c:f>
              <c:strCache>
                <c:ptCount val="1"/>
                <c:pt idx="0">
                  <c:v>var. 25/24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6E-49D3-A6C1-C99C83050CB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6E-49D3-A6C1-C99C83050CB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6E-49D3-A6C1-C99C83050CB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6E-49D3-A6C1-C99C83050CB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6E-49D3-A6C1-C99C83050CB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6E-49D3-A6C1-C99C83050CBE}"/>
              </c:ext>
            </c:extLst>
          </c:dPt>
          <c:dLbls>
            <c:dLbl>
              <c:idx val="0"/>
              <c:layout>
                <c:manualLayout>
                  <c:x val="-5.6085850813717919E-2"/>
                  <c:y val="-0.3882775338836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6E-49D3-A6C1-C99C83050CBE}"/>
                </c:ext>
              </c:extLst>
            </c:dLbl>
            <c:dLbl>
              <c:idx val="1"/>
              <c:layout>
                <c:manualLayout>
                  <c:x val="-4.1760392381352811E-2"/>
                  <c:y val="-0.3058447726578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6E-49D3-A6C1-C99C83050CBE}"/>
                </c:ext>
              </c:extLst>
            </c:dLbl>
            <c:dLbl>
              <c:idx val="2"/>
              <c:layout>
                <c:manualLayout>
                  <c:x val="-2.9322635206400466E-2"/>
                  <c:y val="-0.26863590152496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6E-49D3-A6C1-C99C83050CBE}"/>
                </c:ext>
              </c:extLst>
            </c:dLbl>
            <c:dLbl>
              <c:idx val="3"/>
              <c:layout>
                <c:manualLayout>
                  <c:x val="-2.617759233913217E-2"/>
                  <c:y val="-0.23597054529288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6E-49D3-A6C1-C99C83050CBE}"/>
                </c:ext>
              </c:extLst>
            </c:dLbl>
            <c:dLbl>
              <c:idx val="4"/>
              <c:layout>
                <c:manualLayout>
                  <c:x val="-3.7427537735676572E-2"/>
                  <c:y val="-0.20831281299670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6E-49D3-A6C1-C99C83050CBE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6E-49D3-A6C1-C99C83050CB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Resid'!$O$8,'distribución españoles x Resid'!$O$10:$O$11)</c:f>
              <c:numCache>
                <c:formatCode>0.0%</c:formatCode>
                <c:ptCount val="3"/>
                <c:pt idx="0">
                  <c:v>-8.0281229561805056E-2</c:v>
                </c:pt>
                <c:pt idx="1">
                  <c:v>3.4103410341034035E-2</c:v>
                </c:pt>
                <c:pt idx="2">
                  <c:v>0.18615179760319567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6E-49D3-A6C1-C99C83050C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3.9550600542806305E-2"/>
          <c:y val="0.12537201577809509"/>
          <c:w val="0.867023810744881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Resid'!$N$5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35460146906506"/>
          <c:y val="0.2283322201574197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Resid'!$N$5</c:f>
              <c:strCache>
                <c:ptCount val="1"/>
                <c:pt idx="0">
                  <c:v>acumulado junio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A9-4926-A1DE-82C531D6DC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0A9-4926-A1DE-82C531D6DC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0A9-4926-A1DE-82C531D6DC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0A9-4926-A1DE-82C531D6DC7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0A9-4926-A1DE-82C531D6DC76}"/>
              </c:ext>
            </c:extLst>
          </c:dPt>
          <c:dLbls>
            <c:dLbl>
              <c:idx val="0"/>
              <c:layout>
                <c:manualLayout>
                  <c:x val="-7.2623912404118932E-2"/>
                  <c:y val="-7.38758059166435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A9-4926-A1DE-82C531D6DC76}"/>
                </c:ext>
              </c:extLst>
            </c:dLbl>
            <c:dLbl>
              <c:idx val="1"/>
              <c:layout>
                <c:manualLayout>
                  <c:x val="3.6318654252135235E-2"/>
                  <c:y val="0.131903621683758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A9-4926-A1DE-82C531D6DC76}"/>
                </c:ext>
              </c:extLst>
            </c:dLbl>
            <c:dLbl>
              <c:idx val="2"/>
              <c:layout>
                <c:manualLayout>
                  <c:x val="2.4638777203978012E-2"/>
                  <c:y val="-4.13174550526827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A9-4926-A1DE-82C531D6DC7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A9-4926-A1DE-82C531D6DC7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A9-4926-A1DE-82C531D6DC76}"/>
                </c:ext>
              </c:extLst>
            </c:dLbl>
            <c:dLbl>
              <c:idx val="5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A9-4926-A1DE-82C531D6D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Resid'!$B$8,'distribución españoles x Resid'!$B$10:$B$11)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('distribución españoles x Resid'!$N$8,'distribución españoles x Resid'!$N$10:$N$11)</c:f>
              <c:numCache>
                <c:formatCode>#,##0</c:formatCode>
                <c:ptCount val="3"/>
                <c:pt idx="0">
                  <c:v>11250</c:v>
                </c:pt>
                <c:pt idx="1">
                  <c:v>940</c:v>
                </c:pt>
                <c:pt idx="2">
                  <c:v>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0A9-4926-A1DE-82C531D6D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58-4A4C-AB62-623D19C1FA77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58-4A4C-AB62-623D19C1FA77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58-4A4C-AB62-623D19C1FA77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58-4A4C-AB62-623D19C1FA77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58-4A4C-AB62-623D19C1FA77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58-4A4C-AB62-623D19C1FA77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58-4A4C-AB62-623D19C1FA77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58-4A4C-AB62-623D19C1FA77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58-4A4C-AB62-623D19C1FA77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58-4A4C-AB62-623D19C1FA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4358-4A4C-AB62-623D19C1FA77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58-4A4C-AB62-623D19C1FA77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58-4A4C-AB62-623D19C1FA77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58-4A4C-AB62-623D19C1FA77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58-4A4C-AB62-623D19C1FA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4358-4A4C-AB62-623D19C1FA77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4358-4A4C-AB62-623D19C1FA77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58-4A4C-AB62-623D19C1FA77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58-4A4C-AB62-623D19C1FA77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58-4A4C-AB62-623D19C1FA77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58-4A4C-AB62-623D19C1FA77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58-4A4C-AB62-623D19C1FA77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58-4A4C-AB62-623D19C1FA77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58-4A4C-AB62-623D19C1FA77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58-4A4C-AB62-623D19C1FA77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58-4A4C-AB62-623D19C1FA77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58-4A4C-AB62-623D19C1FA77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58-4A4C-AB62-623D19C1FA77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58-4A4C-AB62-623D19C1FA77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58-4A4C-AB62-623D19C1FA77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58-4A4C-AB62-623D19C1FA77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58-4A4C-AB62-623D19C1FA77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58-4A4C-AB62-623D19C1FA7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4358-4A4C-AB62-623D19C1FA77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358-4A4C-AB62-623D19C1FA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358-4A4C-AB62-623D19C1FA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358-4A4C-AB62-623D19C1FA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358-4A4C-AB62-623D19C1FA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358-4A4C-AB62-623D19C1FA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358-4A4C-AB62-623D19C1FA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358-4A4C-AB62-623D19C1FA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358-4A4C-AB62-623D19C1FA7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358-4A4C-AB62-623D19C1FA7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358-4A4C-AB62-623D19C1FA7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4358-4A4C-AB62-623D19C1FA7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4358-4A4C-AB62-623D19C1FA7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4358-4A4C-AB62-623D19C1FA7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4358-4A4C-AB62-623D19C1FA7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4358-4A4C-AB62-623D19C1FA7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4358-4A4C-AB62-623D19C1FA7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58-4A4C-AB62-623D19C1FA77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358-4A4C-AB62-623D19C1FA77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358-4A4C-AB62-623D19C1FA77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358-4A4C-AB62-623D19C1FA77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358-4A4C-AB62-623D19C1FA77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358-4A4C-AB62-623D19C1FA77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358-4A4C-AB62-623D19C1FA77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358-4A4C-AB62-623D19C1FA77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358-4A4C-AB62-623D19C1FA77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358-4A4C-AB62-623D19C1FA77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358-4A4C-AB62-623D19C1FA77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358-4A4C-AB62-623D19C1FA77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358-4A4C-AB62-623D19C1FA77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358-4A4C-AB62-623D19C1FA77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358-4A4C-AB62-623D19C1FA77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358-4A4C-AB62-623D19C1FA7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4358-4A4C-AB62-623D19C1FA77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358-4A4C-AB62-623D19C1FA77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358-4A4C-AB62-623D19C1FA77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358-4A4C-AB62-623D19C1FA77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358-4A4C-AB62-623D19C1FA77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358-4A4C-AB62-623D19C1FA77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358-4A4C-AB62-623D19C1FA77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358-4A4C-AB62-623D19C1FA77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358-4A4C-AB62-623D19C1FA77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358-4A4C-AB62-623D19C1FA77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358-4A4C-AB62-623D19C1FA77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358-4A4C-AB62-623D19C1FA77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358-4A4C-AB62-623D19C1FA77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358-4A4C-AB62-623D19C1FA77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358-4A4C-AB62-623D19C1FA77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358-4A4C-AB62-623D19C1FA77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358-4A4C-AB62-623D19C1FA7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4358-4A4C-AB62-623D19C1F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DE-4CE3-9F7C-0D595F79134E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E-4CE3-9F7C-0D595F79134E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DE-4CE3-9F7C-0D595F79134E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E-4CE3-9F7C-0D595F79134E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españoles x cate'!$B$8:$B$9,'distribución españoles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españoles x cate'!$O$8:$O$9,'distribución españoles x cate'!$O$11:$O$12)</c:f>
              <c:numCache>
                <c:formatCode>#,##0</c:formatCode>
                <c:ptCount val="2"/>
                <c:pt idx="0">
                  <c:v>3156</c:v>
                </c:pt>
                <c:pt idx="1">
                  <c:v>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DE-4CE3-9F7C-0D595F791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cate'!$B$3</c:f>
          <c:strCache>
            <c:ptCount val="1"/>
            <c:pt idx="0">
              <c:v>Viajeros españoles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cate'!$G$5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españoles x cate'!$G$7:$G$10</c:f>
              <c:numCache>
                <c:formatCode>#,##0</c:formatCode>
                <c:ptCount val="4"/>
                <c:pt idx="0">
                  <c:v>19920</c:v>
                </c:pt>
                <c:pt idx="1">
                  <c:v>2733</c:v>
                </c:pt>
                <c:pt idx="2">
                  <c:v>17187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B-4FBF-A632-00268E446C8D}"/>
            </c:ext>
          </c:extLst>
        </c:ser>
        <c:ser>
          <c:idx val="1"/>
          <c:order val="1"/>
          <c:tx>
            <c:strRef>
              <c:f>'distribución españoles x cate'!$K$5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cate'!$K$7:$K$12</c:f>
              <c:numCache>
                <c:formatCode>#,##0</c:formatCode>
                <c:ptCount val="4"/>
                <c:pt idx="0">
                  <c:v>16896</c:v>
                </c:pt>
                <c:pt idx="1">
                  <c:v>2789</c:v>
                </c:pt>
                <c:pt idx="2">
                  <c:v>14107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1B-4FBF-A632-00268E446C8D}"/>
            </c:ext>
          </c:extLst>
        </c:ser>
        <c:ser>
          <c:idx val="2"/>
          <c:order val="2"/>
          <c:tx>
            <c:strRef>
              <c:f>'distribución españoles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cate'!$O$7:$O$12</c:f>
              <c:numCache>
                <c:formatCode>#,##0</c:formatCode>
                <c:ptCount val="4"/>
                <c:pt idx="0">
                  <c:v>16644</c:v>
                </c:pt>
                <c:pt idx="1">
                  <c:v>3156</c:v>
                </c:pt>
                <c:pt idx="2">
                  <c:v>13488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B-4FBF-A632-00268E446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cate'!$P$7:$P$12</c:f>
              <c:numCache>
                <c:formatCode>0.0%</c:formatCode>
                <c:ptCount val="4"/>
                <c:pt idx="0">
                  <c:v>-1.4914772727272707E-2</c:v>
                </c:pt>
                <c:pt idx="1">
                  <c:v>0.13158838293295094</c:v>
                </c:pt>
                <c:pt idx="2">
                  <c:v>-4.3878925356206189E-2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1B-4FBF-A632-00268E446C8D}"/>
            </c:ext>
          </c:extLst>
        </c:ser>
        <c:ser>
          <c:idx val="6"/>
          <c:order val="4"/>
          <c:tx>
            <c:strRef>
              <c:f>'distribución españoles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0.18961788031723142</c:v>
                </c:pt>
                <c:pt idx="2">
                  <c:v>0.81038211968276852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1B-4FBF-A632-00268E446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peninsulare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2B-4C19-A390-C9DBA852C3ED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2B-4C19-A390-C9DBA852C3ED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2B-4C19-A390-C9DBA852C3ED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2B-4C19-A390-C9DBA852C3ED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peninsulare x cate'!$B$8:$B$9,'distribución peninsulare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peninsulare x cate'!$O$8:$O$9,'distribución peninsulare x cate'!$O$11:$O$12)</c:f>
              <c:numCache>
                <c:formatCode>#,##0</c:formatCode>
                <c:ptCount val="2"/>
                <c:pt idx="0">
                  <c:v>875</c:v>
                </c:pt>
                <c:pt idx="1">
                  <c:v>10375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2B-4C19-A390-C9DBA852C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peninsulare x cate'!$B$3</c:f>
          <c:strCache>
            <c:ptCount val="1"/>
            <c:pt idx="0">
              <c:v>Viajeros peninsulares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peninsulare x cate'!$G$5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peninsulare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peninsulare x cate'!$G$7:$G$10</c:f>
              <c:numCache>
                <c:formatCode>#,##0</c:formatCode>
                <c:ptCount val="4"/>
                <c:pt idx="0">
                  <c:v>13965</c:v>
                </c:pt>
                <c:pt idx="1">
                  <c:v>820</c:v>
                </c:pt>
                <c:pt idx="2">
                  <c:v>13145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56-4D9D-A7D4-51EBFAA1648C}"/>
            </c:ext>
          </c:extLst>
        </c:ser>
        <c:ser>
          <c:idx val="1"/>
          <c:order val="1"/>
          <c:tx>
            <c:strRef>
              <c:f>'distribución peninsulare x cate'!$K$5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cate'!$K$7:$K$12</c:f>
              <c:numCache>
                <c:formatCode>#,##0</c:formatCode>
                <c:ptCount val="4"/>
                <c:pt idx="0">
                  <c:v>12232</c:v>
                </c:pt>
                <c:pt idx="1">
                  <c:v>863</c:v>
                </c:pt>
                <c:pt idx="2">
                  <c:v>11369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56-4D9D-A7D4-51EBFAA1648C}"/>
            </c:ext>
          </c:extLst>
        </c:ser>
        <c:ser>
          <c:idx val="2"/>
          <c:order val="2"/>
          <c:tx>
            <c:strRef>
              <c:f>'distribución peninsulare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peninsulare x cate'!$O$7:$O$12</c:f>
              <c:numCache>
                <c:formatCode>#,##0</c:formatCode>
                <c:ptCount val="4"/>
                <c:pt idx="0">
                  <c:v>11250</c:v>
                </c:pt>
                <c:pt idx="1">
                  <c:v>875</c:v>
                </c:pt>
                <c:pt idx="2">
                  <c:v>10375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56-4D9D-A7D4-51EBFAA1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peninsulare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cate'!$P$7:$P$12</c:f>
              <c:numCache>
                <c:formatCode>0.0%</c:formatCode>
                <c:ptCount val="4"/>
                <c:pt idx="0">
                  <c:v>-8.0281229561805056E-2</c:v>
                </c:pt>
                <c:pt idx="1">
                  <c:v>1.3904982618771822E-2</c:v>
                </c:pt>
                <c:pt idx="2">
                  <c:v>-8.7430732694168345E-2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56-4D9D-A7D4-51EBFAA1648C}"/>
            </c:ext>
          </c:extLst>
        </c:ser>
        <c:ser>
          <c:idx val="6"/>
          <c:order val="4"/>
          <c:tx>
            <c:strRef>
              <c:f>'distribución peninsulare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peninsulare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7.7777777777777779E-2</c:v>
                </c:pt>
                <c:pt idx="2">
                  <c:v>0.92222222222222228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56-4D9D-A7D4-51EBFAA1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1.9790128254955335E-2"/>
          <c:y val="0.11378641322422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7227838455676912"/>
          <c:y val="0.27985647838041661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canarios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77-4197-83E2-0D1C3DC7B8B7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377-4197-83E2-0D1C3DC7B8B7}"/>
              </c:ext>
            </c:extLst>
          </c:dPt>
          <c:dLbls>
            <c:dLbl>
              <c:idx val="0"/>
              <c:layout>
                <c:manualLayout>
                  <c:x val="5.8624923664234739E-2"/>
                  <c:y val="2.6266777414537038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77-4197-83E2-0D1C3DC7B8B7}"/>
                </c:ext>
              </c:extLst>
            </c:dLbl>
            <c:dLbl>
              <c:idx val="1"/>
              <c:layout>
                <c:manualLayout>
                  <c:x val="-2.8012260925233727E-2"/>
                  <c:y val="-8.9147432115961704E-3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77-4197-83E2-0D1C3DC7B8B7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('distribución canarios x cate'!$B$8:$B$9,'distribución canarios x cate'!$B$11:$B$12)</c:f>
              <c:strCache>
                <c:ptCount val="2"/>
                <c:pt idx="0">
                  <c:v>1, 2, 3 Estrellas</c:v>
                </c:pt>
                <c:pt idx="1">
                  <c:v>4, 5 Estrellas</c:v>
                </c:pt>
              </c:strCache>
            </c:strRef>
          </c:cat>
          <c:val>
            <c:numRef>
              <c:f>('distribución canarios x cate'!$O$8:$O$9,'distribución canarios x cate'!$O$11:$O$12)</c:f>
              <c:numCache>
                <c:formatCode>#,##0</c:formatCode>
                <c:ptCount val="2"/>
                <c:pt idx="0">
                  <c:v>2281</c:v>
                </c:pt>
                <c:pt idx="1">
                  <c:v>3113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77-4197-83E2-0D1C3DC7B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canarios x cate'!$B$3</c:f>
          <c:strCache>
            <c:ptCount val="1"/>
            <c:pt idx="0">
              <c:v>Viajeros canarios entrados en los hoteles y apartamentos de San Cristóbal de La Laguna por tipología y categoría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51033901177778"/>
          <c:y val="0.19147788492398393"/>
          <c:w val="0.84489659872277323"/>
          <c:h val="0.43516144913512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canarios x cate'!$G$5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canarios x cate'!$B$7:$B$12</c:f>
              <c:strCache>
                <c:ptCount val="4"/>
                <c:pt idx="0">
                  <c:v>Hoteles</c:v>
                </c:pt>
                <c:pt idx="1">
                  <c:v>1, 2, 3 Estrellas</c:v>
                </c:pt>
                <c:pt idx="2">
                  <c:v>4, 5 Estrellas</c:v>
                </c:pt>
                <c:pt idx="3">
                  <c:v>Apartamentos</c:v>
                </c:pt>
              </c:strCache>
            </c:strRef>
          </c:cat>
          <c:val>
            <c:numRef>
              <c:f>'distribución canarios x cate'!$G$7:$G$10</c:f>
              <c:numCache>
                <c:formatCode>#,##0</c:formatCode>
                <c:ptCount val="4"/>
                <c:pt idx="0">
                  <c:v>5955</c:v>
                </c:pt>
                <c:pt idx="1">
                  <c:v>1913</c:v>
                </c:pt>
                <c:pt idx="2">
                  <c:v>4042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B-4019-86E9-150B36B02D7D}"/>
            </c:ext>
          </c:extLst>
        </c:ser>
        <c:ser>
          <c:idx val="1"/>
          <c:order val="1"/>
          <c:tx>
            <c:strRef>
              <c:f>'distribución canarios x cate'!$K$5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cate'!$K$7:$K$12</c:f>
              <c:numCache>
                <c:formatCode>#,##0</c:formatCode>
                <c:ptCount val="4"/>
                <c:pt idx="0">
                  <c:v>4664</c:v>
                </c:pt>
                <c:pt idx="1">
                  <c:v>1926</c:v>
                </c:pt>
                <c:pt idx="2">
                  <c:v>2738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FB-4019-86E9-150B36B02D7D}"/>
            </c:ext>
          </c:extLst>
        </c:ser>
        <c:ser>
          <c:idx val="2"/>
          <c:order val="2"/>
          <c:tx>
            <c:strRef>
              <c:f>'distribución canarios x cate'!$O$5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canarios x cate'!$O$7:$O$12</c:f>
              <c:numCache>
                <c:formatCode>#,##0</c:formatCode>
                <c:ptCount val="4"/>
                <c:pt idx="0">
                  <c:v>5394</c:v>
                </c:pt>
                <c:pt idx="1">
                  <c:v>2281</c:v>
                </c:pt>
                <c:pt idx="2">
                  <c:v>3113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FB-4019-86E9-150B36B02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canarios x cate'!$P$5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cate'!$P$7:$P$12</c:f>
              <c:numCache>
                <c:formatCode>0.0%</c:formatCode>
                <c:ptCount val="4"/>
                <c:pt idx="0">
                  <c:v>0.15651801029159529</c:v>
                </c:pt>
                <c:pt idx="1">
                  <c:v>0.18431983385254402</c:v>
                </c:pt>
                <c:pt idx="2">
                  <c:v>0.13696128560993426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FB-4019-86E9-150B36B02D7D}"/>
            </c:ext>
          </c:extLst>
        </c:ser>
        <c:ser>
          <c:idx val="6"/>
          <c:order val="4"/>
          <c:tx>
            <c:strRef>
              <c:f>'distribución canarios x cate'!$T$5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canarios x cate'!$T$7:$T$12</c:f>
              <c:numCache>
                <c:formatCode>0.0%</c:formatCode>
                <c:ptCount val="4"/>
                <c:pt idx="0">
                  <c:v>1</c:v>
                </c:pt>
                <c:pt idx="1">
                  <c:v>0.42287727104189843</c:v>
                </c:pt>
                <c:pt idx="2">
                  <c:v>0.57712272895810157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FB-4019-86E9-150B36B02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españoles x mun al'!$O$5</c:f>
              <c:strCache>
                <c:ptCount val="1"/>
                <c:pt idx="0">
                  <c:v>acumulado junio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C1-414E-A00E-E57A00A615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C1-414E-A00E-E57A00A615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C1-414E-A00E-E57A00A615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C1-414E-A00E-E57A00A6152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C1-414E-A00E-E57A00A615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C1-414E-A00E-E57A00A615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C1-414E-A00E-E57A00A6152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3C1-414E-A00E-E57A00A6152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3C1-414E-A00E-E57A00A6152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3C1-414E-A00E-E57A00A61524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C1-414E-A00E-E57A00A61524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C1-414E-A00E-E57A00A61524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C1-414E-A00E-E57A00A61524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C1-414E-A00E-E57A00A61524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C1-414E-A00E-E57A00A61524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C1-414E-A00E-E57A00A61524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C1-414E-A00E-E57A00A61524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C1-414E-A00E-E57A00A61524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C1-414E-A00E-E57A00A61524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3C1-414E-A00E-E57A00A61524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63041</c:v>
                </c:pt>
                <c:pt idx="1">
                  <c:v>49677</c:v>
                </c:pt>
                <c:pt idx="2">
                  <c:v>4389</c:v>
                </c:pt>
                <c:pt idx="3">
                  <c:v>181105</c:v>
                </c:pt>
                <c:pt idx="4">
                  <c:v>25193</c:v>
                </c:pt>
                <c:pt idx="5">
                  <c:v>87725</c:v>
                </c:pt>
                <c:pt idx="6">
                  <c:v>16644</c:v>
                </c:pt>
                <c:pt idx="7">
                  <c:v>9469</c:v>
                </c:pt>
                <c:pt idx="8">
                  <c:v>19172</c:v>
                </c:pt>
                <c:pt idx="9">
                  <c:v>24222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3C1-414E-A00E-E57A00A61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D6-4C5A-ABB4-412822F84567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D6-4C5A-ABB4-412822F84567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D6-4C5A-ABB4-412822F84567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6-4C5A-ABB4-412822F84567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6-4C5A-ABB4-412822F84567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D6-4C5A-ABB4-412822F84567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D6-4C5A-ABB4-412822F84567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D6-4C5A-ABB4-412822F84567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D6-4C5A-ABB4-412822F84567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D6-4C5A-ABB4-412822F845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8D6-4C5A-ABB4-412822F84567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D6-4C5A-ABB4-412822F84567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D6-4C5A-ABB4-412822F84567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D6-4C5A-ABB4-412822F84567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D6-4C5A-ABB4-412822F845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28D6-4C5A-ABB4-412822F84567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28D6-4C5A-ABB4-412822F84567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D6-4C5A-ABB4-412822F84567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D6-4C5A-ABB4-412822F84567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D6-4C5A-ABB4-412822F84567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D6-4C5A-ABB4-412822F84567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D6-4C5A-ABB4-412822F84567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D6-4C5A-ABB4-412822F84567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D6-4C5A-ABB4-412822F84567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D6-4C5A-ABB4-412822F84567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D6-4C5A-ABB4-412822F84567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D6-4C5A-ABB4-412822F84567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D6-4C5A-ABB4-412822F84567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D6-4C5A-ABB4-412822F84567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D6-4C5A-ABB4-412822F84567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8D6-4C5A-ABB4-412822F84567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D6-4C5A-ABB4-412822F84567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D6-4C5A-ABB4-412822F8456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28D6-4C5A-ABB4-412822F84567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8D6-4C5A-ABB4-412822F845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8D6-4C5A-ABB4-412822F845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8D6-4C5A-ABB4-412822F845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8D6-4C5A-ABB4-412822F845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8D6-4C5A-ABB4-412822F845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8D6-4C5A-ABB4-412822F845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8D6-4C5A-ABB4-412822F845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8D6-4C5A-ABB4-412822F8456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8D6-4C5A-ABB4-412822F8456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8D6-4C5A-ABB4-412822F8456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28D6-4C5A-ABB4-412822F8456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28D6-4C5A-ABB4-412822F8456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28D6-4C5A-ABB4-412822F8456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28D6-4C5A-ABB4-412822F8456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28D6-4C5A-ABB4-412822F8456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28D6-4C5A-ABB4-412822F8456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D6-4C5A-ABB4-412822F84567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8D6-4C5A-ABB4-412822F84567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8D6-4C5A-ABB4-412822F84567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8D6-4C5A-ABB4-412822F84567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8D6-4C5A-ABB4-412822F84567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8D6-4C5A-ABB4-412822F84567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8D6-4C5A-ABB4-412822F84567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8D6-4C5A-ABB4-412822F84567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8D6-4C5A-ABB4-412822F84567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8D6-4C5A-ABB4-412822F84567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8D6-4C5A-ABB4-412822F84567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8D6-4C5A-ABB4-412822F84567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8D6-4C5A-ABB4-412822F84567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8D6-4C5A-ABB4-412822F84567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8D6-4C5A-ABB4-412822F84567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8D6-4C5A-ABB4-412822F8456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28D6-4C5A-ABB4-412822F84567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8D6-4C5A-ABB4-412822F84567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8D6-4C5A-ABB4-412822F84567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8D6-4C5A-ABB4-412822F84567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8D6-4C5A-ABB4-412822F84567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8D6-4C5A-ABB4-412822F84567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8D6-4C5A-ABB4-412822F84567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8D6-4C5A-ABB4-412822F84567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8D6-4C5A-ABB4-412822F84567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8D6-4C5A-ABB4-412822F84567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8D6-4C5A-ABB4-412822F84567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8D6-4C5A-ABB4-412822F84567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8D6-4C5A-ABB4-412822F84567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8D6-4C5A-ABB4-412822F84567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8D6-4C5A-ABB4-412822F84567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8D6-4C5A-ABB4-412822F84567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8D6-4C5A-ABB4-412822F8456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28D6-4C5A-ABB4-412822F84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españoles x mun al'!$B$3</c:f>
          <c:strCache>
            <c:ptCount val="1"/>
            <c:pt idx="0">
              <c:v>Viajeros españoles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españoles x mun al'!$G$5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españoles x mun al'!$B$7:$B$16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españoles x mun al'!$G$7:$G$16</c:f>
              <c:numCache>
                <c:formatCode>#,##0</c:formatCode>
                <c:ptCount val="10"/>
                <c:pt idx="0">
                  <c:v>80662</c:v>
                </c:pt>
                <c:pt idx="1">
                  <c:v>49212</c:v>
                </c:pt>
                <c:pt idx="2">
                  <c:v>12065</c:v>
                </c:pt>
                <c:pt idx="3">
                  <c:v>165380</c:v>
                </c:pt>
                <c:pt idx="4">
                  <c:v>24592</c:v>
                </c:pt>
                <c:pt idx="5">
                  <c:v>76465</c:v>
                </c:pt>
                <c:pt idx="6">
                  <c:v>19920</c:v>
                </c:pt>
                <c:pt idx="7">
                  <c:v>14533</c:v>
                </c:pt>
                <c:pt idx="8">
                  <c:v>15555</c:v>
                </c:pt>
                <c:pt idx="9">
                  <c:v>29120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7-4BDE-B469-A7E42193C2DB}"/>
            </c:ext>
          </c:extLst>
        </c:ser>
        <c:ser>
          <c:idx val="1"/>
          <c:order val="1"/>
          <c:tx>
            <c:strRef>
              <c:f>'distribución españoles x mun al'!$K$5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al'!$K$7:$K$16</c:f>
              <c:numCache>
                <c:formatCode>#,##0</c:formatCode>
                <c:ptCount val="10"/>
                <c:pt idx="0">
                  <c:v>69210</c:v>
                </c:pt>
                <c:pt idx="1">
                  <c:v>46569</c:v>
                </c:pt>
                <c:pt idx="2">
                  <c:v>6319</c:v>
                </c:pt>
                <c:pt idx="3">
                  <c:v>177175</c:v>
                </c:pt>
                <c:pt idx="4">
                  <c:v>22839</c:v>
                </c:pt>
                <c:pt idx="5">
                  <c:v>75937</c:v>
                </c:pt>
                <c:pt idx="6">
                  <c:v>16896</c:v>
                </c:pt>
                <c:pt idx="7">
                  <c:v>11038</c:v>
                </c:pt>
                <c:pt idx="8">
                  <c:v>28730</c:v>
                </c:pt>
                <c:pt idx="9">
                  <c:v>26478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7-4BDE-B469-A7E42193C2DB}"/>
            </c:ext>
          </c:extLst>
        </c:ser>
        <c:ser>
          <c:idx val="2"/>
          <c:order val="2"/>
          <c:tx>
            <c:strRef>
              <c:f>'distribución españoles x mun al'!$O$5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españoles x mun al'!$O$7:$O$16</c:f>
              <c:numCache>
                <c:formatCode>#,##0</c:formatCode>
                <c:ptCount val="10"/>
                <c:pt idx="0">
                  <c:v>63041</c:v>
                </c:pt>
                <c:pt idx="1">
                  <c:v>49677</c:v>
                </c:pt>
                <c:pt idx="2">
                  <c:v>4389</c:v>
                </c:pt>
                <c:pt idx="3">
                  <c:v>181105</c:v>
                </c:pt>
                <c:pt idx="4">
                  <c:v>25193</c:v>
                </c:pt>
                <c:pt idx="5">
                  <c:v>87725</c:v>
                </c:pt>
                <c:pt idx="6">
                  <c:v>16644</c:v>
                </c:pt>
                <c:pt idx="7">
                  <c:v>9469</c:v>
                </c:pt>
                <c:pt idx="8">
                  <c:v>19172</c:v>
                </c:pt>
                <c:pt idx="9">
                  <c:v>24222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17-4BDE-B469-A7E42193C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españoles x mun al'!$P$5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al'!$P$7:$P$16</c:f>
              <c:numCache>
                <c:formatCode>0.0%</c:formatCode>
                <c:ptCount val="10"/>
                <c:pt idx="0">
                  <c:v>-8.9134518133217711E-2</c:v>
                </c:pt>
                <c:pt idx="1">
                  <c:v>6.6739676608903009E-2</c:v>
                </c:pt>
                <c:pt idx="2">
                  <c:v>-0.30542807406235162</c:v>
                </c:pt>
                <c:pt idx="3">
                  <c:v>2.2181459009454008E-2</c:v>
                </c:pt>
                <c:pt idx="4">
                  <c:v>0.1030693112658172</c:v>
                </c:pt>
                <c:pt idx="5">
                  <c:v>0.1552339439272028</c:v>
                </c:pt>
                <c:pt idx="6">
                  <c:v>-1.4914772727272707E-2</c:v>
                </c:pt>
                <c:pt idx="7">
                  <c:v>-0.14214531618046744</c:v>
                </c:pt>
                <c:pt idx="8">
                  <c:v>-0.33268360598677338</c:v>
                </c:pt>
                <c:pt idx="9">
                  <c:v>-8.5202809879900254E-2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17-4BDE-B469-A7E42193C2DB}"/>
            </c:ext>
          </c:extLst>
        </c:ser>
        <c:ser>
          <c:idx val="6"/>
          <c:order val="4"/>
          <c:tx>
            <c:strRef>
              <c:f>'distribución españoles x mun al'!$T$5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españoles x mun al'!$T$7:$T$16</c:f>
              <c:numCache>
                <c:formatCode>0.0%</c:formatCode>
                <c:ptCount val="10"/>
                <c:pt idx="0">
                  <c:v>0.13116135461897441</c:v>
                </c:pt>
                <c:pt idx="1">
                  <c:v>0.10335658719574231</c:v>
                </c:pt>
                <c:pt idx="2">
                  <c:v>9.1316315639453482E-3</c:v>
                </c:pt>
                <c:pt idx="3">
                  <c:v>0.37680203563188019</c:v>
                </c:pt>
                <c:pt idx="4">
                  <c:v>5.241585645715998E-2</c:v>
                </c:pt>
                <c:pt idx="5">
                  <c:v>0.18251819980567455</c:v>
                </c:pt>
                <c:pt idx="6">
                  <c:v>3.4629044372364172E-2</c:v>
                </c:pt>
                <c:pt idx="7">
                  <c:v>1.970093854613773E-2</c:v>
                </c:pt>
                <c:pt idx="8">
                  <c:v>3.98887309965733E-2</c:v>
                </c:pt>
                <c:pt idx="9">
                  <c:v>5.0395620811548011E-2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17-4BDE-B469-A7E42193C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peninsula x munici'!$O$5</c:f>
              <c:strCache>
                <c:ptCount val="1"/>
                <c:pt idx="0">
                  <c:v>acumulado junio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26-4BF9-AADE-5BEBC0206E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626-4BF9-AADE-5BEBC0206E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626-4BF9-AADE-5BEBC0206E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26-4BF9-AADE-5BEBC0206E1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26-4BF9-AADE-5BEBC0206E1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626-4BF9-AADE-5BEBC0206E1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626-4BF9-AADE-5BEBC0206E1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626-4BF9-AADE-5BEBC0206E1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626-4BF9-AADE-5BEBC0206E1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626-4BF9-AADE-5BEBC0206E13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6-4BF9-AADE-5BEBC0206E13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26-4BF9-AADE-5BEBC0206E13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26-4BF9-AADE-5BEBC0206E13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26-4BF9-AADE-5BEBC0206E13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26-4BF9-AADE-5BEBC0206E13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26-4BF9-AADE-5BEBC0206E13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26-4BF9-AADE-5BEBC0206E13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26-4BF9-AADE-5BEBC0206E13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26-4BF9-AADE-5BEBC0206E13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626-4BF9-AADE-5BEBC0206E13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35884</c:v>
                </c:pt>
                <c:pt idx="1">
                  <c:v>29316</c:v>
                </c:pt>
                <c:pt idx="2">
                  <c:v>1545</c:v>
                </c:pt>
                <c:pt idx="3">
                  <c:v>140084</c:v>
                </c:pt>
                <c:pt idx="4">
                  <c:v>16553</c:v>
                </c:pt>
                <c:pt idx="5">
                  <c:v>43681</c:v>
                </c:pt>
                <c:pt idx="6">
                  <c:v>11250</c:v>
                </c:pt>
                <c:pt idx="7">
                  <c:v>4788</c:v>
                </c:pt>
                <c:pt idx="8">
                  <c:v>11731</c:v>
                </c:pt>
                <c:pt idx="9">
                  <c:v>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626-4BF9-AADE-5BEBC0206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D1-4B22-AFFB-A9F9918234F7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D1-4B22-AFFB-A9F9918234F7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D1-4B22-AFFB-A9F9918234F7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D1-4B22-AFFB-A9F9918234F7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D1-4B22-AFFB-A9F9918234F7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D1-4B22-AFFB-A9F9918234F7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D1-4B22-AFFB-A9F9918234F7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D1-4B22-AFFB-A9F9918234F7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D1-4B22-AFFB-A9F9918234F7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D1-4B22-AFFB-A9F991823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ED1-4B22-AFFB-A9F9918234F7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D1-4B22-AFFB-A9F9918234F7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D1-4B22-AFFB-A9F9918234F7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D1-4B22-AFFB-A9F9918234F7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D1-4B22-AFFB-A9F9918234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2ED1-4B22-AFFB-A9F9918234F7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2ED1-4B22-AFFB-A9F9918234F7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D1-4B22-AFFB-A9F9918234F7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D1-4B22-AFFB-A9F9918234F7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D1-4B22-AFFB-A9F9918234F7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D1-4B22-AFFB-A9F9918234F7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D1-4B22-AFFB-A9F9918234F7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D1-4B22-AFFB-A9F9918234F7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D1-4B22-AFFB-A9F9918234F7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D1-4B22-AFFB-A9F9918234F7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D1-4B22-AFFB-A9F9918234F7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D1-4B22-AFFB-A9F9918234F7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D1-4B22-AFFB-A9F9918234F7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D1-4B22-AFFB-A9F9918234F7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D1-4B22-AFFB-A9F9918234F7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D1-4B22-AFFB-A9F9918234F7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D1-4B22-AFFB-A9F9918234F7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D1-4B22-AFFB-A9F9918234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2ED1-4B22-AFFB-A9F9918234F7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ED1-4B22-AFFB-A9F9918234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ED1-4B22-AFFB-A9F9918234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ED1-4B22-AFFB-A9F9918234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ED1-4B22-AFFB-A9F9918234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ED1-4B22-AFFB-A9F9918234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ED1-4B22-AFFB-A9F9918234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ED1-4B22-AFFB-A9F9918234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ED1-4B22-AFFB-A9F9918234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ED1-4B22-AFFB-A9F9918234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ED1-4B22-AFFB-A9F9918234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2ED1-4B22-AFFB-A9F9918234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2ED1-4B22-AFFB-A9F9918234F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2ED1-4B22-AFFB-A9F9918234F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2ED1-4B22-AFFB-A9F9918234F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2ED1-4B22-AFFB-A9F9918234F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2ED1-4B22-AFFB-A9F9918234F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D1-4B22-AFFB-A9F9918234F7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ED1-4B22-AFFB-A9F9918234F7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ED1-4B22-AFFB-A9F9918234F7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ED1-4B22-AFFB-A9F9918234F7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ED1-4B22-AFFB-A9F9918234F7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ED1-4B22-AFFB-A9F9918234F7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ED1-4B22-AFFB-A9F9918234F7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ED1-4B22-AFFB-A9F9918234F7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ED1-4B22-AFFB-A9F9918234F7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ED1-4B22-AFFB-A9F9918234F7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ED1-4B22-AFFB-A9F9918234F7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ED1-4B22-AFFB-A9F9918234F7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ED1-4B22-AFFB-A9F9918234F7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ED1-4B22-AFFB-A9F9918234F7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ED1-4B22-AFFB-A9F9918234F7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ED1-4B22-AFFB-A9F9918234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2ED1-4B22-AFFB-A9F9918234F7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ED1-4B22-AFFB-A9F9918234F7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ED1-4B22-AFFB-A9F9918234F7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ED1-4B22-AFFB-A9F9918234F7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ED1-4B22-AFFB-A9F9918234F7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ED1-4B22-AFFB-A9F9918234F7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ED1-4B22-AFFB-A9F9918234F7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ED1-4B22-AFFB-A9F9918234F7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ED1-4B22-AFFB-A9F9918234F7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ED1-4B22-AFFB-A9F9918234F7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ED1-4B22-AFFB-A9F9918234F7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ED1-4B22-AFFB-A9F9918234F7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ED1-4B22-AFFB-A9F9918234F7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ED1-4B22-AFFB-A9F9918234F7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ED1-4B22-AFFB-A9F9918234F7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ED1-4B22-AFFB-A9F9918234F7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ED1-4B22-AFFB-A9F9918234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2ED1-4B22-AFFB-A9F991823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peninsula x munici'!$B$3</c:f>
          <c:strCache>
            <c:ptCount val="1"/>
            <c:pt idx="0">
              <c:v>Viajeros peninsulares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peninsula x munici'!$G$5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peninsula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peninsula x munici'!$G$7:$G$16</c:f>
              <c:numCache>
                <c:formatCode>#,##0</c:formatCode>
                <c:ptCount val="10"/>
                <c:pt idx="0">
                  <c:v>46203</c:v>
                </c:pt>
                <c:pt idx="1">
                  <c:v>29159</c:v>
                </c:pt>
                <c:pt idx="2">
                  <c:v>3098</c:v>
                </c:pt>
                <c:pt idx="3">
                  <c:v>122647</c:v>
                </c:pt>
                <c:pt idx="4">
                  <c:v>14610</c:v>
                </c:pt>
                <c:pt idx="5">
                  <c:v>40904</c:v>
                </c:pt>
                <c:pt idx="6">
                  <c:v>13965</c:v>
                </c:pt>
                <c:pt idx="7">
                  <c:v>4946</c:v>
                </c:pt>
                <c:pt idx="8">
                  <c:v>4261</c:v>
                </c:pt>
                <c:pt idx="9">
                  <c:v>9188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9-4D0D-B693-F115F4C6F251}"/>
            </c:ext>
          </c:extLst>
        </c:ser>
        <c:ser>
          <c:idx val="1"/>
          <c:order val="1"/>
          <c:tx>
            <c:strRef>
              <c:f>'distribución peninsula x munici'!$K$5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munici'!$K$7:$K$16</c:f>
              <c:numCache>
                <c:formatCode>#,##0</c:formatCode>
                <c:ptCount val="10"/>
                <c:pt idx="0">
                  <c:v>42959</c:v>
                </c:pt>
                <c:pt idx="1">
                  <c:v>26530</c:v>
                </c:pt>
                <c:pt idx="2">
                  <c:v>2077</c:v>
                </c:pt>
                <c:pt idx="3">
                  <c:v>127002</c:v>
                </c:pt>
                <c:pt idx="4">
                  <c:v>16063</c:v>
                </c:pt>
                <c:pt idx="5">
                  <c:v>41828</c:v>
                </c:pt>
                <c:pt idx="6">
                  <c:v>12232</c:v>
                </c:pt>
                <c:pt idx="7">
                  <c:v>3910</c:v>
                </c:pt>
                <c:pt idx="8">
                  <c:v>10922</c:v>
                </c:pt>
                <c:pt idx="9">
                  <c:v>8880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9-4D0D-B693-F115F4C6F251}"/>
            </c:ext>
          </c:extLst>
        </c:ser>
        <c:ser>
          <c:idx val="2"/>
          <c:order val="2"/>
          <c:tx>
            <c:strRef>
              <c:f>'distribución peninsula x munici'!$O$5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peninsula x munici'!$O$7:$O$16</c:f>
              <c:numCache>
                <c:formatCode>#,##0</c:formatCode>
                <c:ptCount val="10"/>
                <c:pt idx="0">
                  <c:v>35884</c:v>
                </c:pt>
                <c:pt idx="1">
                  <c:v>29316</c:v>
                </c:pt>
                <c:pt idx="2">
                  <c:v>1545</c:v>
                </c:pt>
                <c:pt idx="3">
                  <c:v>140084</c:v>
                </c:pt>
                <c:pt idx="4">
                  <c:v>16553</c:v>
                </c:pt>
                <c:pt idx="5">
                  <c:v>43681</c:v>
                </c:pt>
                <c:pt idx="6">
                  <c:v>11250</c:v>
                </c:pt>
                <c:pt idx="7">
                  <c:v>4788</c:v>
                </c:pt>
                <c:pt idx="8">
                  <c:v>11731</c:v>
                </c:pt>
                <c:pt idx="9">
                  <c:v>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9-4D0D-B693-F115F4C6F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peninsula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munici'!$P$7:$P$16</c:f>
              <c:numCache>
                <c:formatCode>0.0%</c:formatCode>
                <c:ptCount val="10"/>
                <c:pt idx="0">
                  <c:v>-0.16469191554738238</c:v>
                </c:pt>
                <c:pt idx="1">
                  <c:v>0.10501319261213715</c:v>
                </c:pt>
                <c:pt idx="2">
                  <c:v>-0.25613866153105436</c:v>
                </c:pt>
                <c:pt idx="3">
                  <c:v>0.10300625187004919</c:v>
                </c:pt>
                <c:pt idx="4">
                  <c:v>3.0504887007408277E-2</c:v>
                </c:pt>
                <c:pt idx="5">
                  <c:v>4.4300468585636521E-2</c:v>
                </c:pt>
                <c:pt idx="6">
                  <c:v>-8.0281229561805056E-2</c:v>
                </c:pt>
                <c:pt idx="7">
                  <c:v>0.2245524296675192</c:v>
                </c:pt>
                <c:pt idx="8">
                  <c:v>7.4070683025087014E-2</c:v>
                </c:pt>
                <c:pt idx="9">
                  <c:v>1.4752252252252296E-2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9-4D0D-B693-F115F4C6F251}"/>
            </c:ext>
          </c:extLst>
        </c:ser>
        <c:ser>
          <c:idx val="6"/>
          <c:order val="4"/>
          <c:tx>
            <c:strRef>
              <c:f>'distribución peninsula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peninsula x munici'!$T$7:$T$16</c:f>
              <c:numCache>
                <c:formatCode>0.0%</c:formatCode>
                <c:ptCount val="10"/>
                <c:pt idx="0">
                  <c:v>0.11810046635927107</c:v>
                </c:pt>
                <c:pt idx="1">
                  <c:v>9.6484039454586737E-2</c:v>
                </c:pt>
                <c:pt idx="2">
                  <c:v>5.0848629061719377E-3</c:v>
                </c:pt>
                <c:pt idx="3">
                  <c:v>0.46104073485319719</c:v>
                </c:pt>
                <c:pt idx="4">
                  <c:v>5.4478793324183872E-2</c:v>
                </c:pt>
                <c:pt idx="5">
                  <c:v>0.14376174537507858</c:v>
                </c:pt>
                <c:pt idx="6">
                  <c:v>3.702570077309663E-2</c:v>
                </c:pt>
                <c:pt idx="7">
                  <c:v>1.5758138249029927E-2</c:v>
                </c:pt>
                <c:pt idx="8">
                  <c:v>3.8608755179484144E-2</c:v>
                </c:pt>
                <c:pt idx="9">
                  <c:v>2.9656763525899889E-2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E9-4D0D-B693-F115F4C6F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munici'!$O$5</c:f>
          <c:strCache>
            <c:ptCount val="1"/>
            <c:pt idx="0">
              <c:v>acumulado junio 2025</c:v>
            </c:pt>
          </c:strCache>
        </c:strRef>
      </c:tx>
      <c:layout>
        <c:manualLayout>
          <c:xMode val="edge"/>
          <c:yMode val="edge"/>
          <c:x val="0.86451594650205765"/>
          <c:y val="8.9990998963746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3757176234101782"/>
          <c:y val="0.190608507035707"/>
          <c:w val="0.37144032921810699"/>
          <c:h val="0.65540856384306434"/>
        </c:manualLayout>
      </c:layout>
      <c:pieChart>
        <c:varyColors val="1"/>
        <c:ser>
          <c:idx val="0"/>
          <c:order val="0"/>
          <c:tx>
            <c:strRef>
              <c:f>'distribución canarias x munici'!$O$5</c:f>
              <c:strCache>
                <c:ptCount val="1"/>
                <c:pt idx="0">
                  <c:v>acumulado junio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0F-4E47-AB68-B0E6A0A525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0F-4E47-AB68-B0E6A0A525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50F-4E47-AB68-B0E6A0A525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50F-4E47-AB68-B0E6A0A5253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50F-4E47-AB68-B0E6A0A525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50F-4E47-AB68-B0E6A0A525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50F-4E47-AB68-B0E6A0A5253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0F-4E47-AB68-B0E6A0A5253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50F-4E47-AB68-B0E6A0A5253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50F-4E47-AB68-B0E6A0A5253A}"/>
              </c:ext>
            </c:extLst>
          </c:dPt>
          <c:dLbls>
            <c:dLbl>
              <c:idx val="0"/>
              <c:layout>
                <c:manualLayout>
                  <c:x val="-7.5339122360884497E-2"/>
                  <c:y val="4.59714145008051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0F-4E47-AB68-B0E6A0A5253A}"/>
                </c:ext>
              </c:extLst>
            </c:dLbl>
            <c:dLbl>
              <c:idx val="1"/>
              <c:layout>
                <c:manualLayout>
                  <c:x val="-9.3387190520987984E-2"/>
                  <c:y val="4.81960591187521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0F-4E47-AB68-B0E6A0A5253A}"/>
                </c:ext>
              </c:extLst>
            </c:dLbl>
            <c:dLbl>
              <c:idx val="2"/>
              <c:layout>
                <c:manualLayout>
                  <c:x val="-0.11098057931923191"/>
                  <c:y val="1.17761632571754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0F-4E47-AB68-B0E6A0A5253A}"/>
                </c:ext>
              </c:extLst>
            </c:dLbl>
            <c:dLbl>
              <c:idx val="3"/>
              <c:layout>
                <c:manualLayout>
                  <c:x val="-0.13331713361065792"/>
                  <c:y val="1.200347496970465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0F-4E47-AB68-B0E6A0A5253A}"/>
                </c:ext>
              </c:extLst>
            </c:dLbl>
            <c:dLbl>
              <c:idx val="4"/>
              <c:layout>
                <c:manualLayout>
                  <c:x val="1.1125366254599619E-2"/>
                  <c:y val="-4.838153839343518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0F-4E47-AB68-B0E6A0A5253A}"/>
                </c:ext>
              </c:extLst>
            </c:dLbl>
            <c:dLbl>
              <c:idx val="5"/>
              <c:layout>
                <c:manualLayout>
                  <c:x val="4.6608807014449298E-2"/>
                  <c:y val="-6.15330813795851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0F-4E47-AB68-B0E6A0A5253A}"/>
                </c:ext>
              </c:extLst>
            </c:dLbl>
            <c:dLbl>
              <c:idx val="6"/>
              <c:layout>
                <c:manualLayout>
                  <c:x val="9.1737743332696367E-2"/>
                  <c:y val="-0.1007623906463554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0F-4E47-AB68-B0E6A0A5253A}"/>
                </c:ext>
              </c:extLst>
            </c:dLbl>
            <c:dLbl>
              <c:idx val="7"/>
              <c:layout>
                <c:manualLayout>
                  <c:x val="0.12098099885836359"/>
                  <c:y val="-1.921990250164618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0F-4E47-AB68-B0E6A0A5253A}"/>
                </c:ext>
              </c:extLst>
            </c:dLbl>
            <c:dLbl>
              <c:idx val="8"/>
              <c:layout>
                <c:manualLayout>
                  <c:x val="0.16659745802158807"/>
                  <c:y val="3.2318103596150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0F-4E47-AB68-B0E6A0A5253A}"/>
                </c:ext>
              </c:extLst>
            </c:dLbl>
            <c:dLbl>
              <c:idx val="9"/>
              <c:layout>
                <c:manualLayout>
                  <c:x val="-5.8337222491707218E-2"/>
                  <c:y val="1.835979216582467E-2"/>
                </c:manualLayout>
              </c:layout>
              <c:numFmt formatCode="0.0%" sourceLinked="0"/>
              <c:spPr>
                <a:noFill/>
                <a:ln w="3175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008261552331535"/>
                      <c:h val="0.165144061841180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C50F-4E47-AB68-B0E6A0A5253A}"/>
                </c:ext>
              </c:extLst>
            </c:dLbl>
            <c:numFmt formatCode="0.0%" sourceLinked="0"/>
            <c:spPr>
              <a:noFill/>
              <a:ln w="3175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27157</c:v>
                </c:pt>
                <c:pt idx="1">
                  <c:v>20361</c:v>
                </c:pt>
                <c:pt idx="2">
                  <c:v>2844</c:v>
                </c:pt>
                <c:pt idx="3">
                  <c:v>41021</c:v>
                </c:pt>
                <c:pt idx="4">
                  <c:v>8640</c:v>
                </c:pt>
                <c:pt idx="5">
                  <c:v>44044</c:v>
                </c:pt>
                <c:pt idx="6">
                  <c:v>5394</c:v>
                </c:pt>
                <c:pt idx="7">
                  <c:v>4681</c:v>
                </c:pt>
                <c:pt idx="8">
                  <c:v>7441</c:v>
                </c:pt>
                <c:pt idx="9">
                  <c:v>15211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50F-4E47-AB68-B0E6A0A52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8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Evolución de los turistas españoles según lugar de residencia</a:t>
            </a:r>
          </a:p>
        </c:rich>
      </c:tx>
      <c:layout>
        <c:manualLayout>
          <c:xMode val="edge"/>
          <c:yMode val="edge"/>
          <c:x val="7.1780789620584087E-3"/>
          <c:y val="2.60416666666666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059838895281933E-3"/>
          <c:y val="0.17594611220472442"/>
          <c:w val="0.99024733530863318"/>
          <c:h val="0.7776484580052494"/>
        </c:manualLayout>
      </c:layout>
      <c:lineChart>
        <c:grouping val="standard"/>
        <c:varyColors val="0"/>
        <c:ser>
          <c:idx val="4"/>
          <c:order val="0"/>
          <c:tx>
            <c:v>España</c:v>
          </c:tx>
          <c:spPr>
            <a:ln w="19050">
              <a:solidFill>
                <a:schemeClr val="accent6">
                  <a:lumMod val="50000"/>
                </a:schemeClr>
              </a:solidFill>
            </a:ln>
          </c:spPr>
          <c:marker>
            <c:symbol val="star"/>
            <c:size val="7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3678618135909101E-2"/>
                  <c:y val="-4.772125164041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33-4835-A311-371C1B2BFCB6}"/>
                </c:ext>
              </c:extLst>
            </c:dLbl>
            <c:dLbl>
              <c:idx val="4"/>
              <c:layout>
                <c:manualLayout>
                  <c:x val="-5.214428748765438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3-4835-A311-371C1B2BFCB6}"/>
                </c:ext>
              </c:extLst>
            </c:dLbl>
            <c:dLbl>
              <c:idx val="5"/>
              <c:layout>
                <c:manualLayout>
                  <c:x val="-4.6006964894635578E-2"/>
                  <c:y val="-4.25129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3-4835-A311-371C1B2BFCB6}"/>
                </c:ext>
              </c:extLst>
            </c:dLbl>
            <c:dLbl>
              <c:idx val="6"/>
              <c:layout>
                <c:manualLayout>
                  <c:x val="-4.2938303598126185E-2"/>
                  <c:y val="-3.99087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3-4835-A311-371C1B2BFCB6}"/>
                </c:ext>
              </c:extLst>
            </c:dLbl>
            <c:dLbl>
              <c:idx val="7"/>
              <c:layout>
                <c:manualLayout>
                  <c:x val="-3.373231970859799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3-4835-A311-371C1B2BFCB6}"/>
                </c:ext>
              </c:extLst>
            </c:dLbl>
            <c:dLbl>
              <c:idx val="8"/>
              <c:layout>
                <c:manualLayout>
                  <c:x val="-5.0609956839399679E-2"/>
                  <c:y val="-4.7721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33-4835-A311-371C1B2BFCB6}"/>
                </c:ext>
              </c:extLst>
            </c:dLbl>
            <c:dLbl>
              <c:idx val="9"/>
              <c:layout>
                <c:manualLayout>
                  <c:x val="-5.8281610080673174E-2"/>
                  <c:y val="-3.20962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33-4835-A311-371C1B2BFCB6}"/>
                </c:ext>
              </c:extLst>
            </c:dLbl>
            <c:dLbl>
              <c:idx val="10"/>
              <c:layout>
                <c:manualLayout>
                  <c:x val="-5.0609956839399679E-2"/>
                  <c:y val="-3.2096251640419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33-4835-A311-371C1B2BFCB6}"/>
                </c:ext>
              </c:extLst>
            </c:dLbl>
            <c:dLbl>
              <c:idx val="11"/>
              <c:layout>
                <c:manualLayout>
                  <c:x val="-4.3046860715444391E-2"/>
                  <c:y val="-3.4700418307086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33-4835-A311-371C1B2BFCB6}"/>
                </c:ext>
              </c:extLst>
            </c:dLbl>
            <c:dLbl>
              <c:idx val="12"/>
              <c:layout>
                <c:manualLayout>
                  <c:x val="-4.756425009589578E-2"/>
                  <c:y val="-5.553375164041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33-4835-A311-371C1B2BF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1245831</c:v>
              </c:pt>
              <c:pt idx="1">
                <c:v>1371788</c:v>
              </c:pt>
              <c:pt idx="2">
                <c:v>1459717</c:v>
              </c:pt>
              <c:pt idx="3">
                <c:v>1563829</c:v>
              </c:pt>
              <c:pt idx="4">
                <c:v>1552207</c:v>
              </c:pt>
              <c:pt idx="5">
                <c:v>1560633</c:v>
              </c:pt>
              <c:pt idx="6">
                <c:v>1450144</c:v>
              </c:pt>
              <c:pt idx="7">
                <c:v>1466184</c:v>
              </c:pt>
              <c:pt idx="8">
                <c:v>1302302</c:v>
              </c:pt>
              <c:pt idx="9">
                <c:v>1185008</c:v>
              </c:pt>
              <c:pt idx="10">
                <c:v>1161922</c:v>
              </c:pt>
              <c:pt idx="11">
                <c:v>1154877</c:v>
              </c:pt>
              <c:pt idx="12">
                <c:v>1197223</c:v>
              </c:pt>
              <c:pt idx="13">
                <c:v>1169226</c:v>
              </c:pt>
              <c:pt idx="14">
                <c:v>1213803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BB33-4835-A311-371C1B2BFCB6}"/>
            </c:ext>
          </c:extLst>
        </c:ser>
        <c:ser>
          <c:idx val="2"/>
          <c:order val="1"/>
          <c:tx>
            <c:v>Península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955085670470992E-2"/>
                  <c:y val="-3.73045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33-4835-A311-371C1B2BFCB6}"/>
                </c:ext>
              </c:extLst>
            </c:dLbl>
            <c:dLbl>
              <c:idx val="3"/>
              <c:layout>
                <c:manualLayout>
                  <c:x val="-5.2412044000117966E-2"/>
                  <c:y val="-4.51170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33-4835-A311-371C1B2BFCB6}"/>
                </c:ext>
              </c:extLst>
            </c:dLbl>
            <c:dLbl>
              <c:idx val="4"/>
              <c:layout>
                <c:manualLayout>
                  <c:x val="-4.7917661977646055E-2"/>
                  <c:y val="-2.949208497375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33-4835-A311-371C1B2BFCB6}"/>
                </c:ext>
              </c:extLst>
            </c:dLbl>
            <c:dLbl>
              <c:idx val="5"/>
              <c:layout>
                <c:manualLayout>
                  <c:x val="-4.4921407295998167E-2"/>
                  <c:y val="-5.2929584973753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33-4835-A311-371C1B2BFC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835494.10694093152</c:v>
              </c:pt>
              <c:pt idx="1">
                <c:v>934060.2740821382</c:v>
              </c:pt>
              <c:pt idx="2">
                <c:v>991891.91957325314</c:v>
              </c:pt>
              <c:pt idx="3">
                <c:v>1012310.1198606625</c:v>
              </c:pt>
              <c:pt idx="4">
                <c:v>1010234.1976024332</c:v>
              </c:pt>
              <c:pt idx="5">
                <c:v>1045110.5088730652</c:v>
              </c:pt>
              <c:pt idx="6">
                <c:v>933931.5945879299</c:v>
              </c:pt>
              <c:pt idx="7">
                <c:v>899119.37267652876</c:v>
              </c:pt>
              <c:pt idx="8">
                <c:v>832056.62769670982</c:v>
              </c:pt>
              <c:pt idx="9">
                <c:v>764825.44958218595</c:v>
              </c:pt>
              <c:pt idx="10">
                <c:v>700427.58718537493</c:v>
              </c:pt>
              <c:pt idx="11">
                <c:v>643039.60500446218</c:v>
              </c:pt>
              <c:pt idx="12">
                <c:v>647312.71648904984</c:v>
              </c:pt>
              <c:pt idx="13">
                <c:v>701207.72652040434</c:v>
              </c:pt>
              <c:pt idx="14">
                <c:v>743043.23333572771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BB33-4835-A311-371C1B2BFCB6}"/>
            </c:ext>
          </c:extLst>
        </c:ser>
        <c:ser>
          <c:idx val="1"/>
          <c:order val="2"/>
          <c:tx>
            <c:v>Canarias</c:v>
          </c:tx>
          <c:spPr>
            <a:ln w="19050">
              <a:solidFill>
                <a:schemeClr val="accent6"/>
              </a:solidFill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410336.89305934194</c:v>
              </c:pt>
              <c:pt idx="1">
                <c:v>437727.72591771383</c:v>
              </c:pt>
              <c:pt idx="2">
                <c:v>467825.08042674686</c:v>
              </c:pt>
              <c:pt idx="3">
                <c:v>551518.88013933762</c:v>
              </c:pt>
              <c:pt idx="4">
                <c:v>541972.80239797349</c:v>
              </c:pt>
              <c:pt idx="5">
                <c:v>515522.49112716987</c:v>
              </c:pt>
              <c:pt idx="6">
                <c:v>516212.40541213681</c:v>
              </c:pt>
              <c:pt idx="7">
                <c:v>567064.62732366158</c:v>
              </c:pt>
              <c:pt idx="8">
                <c:v>470245.3723033563</c:v>
              </c:pt>
              <c:pt idx="9">
                <c:v>420182.55041824712</c:v>
              </c:pt>
              <c:pt idx="10">
                <c:v>461494.41281506338</c:v>
              </c:pt>
              <c:pt idx="11">
                <c:v>511837.39499551943</c:v>
              </c:pt>
              <c:pt idx="12">
                <c:v>549910.28351071582</c:v>
              </c:pt>
              <c:pt idx="13">
                <c:v>468018.27348018327</c:v>
              </c:pt>
              <c:pt idx="14">
                <c:v>470759.76666423009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BB33-4835-A311-371C1B2BFCB6}"/>
            </c:ext>
          </c:extLst>
        </c:ser>
        <c:ser>
          <c:idx val="5"/>
          <c:order val="3"/>
          <c:tx>
            <c:v>Var España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33-4835-A311-371C1B2BFCB6}"/>
                </c:ext>
              </c:extLst>
            </c:dLbl>
            <c:dLbl>
              <c:idx val="1"/>
              <c:layout>
                <c:manualLayout>
                  <c:x val="-4.0420189133435432E-2"/>
                  <c:y val="-0.6328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33-4835-A311-371C1B2BFCB6}"/>
                </c:ext>
              </c:extLst>
            </c:dLbl>
            <c:dLbl>
              <c:idx val="2"/>
              <c:layout>
                <c:manualLayout>
                  <c:x val="-4.0477937956259494E-2"/>
                  <c:y val="-0.664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33-4835-A311-371C1B2BFCB6}"/>
                </c:ext>
              </c:extLst>
            </c:dLbl>
            <c:dLbl>
              <c:idx val="3"/>
              <c:layout>
                <c:manualLayout>
                  <c:x val="-3.138322324208901E-2"/>
                  <c:y val="-0.70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33-4835-A311-371C1B2BFCB6}"/>
                </c:ext>
              </c:extLst>
            </c:dLbl>
            <c:dLbl>
              <c:idx val="4"/>
              <c:layout>
                <c:manualLayout>
                  <c:x val="-3.2619869581894896E-2"/>
                  <c:y val="-0.67708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33-4835-A311-371C1B2BFCB6}"/>
                </c:ext>
              </c:extLst>
            </c:dLbl>
            <c:dLbl>
              <c:idx val="5"/>
              <c:layout>
                <c:manualLayout>
                  <c:x val="-2.8760605154505285E-2"/>
                  <c:y val="-0.6953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33-4835-A311-371C1B2BFCB6}"/>
                </c:ext>
              </c:extLst>
            </c:dLbl>
            <c:dLbl>
              <c:idx val="6"/>
              <c:layout>
                <c:manualLayout>
                  <c:x val="-2.5009106312804109E-2"/>
                  <c:y val="-0.6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33-4835-A311-371C1B2BFCB6}"/>
                </c:ext>
              </c:extLst>
            </c:dLbl>
            <c:dLbl>
              <c:idx val="7"/>
              <c:layout>
                <c:manualLayout>
                  <c:x val="-1.4231649547098631E-2"/>
                  <c:y val="-0.65701034103410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33-4835-A311-371C1B2BFCB6}"/>
                </c:ext>
              </c:extLst>
            </c:dLbl>
            <c:dLbl>
              <c:idx val="8"/>
              <c:layout>
                <c:manualLayout>
                  <c:x val="-2.3449404842806616E-2"/>
                  <c:y val="-0.5963541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33-4835-A311-371C1B2BFCB6}"/>
                </c:ext>
              </c:extLst>
            </c:dLbl>
            <c:dLbl>
              <c:idx val="9"/>
              <c:layout>
                <c:manualLayout>
                  <c:x val="-3.2862189979061603E-2"/>
                  <c:y val="-0.536458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33-4835-A311-371C1B2BFCB6}"/>
                </c:ext>
              </c:extLst>
            </c:dLbl>
            <c:dLbl>
              <c:idx val="10"/>
              <c:layout>
                <c:manualLayout>
                  <c:x val="-3.2026324830884211E-2"/>
                  <c:y val="-0.5344244224422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33-4835-A311-371C1B2BFCB6}"/>
                </c:ext>
              </c:extLst>
            </c:dLbl>
            <c:dLbl>
              <c:idx val="11"/>
              <c:layout>
                <c:manualLayout>
                  <c:x val="-3.0786398891149841E-2"/>
                  <c:y val="-0.526041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33-4835-A311-371C1B2BFCB6}"/>
                </c:ext>
              </c:extLst>
            </c:dLbl>
            <c:dLbl>
              <c:idx val="12"/>
              <c:layout>
                <c:manualLayout>
                  <c:x val="-3.0983209952610929E-2"/>
                  <c:y val="-0.5729166666666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33-4835-A311-371C1B2BFCB6}"/>
                </c:ext>
              </c:extLst>
            </c:dLbl>
            <c:dLbl>
              <c:idx val="13"/>
              <c:layout>
                <c:manualLayout>
                  <c:x val="-2.711293953866269E-2"/>
                  <c:y val="-0.54223696369636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33-4835-A311-371C1B2BFCB6}"/>
                </c:ext>
              </c:extLst>
            </c:dLbl>
            <c:dLbl>
              <c:idx val="14"/>
              <c:layout>
                <c:manualLayout>
                  <c:x val="-3.5102385584443931E-2"/>
                  <c:y val="-0.56723872387238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B33-4835-A311-371C1B2BFCB6}"/>
                </c:ext>
              </c:extLst>
            </c:dLbl>
            <c:dLbl>
              <c:idx val="15"/>
              <c:layout>
                <c:manualLayout>
                  <c:x val="-1.3695726958429133E-2"/>
                  <c:y val="-0.60915291529152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B33-4835-A311-371C1B2BFCB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0.10390423970908258</c:v>
              </c:pt>
              <c:pt idx="1">
                <c:v>0.10110279805206335</c:v>
              </c:pt>
              <c:pt idx="2">
                <c:v>6.4098096790466075E-2</c:v>
              </c:pt>
              <c:pt idx="3">
                <c:v>7.1323414059026424E-2</c:v>
              </c:pt>
              <c:pt idx="4">
                <c:v>-7.431758843198355E-3</c:v>
              </c:pt>
              <c:pt idx="5">
                <c:v>5.4283996915360788E-3</c:v>
              </c:pt>
              <c:pt idx="6">
                <c:v>-7.0797554582018973E-2</c:v>
              </c:pt>
              <c:pt idx="7">
                <c:v>1.1060970496723055E-2</c:v>
              </c:pt>
              <c:pt idx="8">
                <c:v>-0.11177451124824711</c:v>
              </c:pt>
              <c:pt idx="9">
                <c:v>-9.0066666564283859E-2</c:v>
              </c:pt>
              <c:pt idx="10">
                <c:v>-1.9481725017890139E-2</c:v>
              </c:pt>
              <c:pt idx="11">
                <c:v>-6.0632297176574923E-3</c:v>
              </c:pt>
              <c:pt idx="12">
                <c:v>3.6667108272136373E-2</c:v>
              </c:pt>
              <c:pt idx="13">
                <c:v>-2.3384950005136851E-2</c:v>
              </c:pt>
              <c:pt idx="14">
                <c:v>3.812522130024476E-2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BB33-4835-A311-371C1B2BFCB6}"/>
            </c:ext>
          </c:extLst>
        </c:ser>
        <c:ser>
          <c:idx val="0"/>
          <c:order val="4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B33-4835-A311-371C1B2BFC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B33-4835-A311-371C1B2BFC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BB33-4835-A311-371C1B2BFC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BB33-4835-A311-371C1B2BFC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BB33-4835-A311-371C1B2BFC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BB33-4835-A311-371C1B2BFC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BB33-4835-A311-371C1B2BFC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BB33-4835-A311-371C1B2BFC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BB33-4835-A311-371C1B2BFC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BB33-4835-A311-371C1B2BFCB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BB33-4835-A311-371C1B2BFC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BB33-4835-A311-371C1B2BFCB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BB33-4835-A311-371C1B2BFCB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BB33-4835-A311-371C1B2BFCB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BB33-4835-A311-371C1B2BFCB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BB33-4835-A311-371C1B2BFCB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B33-4835-A311-371C1B2BFCB6}"/>
                </c:ext>
              </c:extLst>
            </c:dLbl>
            <c:dLbl>
              <c:idx val="1"/>
              <c:layout>
                <c:manualLayout>
                  <c:x val="-4.0466524418260666E-2"/>
                  <c:y val="-0.45818754101049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B33-4835-A311-371C1B2BFCB6}"/>
                </c:ext>
              </c:extLst>
            </c:dLbl>
            <c:dLbl>
              <c:idx val="2"/>
              <c:layout>
                <c:manualLayout>
                  <c:x val="-3.6740332659798425E-2"/>
                  <c:y val="-0.47916666666666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B33-4835-A311-371C1B2BFCB6}"/>
                </c:ext>
              </c:extLst>
            </c:dLbl>
            <c:dLbl>
              <c:idx val="3"/>
              <c:layout>
                <c:manualLayout>
                  <c:x val="-3.5927379043097146E-2"/>
                  <c:y val="-0.48862922408136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B33-4835-A311-371C1B2BFCB6}"/>
                </c:ext>
              </c:extLst>
            </c:dLbl>
            <c:dLbl>
              <c:idx val="4"/>
              <c:layout>
                <c:manualLayout>
                  <c:x val="-3.2294906956855114E-2"/>
                  <c:y val="-0.476635293635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B33-4835-A311-371C1B2BFCB6}"/>
                </c:ext>
              </c:extLst>
            </c:dLbl>
            <c:dLbl>
              <c:idx val="5"/>
              <c:layout>
                <c:manualLayout>
                  <c:x val="-2.8299019128933279E-2"/>
                  <c:y val="-0.50578723872387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B33-4835-A311-371C1B2BFCB6}"/>
                </c:ext>
              </c:extLst>
            </c:dLbl>
            <c:dLbl>
              <c:idx val="6"/>
              <c:layout>
                <c:manualLayout>
                  <c:x val="-3.164502595978725E-2"/>
                  <c:y val="-0.46476747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B33-4835-A311-371C1B2BFCB6}"/>
                </c:ext>
              </c:extLst>
            </c:dLbl>
            <c:dLbl>
              <c:idx val="7"/>
              <c:layout>
                <c:manualLayout>
                  <c:x val="-3.3146857793523908E-2"/>
                  <c:y val="-0.44758530183727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B33-4835-A311-371C1B2BFCB6}"/>
                </c:ext>
              </c:extLst>
            </c:dLbl>
            <c:dLbl>
              <c:idx val="8"/>
              <c:layout>
                <c:manualLayout>
                  <c:x val="-3.5341796314586109E-2"/>
                  <c:y val="-0.42491654363517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B33-4835-A311-371C1B2BFCB6}"/>
                </c:ext>
              </c:extLst>
            </c:dLbl>
            <c:dLbl>
              <c:idx val="9"/>
              <c:layout>
                <c:manualLayout>
                  <c:x val="-3.1703016409485175E-2"/>
                  <c:y val="-0.40126025262467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B33-4835-A311-371C1B2BFCB6}"/>
                </c:ext>
              </c:extLst>
            </c:dLbl>
            <c:dLbl>
              <c:idx val="10"/>
              <c:layout>
                <c:manualLayout>
                  <c:x val="-4.0959137875314605E-2"/>
                  <c:y val="-0.3701230314960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B33-4835-A311-371C1B2BFCB6}"/>
                </c:ext>
              </c:extLst>
            </c:dLbl>
            <c:dLbl>
              <c:idx val="11"/>
              <c:layout>
                <c:manualLayout>
                  <c:x val="-3.3855066160458365E-2"/>
                  <c:y val="-0.34375000000000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B33-4835-A311-371C1B2BFCB6}"/>
                </c:ext>
              </c:extLst>
            </c:dLbl>
            <c:dLbl>
              <c:idx val="12"/>
              <c:layout>
                <c:manualLayout>
                  <c:x val="-2.9361893629809507E-2"/>
                  <c:y val="-0.335243602362204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B33-4835-A311-371C1B2BFCB6}"/>
                </c:ext>
              </c:extLst>
            </c:dLbl>
            <c:dLbl>
              <c:idx val="13"/>
              <c:layout>
                <c:manualLayout>
                  <c:x val="-2.9434944372192792E-2"/>
                  <c:y val="-0.357151155115511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B33-4835-A311-371C1B2BFCB6}"/>
                </c:ext>
              </c:extLst>
            </c:dLbl>
            <c:dLbl>
              <c:idx val="14"/>
              <c:layout>
                <c:manualLayout>
                  <c:x val="-1.532079307839569E-2"/>
                  <c:y val="-0.392593839383938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B33-4835-A311-371C1B2BFCB6}"/>
                </c:ext>
              </c:extLst>
            </c:dLbl>
            <c:dLbl>
              <c:idx val="15"/>
              <c:layout>
                <c:manualLayout>
                  <c:x val="-8.2901545384897087E-3"/>
                  <c:y val="-0.1089768976897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B33-4835-A311-371C1B2BFCB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0.11797350372954241</c:v>
              </c:pt>
              <c:pt idx="2">
                <c:v>6.1914254460659679E-2</c:v>
              </c:pt>
              <c:pt idx="3">
                <c:v>2.0585105982307006E-2</c:v>
              </c:pt>
              <c:pt idx="4">
                <c:v>-2.0506781642319893E-3</c:v>
              </c:pt>
              <c:pt idx="5">
                <c:v>3.4522996106648662E-2</c:v>
              </c:pt>
              <c:pt idx="6">
                <c:v>-0.10638005583258248</c:v>
              </c:pt>
              <c:pt idx="7">
                <c:v>-3.7274916185656037E-2</c:v>
              </c:pt>
              <c:pt idx="8">
                <c:v>-7.458714272853928E-2</c:v>
              </c:pt>
              <c:pt idx="9">
                <c:v>-8.0801204962013817E-2</c:v>
              </c:pt>
              <c:pt idx="10">
                <c:v>-8.4199424106494836E-2</c:v>
              </c:pt>
              <c:pt idx="11">
                <c:v>-8.1932783960612987E-2</c:v>
              </c:pt>
              <c:pt idx="12">
                <c:v>6.6451762089489996E-3</c:v>
              </c:pt>
              <c:pt idx="13">
                <c:v>8.3259618818667613E-2</c:v>
              </c:pt>
              <c:pt idx="14">
                <c:v>5.966207335296092E-2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32-BB33-4835-A311-371C1B2BFCB6}"/>
            </c:ext>
          </c:extLst>
        </c:ser>
        <c:ser>
          <c:idx val="3"/>
          <c:order val="5"/>
          <c:tx>
            <c:v>Var Canarias</c:v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9.8582677165354338E-3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B33-4835-A311-371C1B2BFCB6}"/>
                </c:ext>
              </c:extLst>
            </c:dLbl>
            <c:dLbl>
              <c:idx val="1"/>
              <c:layout>
                <c:manualLayout>
                  <c:x val="-2.7813088112187415E-2"/>
                  <c:y val="-8.360031167979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B33-4835-A311-371C1B2BFCB6}"/>
                </c:ext>
              </c:extLst>
            </c:dLbl>
            <c:dLbl>
              <c:idx val="2"/>
              <c:layout>
                <c:manualLayout>
                  <c:x val="-3.6332508796112717E-2"/>
                  <c:y val="-9.66211450131233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B33-4835-A311-371C1B2BFCB6}"/>
                </c:ext>
              </c:extLst>
            </c:dLbl>
            <c:dLbl>
              <c:idx val="3"/>
              <c:layout>
                <c:manualLayout>
                  <c:x val="-3.7598684779787145E-2"/>
                  <c:y val="-0.13047531167979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B33-4835-A311-371C1B2BFCB6}"/>
                </c:ext>
              </c:extLst>
            </c:dLbl>
            <c:dLbl>
              <c:idx val="4"/>
              <c:layout>
                <c:manualLayout>
                  <c:x val="-3.1120994491073285E-2"/>
                  <c:y val="-0.12005864501312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B33-4835-A311-371C1B2BFCB6}"/>
                </c:ext>
              </c:extLst>
            </c:dLbl>
            <c:dLbl>
              <c:idx val="5"/>
              <c:layout>
                <c:manualLayout>
                  <c:x val="-3.1120994491073285E-2"/>
                  <c:y val="-0.1096419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B33-4835-A311-371C1B2BFCB6}"/>
                </c:ext>
              </c:extLst>
            </c:dLbl>
            <c:dLbl>
              <c:idx val="6"/>
              <c:layout>
                <c:manualLayout>
                  <c:x val="-3.3709847182807798E-2"/>
                  <c:y val="-0.10703781167979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B33-4835-A311-371C1B2BFCB6}"/>
                </c:ext>
              </c:extLst>
            </c:dLbl>
            <c:dLbl>
              <c:idx val="7"/>
              <c:layout>
                <c:manualLayout>
                  <c:x val="-2.9314297251305126E-2"/>
                  <c:y val="-0.13307947834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B33-4835-A311-371C1B2BFCB6}"/>
                </c:ext>
              </c:extLst>
            </c:dLbl>
            <c:dLbl>
              <c:idx val="8"/>
              <c:layout>
                <c:manualLayout>
                  <c:x val="-3.54104118280179E-2"/>
                  <c:y val="-9.40169783464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B33-4835-A311-371C1B2BFCB6}"/>
                </c:ext>
              </c:extLst>
            </c:dLbl>
            <c:dLbl>
              <c:idx val="9"/>
              <c:layout>
                <c:manualLayout>
                  <c:x val="-3.2719776934358027E-2"/>
                  <c:y val="-7.5787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B33-4835-A311-371C1B2BFCB6}"/>
                </c:ext>
              </c:extLst>
            </c:dLbl>
            <c:dLbl>
              <c:idx val="10"/>
              <c:layout>
                <c:manualLayout>
                  <c:x val="-2.8417409362291254E-2"/>
                  <c:y val="-9.141281167979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B33-4835-A311-371C1B2BFCB6}"/>
                </c:ext>
              </c:extLst>
            </c:dLbl>
            <c:dLbl>
              <c:idx val="11"/>
              <c:layout>
                <c:manualLayout>
                  <c:x val="-3.4012244441826933E-2"/>
                  <c:y val="-0.1119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B33-4835-A311-371C1B2BFCB6}"/>
                </c:ext>
              </c:extLst>
            </c:dLbl>
            <c:dLbl>
              <c:idx val="12"/>
              <c:layout>
                <c:manualLayout>
                  <c:x val="-2.5938609773722299E-2"/>
                  <c:y val="-0.1205128712871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B33-4835-A311-371C1B2BFCB6}"/>
                </c:ext>
              </c:extLst>
            </c:dLbl>
            <c:dLbl>
              <c:idx val="13"/>
              <c:layout>
                <c:manualLayout>
                  <c:x val="-2.8479183117328648E-2"/>
                  <c:y val="-0.100630143014301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B33-4835-A311-371C1B2BFCB6}"/>
                </c:ext>
              </c:extLst>
            </c:dLbl>
            <c:dLbl>
              <c:idx val="14"/>
              <c:layout>
                <c:manualLayout>
                  <c:x val="-2.3102441287319669E-2"/>
                  <c:y val="-9.700330033003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B33-4835-A311-371C1B2BFCB6}"/>
                </c:ext>
              </c:extLst>
            </c:dLbl>
            <c:dLbl>
              <c:idx val="15"/>
              <c:layout>
                <c:manualLayout>
                  <c:x val="-1.7243956618774524E-4"/>
                  <c:y val="-0.39040264026402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B33-4835-A311-371C1B2BFCB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6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</c:numLit>
          </c:cat>
          <c:val>
            <c:numLit>
              <c:formatCode>General</c:formatCode>
              <c:ptCount val="16"/>
              <c:pt idx="1">
                <c:v>6.6752059884634063E-2</c:v>
              </c:pt>
              <c:pt idx="2">
                <c:v>6.8758163412958817E-2</c:v>
              </c:pt>
              <c:pt idx="3">
                <c:v>0.17889977090635201</c:v>
              </c:pt>
              <c:pt idx="4">
                <c:v>-1.7308705259468815E-2</c:v>
              </c:pt>
              <c:pt idx="5">
                <c:v>-4.8803761284281211E-2</c:v>
              </c:pt>
              <c:pt idx="6">
                <c:v>1.3382816401636966E-3</c:v>
              </c:pt>
              <c:pt idx="7">
                <c:v>9.8510267049713995E-2</c:v>
              </c:pt>
              <c:pt idx="8">
                <c:v>-0.17073760265607973</c:v>
              </c:pt>
              <c:pt idx="9">
                <c:v>-0.10646106231708652</c:v>
              </c:pt>
              <c:pt idx="10">
                <c:v>9.8318843454338278E-2</c:v>
              </c:pt>
              <c:pt idx="11">
                <c:v>0.10908687252218208</c:v>
              </c:pt>
              <c:pt idx="12">
                <c:v>7.4384734072682646E-2</c:v>
              </c:pt>
              <c:pt idx="13">
                <c:v>-0.14891885546806061</c:v>
              </c:pt>
              <c:pt idx="14">
                <c:v>5.857662701204136E-3</c:v>
              </c:pt>
              <c:pt idx="15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BB33-4835-A311-371C1B2BF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8848"/>
        <c:axId val="93432320"/>
      </c:lineChart>
      <c:catAx>
        <c:axId val="934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2320"/>
        <c:crosses val="autoZero"/>
        <c:auto val="1"/>
        <c:lblAlgn val="ctr"/>
        <c:lblOffset val="100"/>
        <c:tickLblSkip val="1"/>
        <c:noMultiLvlLbl val="0"/>
      </c:catAx>
      <c:valAx>
        <c:axId val="934323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8848"/>
        <c:crosses val="max"/>
        <c:crossBetween val="between"/>
      </c:valAx>
      <c:spPr>
        <a:noFill/>
        <a:ln>
          <a:noFill/>
        </a:ln>
      </c:spPr>
    </c:plotArea>
    <c:legend>
      <c:legendPos val="t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"/>
          <c:y val="6.8355479002624689E-2"/>
          <c:w val="0.63007114592909386"/>
          <c:h val="6.135000300534952E-2"/>
        </c:manualLayout>
      </c:layout>
      <c:overlay val="0"/>
      <c:txPr>
        <a:bodyPr/>
        <a:lstStyle/>
        <a:p>
          <a:pPr>
            <a:defRPr sz="12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'distribución canarias x munici'!$B$3</c:f>
          <c:strCache>
            <c:ptCount val="1"/>
            <c:pt idx="0">
              <c:v>Viajeros canarios entrados en los hoteles y apartamentos de Tenerife por municipio de alojamiento</c:v>
            </c:pt>
          </c:strCache>
        </c:strRef>
      </c:tx>
      <c:layout>
        <c:manualLayout>
          <c:xMode val="edge"/>
          <c:yMode val="edge"/>
          <c:x val="1.0259905184324528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7727254388005181"/>
          <c:y val="0.16206612589429406"/>
          <c:w val="0.82272741511946601"/>
          <c:h val="0.40574969010543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canarias x munici'!$G$5</c:f>
              <c:strCache>
                <c:ptCount val="1"/>
                <c:pt idx="0">
                  <c:v>acumulado junio 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'distribución canarias x munici'!$B$7:$B$16</c:f>
              <c:strCache>
                <c:ptCount val="10"/>
                <c:pt idx="0">
                  <c:v>Adeje</c:v>
                </c:pt>
                <c:pt idx="1">
                  <c:v>Arona</c:v>
                </c:pt>
                <c:pt idx="2">
                  <c:v>Granadilla de Abona</c:v>
                </c:pt>
                <c:pt idx="3">
                  <c:v>Puerto de la Cruz</c:v>
                </c:pt>
                <c:pt idx="4">
                  <c:v>San Miguel de Abona</c:v>
                </c:pt>
                <c:pt idx="5">
                  <c:v>Santa Cruz de Tenerife</c:v>
                </c:pt>
                <c:pt idx="6">
                  <c:v>San Cristóbal de La Laguna</c:v>
                </c:pt>
                <c:pt idx="7">
                  <c:v>Santiago del Teide</c:v>
                </c:pt>
                <c:pt idx="8">
                  <c:v>Guía de Isora</c:v>
                </c:pt>
                <c:pt idx="9">
                  <c:v>Resto de municipios de Tenerife</c:v>
                </c:pt>
              </c:strCache>
            </c:strRef>
          </c:cat>
          <c:val>
            <c:numRef>
              <c:f>'distribución canarias x munici'!$G$7:$G$16</c:f>
              <c:numCache>
                <c:formatCode>#,##0</c:formatCode>
                <c:ptCount val="10"/>
                <c:pt idx="0">
                  <c:v>34459</c:v>
                </c:pt>
                <c:pt idx="1">
                  <c:v>20053</c:v>
                </c:pt>
                <c:pt idx="2">
                  <c:v>8967</c:v>
                </c:pt>
                <c:pt idx="3">
                  <c:v>42733</c:v>
                </c:pt>
                <c:pt idx="4">
                  <c:v>9982</c:v>
                </c:pt>
                <c:pt idx="5">
                  <c:v>35561</c:v>
                </c:pt>
                <c:pt idx="6">
                  <c:v>5955</c:v>
                </c:pt>
                <c:pt idx="7">
                  <c:v>9587</c:v>
                </c:pt>
                <c:pt idx="8">
                  <c:v>11294</c:v>
                </c:pt>
                <c:pt idx="9">
                  <c:v>19932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6-44BE-A98C-5264487328D2}"/>
            </c:ext>
          </c:extLst>
        </c:ser>
        <c:ser>
          <c:idx val="1"/>
          <c:order val="1"/>
          <c:tx>
            <c:strRef>
              <c:f>'distribución canarias x munici'!$K$5</c:f>
              <c:strCache>
                <c:ptCount val="1"/>
                <c:pt idx="0">
                  <c:v>acumulado junio 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munici'!$K$7:$K$16</c:f>
              <c:numCache>
                <c:formatCode>#,##0</c:formatCode>
                <c:ptCount val="10"/>
                <c:pt idx="0">
                  <c:v>26251</c:v>
                </c:pt>
                <c:pt idx="1">
                  <c:v>20039</c:v>
                </c:pt>
                <c:pt idx="2">
                  <c:v>4242</c:v>
                </c:pt>
                <c:pt idx="3">
                  <c:v>50173</c:v>
                </c:pt>
                <c:pt idx="4">
                  <c:v>6776</c:v>
                </c:pt>
                <c:pt idx="5">
                  <c:v>34109</c:v>
                </c:pt>
                <c:pt idx="6">
                  <c:v>4664</c:v>
                </c:pt>
                <c:pt idx="7">
                  <c:v>7128</c:v>
                </c:pt>
                <c:pt idx="8">
                  <c:v>17808</c:v>
                </c:pt>
                <c:pt idx="9">
                  <c:v>17598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6-44BE-A98C-5264487328D2}"/>
            </c:ext>
          </c:extLst>
        </c:ser>
        <c:ser>
          <c:idx val="2"/>
          <c:order val="2"/>
          <c:tx>
            <c:strRef>
              <c:f>'distribución canarias x munici'!$O$5</c:f>
              <c:strCache>
                <c:ptCount val="1"/>
                <c:pt idx="0">
                  <c:v>acumulado junio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'distribución canarias x munici'!$O$7:$O$16</c:f>
              <c:numCache>
                <c:formatCode>#,##0</c:formatCode>
                <c:ptCount val="10"/>
                <c:pt idx="0">
                  <c:v>27157</c:v>
                </c:pt>
                <c:pt idx="1">
                  <c:v>20361</c:v>
                </c:pt>
                <c:pt idx="2">
                  <c:v>2844</c:v>
                </c:pt>
                <c:pt idx="3">
                  <c:v>41021</c:v>
                </c:pt>
                <c:pt idx="4">
                  <c:v>8640</c:v>
                </c:pt>
                <c:pt idx="5">
                  <c:v>44044</c:v>
                </c:pt>
                <c:pt idx="6">
                  <c:v>5394</c:v>
                </c:pt>
                <c:pt idx="7">
                  <c:v>4681</c:v>
                </c:pt>
                <c:pt idx="8">
                  <c:v>7441</c:v>
                </c:pt>
                <c:pt idx="9">
                  <c:v>15211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6-44BE-A98C-526448732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954143"/>
        <c:axId val="481968287"/>
      </c:barChart>
      <c:barChart>
        <c:barDir val="col"/>
        <c:grouping val="clustered"/>
        <c:varyColors val="0"/>
        <c:ser>
          <c:idx val="3"/>
          <c:order val="3"/>
          <c:tx>
            <c:strRef>
              <c:f>'distribución canarias x munici'!$P$5</c:f>
              <c:strCache>
                <c:ptCount val="1"/>
                <c:pt idx="0">
                  <c:v>var. 25/24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munici'!$P$7:$P$16</c:f>
              <c:numCache>
                <c:formatCode>0.0%</c:formatCode>
                <c:ptCount val="10"/>
                <c:pt idx="0">
                  <c:v>3.4512970934440501E-2</c:v>
                </c:pt>
                <c:pt idx="1">
                  <c:v>1.6068666101102913E-2</c:v>
                </c:pt>
                <c:pt idx="2">
                  <c:v>-0.32956152758132962</c:v>
                </c:pt>
                <c:pt idx="3">
                  <c:v>-0.18240886532597211</c:v>
                </c:pt>
                <c:pt idx="4">
                  <c:v>0.27508854781582048</c:v>
                </c:pt>
                <c:pt idx="5">
                  <c:v>0.29127209827318312</c:v>
                </c:pt>
                <c:pt idx="6">
                  <c:v>0.15651801029159529</c:v>
                </c:pt>
                <c:pt idx="7">
                  <c:v>-0.34329405162738491</c:v>
                </c:pt>
                <c:pt idx="8">
                  <c:v>-0.58215408805031443</c:v>
                </c:pt>
                <c:pt idx="9">
                  <c:v>-0.1356404136833731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6-44BE-A98C-5264487328D2}"/>
            </c:ext>
          </c:extLst>
        </c:ser>
        <c:ser>
          <c:idx val="6"/>
          <c:order val="4"/>
          <c:tx>
            <c:strRef>
              <c:f>'distribución canarias x munici'!$T$5</c:f>
              <c:strCache>
                <c:ptCount val="1"/>
                <c:pt idx="0">
                  <c:v>%/s total Tenerife 2025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'distribución canarias x munici'!$T$7:$T$16</c:f>
              <c:numCache>
                <c:formatCode>0.0%</c:formatCode>
                <c:ptCount val="10"/>
                <c:pt idx="0">
                  <c:v>0.15360815412287748</c:v>
                </c:pt>
                <c:pt idx="1">
                  <c:v>0.1151679355634241</c:v>
                </c:pt>
                <c:pt idx="2">
                  <c:v>1.6086518773261536E-2</c:v>
                </c:pt>
                <c:pt idx="3">
                  <c:v>0.23202710499225088</c:v>
                </c:pt>
                <c:pt idx="4">
                  <c:v>4.8870436779528716E-2</c:v>
                </c:pt>
                <c:pt idx="5">
                  <c:v>0.24912610156453274</c:v>
                </c:pt>
                <c:pt idx="6">
                  <c:v>3.0510085183886333E-2</c:v>
                </c:pt>
                <c:pt idx="7">
                  <c:v>2.6477142889464574E-2</c:v>
                </c:pt>
                <c:pt idx="8">
                  <c:v>4.208853241625847E-2</c:v>
                </c:pt>
                <c:pt idx="9">
                  <c:v>8.6037987714515193E-2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06-44BE-A98C-526448732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474639"/>
        <c:axId val="2062465903"/>
      </c:barChart>
      <c:catAx>
        <c:axId val="48195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68287"/>
        <c:crosses val="autoZero"/>
        <c:auto val="1"/>
        <c:lblAlgn val="ctr"/>
        <c:lblOffset val="500"/>
        <c:noMultiLvlLbl val="0"/>
      </c:catAx>
      <c:valAx>
        <c:axId val="48196828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1954143"/>
        <c:crosses val="autoZero"/>
        <c:crossBetween val="between"/>
      </c:valAx>
      <c:valAx>
        <c:axId val="2062465903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2474639"/>
        <c:crosses val="max"/>
        <c:crossBetween val="between"/>
      </c:valAx>
      <c:catAx>
        <c:axId val="2062474639"/>
        <c:scaling>
          <c:orientation val="minMax"/>
        </c:scaling>
        <c:delete val="1"/>
        <c:axPos val="b"/>
        <c:majorTickMark val="out"/>
        <c:minorTickMark val="none"/>
        <c:tickLblPos val="nextTo"/>
        <c:crossAx val="2062465903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españo'!$C$8:$C$22</c:f>
              <c:numCache>
                <c:formatCode>#,##0</c:formatCode>
                <c:ptCount val="15"/>
                <c:pt idx="0">
                  <c:v>35821</c:v>
                </c:pt>
                <c:pt idx="1">
                  <c:v>37722</c:v>
                </c:pt>
                <c:pt idx="2">
                  <c:v>33809</c:v>
                </c:pt>
                <c:pt idx="3">
                  <c:v>21732</c:v>
                </c:pt>
                <c:pt idx="4">
                  <c:v>16023</c:v>
                </c:pt>
                <c:pt idx="5">
                  <c:v>37119</c:v>
                </c:pt>
                <c:pt idx="6">
                  <c:v>34282</c:v>
                </c:pt>
                <c:pt idx="7">
                  <c:v>37306</c:v>
                </c:pt>
                <c:pt idx="8">
                  <c:v>35444</c:v>
                </c:pt>
                <c:pt idx="9">
                  <c:v>25158</c:v>
                </c:pt>
                <c:pt idx="10">
                  <c:v>19203</c:v>
                </c:pt>
                <c:pt idx="11">
                  <c:v>16738</c:v>
                </c:pt>
                <c:pt idx="12">
                  <c:v>20352</c:v>
                </c:pt>
                <c:pt idx="13">
                  <c:v>19840</c:v>
                </c:pt>
                <c:pt idx="14">
                  <c:v>26747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E-4EDB-8A7A-C640DE0C4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españo'!$D$7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españo'!$B$8:$B$22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españo'!$D$8:$D$22</c:f>
              <c:numCache>
                <c:formatCode>0.0%</c:formatCode>
                <c:ptCount val="15"/>
                <c:pt idx="0">
                  <c:v>-5.0394994963151474E-2</c:v>
                </c:pt>
                <c:pt idx="1">
                  <c:v>0.11573841284864983</c:v>
                </c:pt>
                <c:pt idx="2">
                  <c:v>0.55572427756304066</c:v>
                </c:pt>
                <c:pt idx="3">
                  <c:v>0.35630031829245468</c:v>
                </c:pt>
                <c:pt idx="4">
                  <c:v>-0.5683342762466661</c:v>
                </c:pt>
                <c:pt idx="5">
                  <c:v>8.2754798436497357E-2</c:v>
                </c:pt>
                <c:pt idx="6">
                  <c:v>-8.1059347021926742E-2</c:v>
                </c:pt>
                <c:pt idx="7">
                  <c:v>5.2533574088703405E-2</c:v>
                </c:pt>
                <c:pt idx="8">
                  <c:v>0.40885602989108838</c:v>
                </c:pt>
                <c:pt idx="9">
                  <c:v>0.3101077956569287</c:v>
                </c:pt>
                <c:pt idx="10">
                  <c:v>0.14726968574501131</c:v>
                </c:pt>
                <c:pt idx="11">
                  <c:v>-0.17757468553459121</c:v>
                </c:pt>
                <c:pt idx="12">
                  <c:v>2.5806451612903292E-2</c:v>
                </c:pt>
                <c:pt idx="13">
                  <c:v>-0.258234568362807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E-4EDB-8A7A-C640DE0C4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penins'!$C$8:$C$22</c:f>
              <c:numCache>
                <c:formatCode>#,##0</c:formatCode>
                <c:ptCount val="15"/>
                <c:pt idx="0">
                  <c:v>23944</c:v>
                </c:pt>
                <c:pt idx="1">
                  <c:v>25698</c:v>
                </c:pt>
                <c:pt idx="2">
                  <c:v>17520</c:v>
                </c:pt>
                <c:pt idx="3">
                  <c:v>10731</c:v>
                </c:pt>
                <c:pt idx="4">
                  <c:v>7339</c:v>
                </c:pt>
                <c:pt idx="5">
                  <c:v>17966</c:v>
                </c:pt>
                <c:pt idx="6">
                  <c:v>17518</c:v>
                </c:pt>
                <c:pt idx="7">
                  <c:v>22136</c:v>
                </c:pt>
                <c:pt idx="8">
                  <c:v>21880</c:v>
                </c:pt>
                <c:pt idx="9">
                  <c:v>7541</c:v>
                </c:pt>
                <c:pt idx="10">
                  <c:v>8622</c:v>
                </c:pt>
                <c:pt idx="11">
                  <c:v>6073</c:v>
                </c:pt>
                <c:pt idx="12">
                  <c:v>12392</c:v>
                </c:pt>
                <c:pt idx="13">
                  <c:v>3203</c:v>
                </c:pt>
                <c:pt idx="14">
                  <c:v>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80-4A85-AA4D-88C89D625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penins'!$D$7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penins'!$B$8:$B$22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penins'!$D$8:$D$22</c:f>
              <c:numCache>
                <c:formatCode>0.0%</c:formatCode>
                <c:ptCount val="15"/>
                <c:pt idx="0">
                  <c:v>-6.8254338859055186E-2</c:v>
                </c:pt>
                <c:pt idx="1">
                  <c:v>0.46678082191780823</c:v>
                </c:pt>
                <c:pt idx="2">
                  <c:v>0.63265306122448983</c:v>
                </c:pt>
                <c:pt idx="3">
                  <c:v>0.46218830903392827</c:v>
                </c:pt>
                <c:pt idx="4">
                  <c:v>-0.59150617833685848</c:v>
                </c:pt>
                <c:pt idx="5">
                  <c:v>2.5573695627354676E-2</c:v>
                </c:pt>
                <c:pt idx="6">
                  <c:v>-0.20861944344054928</c:v>
                </c:pt>
                <c:pt idx="7">
                  <c:v>1.1700182815356452E-2</c:v>
                </c:pt>
                <c:pt idx="8">
                  <c:v>1.9014719533218405</c:v>
                </c:pt>
                <c:pt idx="9">
                  <c:v>-0.12537694270470889</c:v>
                </c:pt>
                <c:pt idx="10">
                  <c:v>0.41972665898238093</c:v>
                </c:pt>
                <c:pt idx="11">
                  <c:v>-0.50992575855390576</c:v>
                </c:pt>
                <c:pt idx="12">
                  <c:v>2.8688729316266</c:v>
                </c:pt>
                <c:pt idx="13">
                  <c:v>-0.25250875145857643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0-4A85-AA4D-88C89D625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567334541062802"/>
          <c:y val="0.15609807191281147"/>
          <c:w val="0.86939722222222227"/>
          <c:h val="0.56248308341242015"/>
        </c:manualLayout>
      </c:layout>
      <c:lineChart>
        <c:grouping val="standard"/>
        <c:varyColors val="0"/>
        <c:ser>
          <c:idx val="3"/>
          <c:order val="0"/>
          <c:tx>
            <c:v>viajeros entrados</c:v>
          </c:tx>
          <c:spPr>
            <a:ln w="28575" cap="rnd">
              <a:solidFill>
                <a:srgbClr val="2683C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683C6"/>
              </a:solidFill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canari'!$C$8:$C$22</c:f>
              <c:numCache>
                <c:formatCode>#,##0</c:formatCode>
                <c:ptCount val="15"/>
                <c:pt idx="0">
                  <c:v>11877</c:v>
                </c:pt>
                <c:pt idx="1">
                  <c:v>12024</c:v>
                </c:pt>
                <c:pt idx="2">
                  <c:v>16289</c:v>
                </c:pt>
                <c:pt idx="3">
                  <c:v>11001</c:v>
                </c:pt>
                <c:pt idx="4">
                  <c:v>8684</c:v>
                </c:pt>
                <c:pt idx="5">
                  <c:v>19153</c:v>
                </c:pt>
                <c:pt idx="6">
                  <c:v>16764</c:v>
                </c:pt>
                <c:pt idx="7">
                  <c:v>15170</c:v>
                </c:pt>
                <c:pt idx="8">
                  <c:v>13564</c:v>
                </c:pt>
                <c:pt idx="9">
                  <c:v>17617</c:v>
                </c:pt>
                <c:pt idx="10">
                  <c:v>10581</c:v>
                </c:pt>
                <c:pt idx="11">
                  <c:v>10665</c:v>
                </c:pt>
                <c:pt idx="12">
                  <c:v>7960</c:v>
                </c:pt>
                <c:pt idx="13">
                  <c:v>16637</c:v>
                </c:pt>
                <c:pt idx="14">
                  <c:v>22462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C-4342-B648-810EB0013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lineChart>
        <c:grouping val="standard"/>
        <c:varyColors val="0"/>
        <c:ser>
          <c:idx val="2"/>
          <c:order val="1"/>
          <c:tx>
            <c:strRef>
              <c:f>'evolución anual viaj ent canari'!$D$7</c:f>
              <c:strCache>
                <c:ptCount val="1"/>
                <c:pt idx="0">
                  <c:v>var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'evolución anual viaj ent canari'!$B$8:$B$22</c:f>
              <c:numCache>
                <c:formatCode>General</c:formatCode>
                <c:ptCount val="1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</c:numCache>
            </c:numRef>
          </c:cat>
          <c:val>
            <c:numRef>
              <c:f>'evolución anual viaj ent canari'!$D$8:$D$22</c:f>
              <c:numCache>
                <c:formatCode>0.0%</c:formatCode>
                <c:ptCount val="15"/>
                <c:pt idx="0">
                  <c:v>-1.2225548902195627E-2</c:v>
                </c:pt>
                <c:pt idx="1">
                  <c:v>-0.261833138928111</c:v>
                </c:pt>
                <c:pt idx="2">
                  <c:v>0.48068357422052532</c:v>
                </c:pt>
                <c:pt idx="3">
                  <c:v>0.26681252878857675</c:v>
                </c:pt>
                <c:pt idx="4">
                  <c:v>-0.54659844410797265</c:v>
                </c:pt>
                <c:pt idx="5">
                  <c:v>0.14250775471247912</c:v>
                </c:pt>
                <c:pt idx="6">
                  <c:v>0.10507580751483192</c:v>
                </c:pt>
                <c:pt idx="7">
                  <c:v>0.1184016514302566</c:v>
                </c:pt>
                <c:pt idx="8">
                  <c:v>-0.23006187205540107</c:v>
                </c:pt>
                <c:pt idx="9">
                  <c:v>0.6649655042056517</c:v>
                </c:pt>
                <c:pt idx="10">
                  <c:v>-7.8762306610408173E-3</c:v>
                </c:pt>
                <c:pt idx="11">
                  <c:v>0.33982412060301503</c:v>
                </c:pt>
                <c:pt idx="12">
                  <c:v>-0.52154835607381145</c:v>
                </c:pt>
                <c:pt idx="13">
                  <c:v>-0.25932686314664766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C-4342-B648-810EB0013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31263"/>
        <c:axId val="293743791"/>
      </c:lineChart>
      <c:catAx>
        <c:axId val="293731263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rgbClr val="2683C6"/>
          </a:solidFill>
          <a:ln w="9525" cap="flat" cmpd="sng" algn="ctr">
            <a:solidFill>
              <a:srgbClr val="2683C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43791"/>
        <c:crosses val="autoZero"/>
        <c:auto val="1"/>
        <c:lblAlgn val="ctr"/>
        <c:lblOffset val="800"/>
        <c:noMultiLvlLbl val="0"/>
      </c:catAx>
      <c:valAx>
        <c:axId val="293743791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3731263"/>
        <c:crosses val="max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13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1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21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22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5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29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image" Target="../media/image3.png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4" Type="http://schemas.openxmlformats.org/officeDocument/2006/relationships/image" Target="../media/image2.png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image" Target="../media/image2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1.xml"/><Relationship Id="rId13" Type="http://schemas.openxmlformats.org/officeDocument/2006/relationships/chart" Target="../charts/chart56.xml"/><Relationship Id="rId3" Type="http://schemas.openxmlformats.org/officeDocument/2006/relationships/image" Target="../media/image3.png"/><Relationship Id="rId7" Type="http://schemas.openxmlformats.org/officeDocument/2006/relationships/chart" Target="../charts/chart50.xml"/><Relationship Id="rId12" Type="http://schemas.openxmlformats.org/officeDocument/2006/relationships/chart" Target="../charts/chart55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59.xml"/><Relationship Id="rId1" Type="http://schemas.openxmlformats.org/officeDocument/2006/relationships/chart" Target="../charts/chart47.xml"/><Relationship Id="rId6" Type="http://schemas.openxmlformats.org/officeDocument/2006/relationships/chart" Target="../charts/chart49.xml"/><Relationship Id="rId11" Type="http://schemas.openxmlformats.org/officeDocument/2006/relationships/chart" Target="../charts/chart54.xml"/><Relationship Id="rId5" Type="http://schemas.openxmlformats.org/officeDocument/2006/relationships/chart" Target="../charts/chart48.xml"/><Relationship Id="rId15" Type="http://schemas.openxmlformats.org/officeDocument/2006/relationships/chart" Target="../charts/chart58.xml"/><Relationship Id="rId10" Type="http://schemas.openxmlformats.org/officeDocument/2006/relationships/chart" Target="../charts/chart53.xml"/><Relationship Id="rId4" Type="http://schemas.openxmlformats.org/officeDocument/2006/relationships/image" Target="../media/image2.png"/><Relationship Id="rId9" Type="http://schemas.openxmlformats.org/officeDocument/2006/relationships/chart" Target="../charts/chart52.xml"/><Relationship Id="rId14" Type="http://schemas.openxmlformats.org/officeDocument/2006/relationships/chart" Target="../charts/chart57.xml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63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60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image" Target="../media/image2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67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6.xml"/><Relationship Id="rId5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6" Type="http://schemas.openxmlformats.org/officeDocument/2006/relationships/image" Target="../media/image6.png"/><Relationship Id="rId5" Type="http://schemas.openxmlformats.org/officeDocument/2006/relationships/chart" Target="../charts/chart70.xml"/><Relationship Id="rId4" Type="http://schemas.openxmlformats.org/officeDocument/2006/relationships/image" Target="../media/image5.jpeg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5" Type="http://schemas.openxmlformats.org/officeDocument/2006/relationships/chart" Target="../charts/chart72.xml"/><Relationship Id="rId4" Type="http://schemas.openxmlformats.org/officeDocument/2006/relationships/image" Target="../media/image6.png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5" Type="http://schemas.openxmlformats.org/officeDocument/2006/relationships/chart" Target="../charts/chart74.xml"/><Relationship Id="rId4" Type="http://schemas.openxmlformats.org/officeDocument/2006/relationships/image" Target="../media/image6.png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5" Type="http://schemas.openxmlformats.org/officeDocument/2006/relationships/chart" Target="../charts/chart76.xml"/><Relationship Id="rId4" Type="http://schemas.openxmlformats.org/officeDocument/2006/relationships/image" Target="../media/image6.png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6" Type="http://schemas.openxmlformats.org/officeDocument/2006/relationships/chart" Target="../charts/chart79.xml"/><Relationship Id="rId5" Type="http://schemas.openxmlformats.org/officeDocument/2006/relationships/image" Target="../media/image6.png"/><Relationship Id="rId4" Type="http://schemas.openxmlformats.org/officeDocument/2006/relationships/chart" Target="../charts/chart78.xml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0.xml"/><Relationship Id="rId6" Type="http://schemas.openxmlformats.org/officeDocument/2006/relationships/chart" Target="../charts/chart82.xml"/><Relationship Id="rId5" Type="http://schemas.openxmlformats.org/officeDocument/2006/relationships/image" Target="../media/image6.png"/><Relationship Id="rId4" Type="http://schemas.openxmlformats.org/officeDocument/2006/relationships/chart" Target="../charts/chart81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3.xml"/><Relationship Id="rId6" Type="http://schemas.openxmlformats.org/officeDocument/2006/relationships/chart" Target="../charts/chart85.xml"/><Relationship Id="rId5" Type="http://schemas.openxmlformats.org/officeDocument/2006/relationships/image" Target="../media/image6.png"/><Relationship Id="rId4" Type="http://schemas.openxmlformats.org/officeDocument/2006/relationships/chart" Target="../charts/chart84.xml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6.xml"/><Relationship Id="rId4" Type="http://schemas.openxmlformats.org/officeDocument/2006/relationships/image" Target="../media/image2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7.xml"/><Relationship Id="rId4" Type="http://schemas.openxmlformats.org/officeDocument/2006/relationships/image" Target="../media/image2.pn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88.xml"/><Relationship Id="rId4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5934075</xdr:colOff>
      <xdr:row>1</xdr:row>
      <xdr:rowOff>171450</xdr:rowOff>
    </xdr:from>
    <xdr:to>
      <xdr:col>1</xdr:col>
      <xdr:colOff>9159636</xdr:colOff>
      <xdr:row>3</xdr:row>
      <xdr:rowOff>131340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E556A5-9DE6-4B6E-92B1-F5F6E0CE7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5" y="361950"/>
          <a:ext cx="3225561" cy="87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361950</xdr:colOff>
      <xdr:row>2</xdr:row>
      <xdr:rowOff>133631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5ACB68-9622-405C-A68A-755410AAC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5</xdr:row>
      <xdr:rowOff>284480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E56FC1-CE7D-49FB-89E8-4841530D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762000" cy="65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358140</xdr:colOff>
      <xdr:row>2</xdr:row>
      <xdr:rowOff>129821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852C72-4147-4638-9AA0-7B8B86D3D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2140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57150</xdr:rowOff>
    </xdr:from>
    <xdr:to>
      <xdr:col>1</xdr:col>
      <xdr:colOff>0</xdr:colOff>
      <xdr:row>5</xdr:row>
      <xdr:rowOff>364172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964280-CE24-4E38-9957-6D15FEB2C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"/>
          <a:ext cx="762000" cy="678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180975</xdr:rowOff>
    </xdr:from>
    <xdr:to>
      <xdr:col>11</xdr:col>
      <xdr:colOff>28575</xdr:colOff>
      <xdr:row>24</xdr:row>
      <xdr:rowOff>171450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819D74C-81D1-4F73-9EC4-17BFDA3DCB9F}"/>
            </a:ext>
          </a:extLst>
        </xdr:cNvPr>
        <xdr:cNvGrpSpPr/>
      </xdr:nvGrpSpPr>
      <xdr:grpSpPr>
        <a:xfrm>
          <a:off x="638175" y="3714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68572D9-1512-52D1-B860-04669DDC4D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65845AA1-D470-3E3C-DC73-C6232A5251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marL="0" indent="0" algn="ctr" rtl="0">
              <a:defRPr sz="1000"/>
            </a:pPr>
            <a:r>
              <a:rPr lang="es-ES" sz="48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Estimación oferta hoteles y apartamentos en funcionamiento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7F059B-E708-45DA-98EA-06C6A674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A91788-1B64-4864-8973-5B310F4A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C75117-8179-46E1-BF21-54779570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6D0EB-01DB-4EF5-8458-3F365DDD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0D4FB7-64FA-4BD0-89C3-F4FA99503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11EF3A-3B62-46F1-B6F7-A566DCE07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161925</xdr:rowOff>
    </xdr:from>
    <xdr:to>
      <xdr:col>11</xdr:col>
      <xdr:colOff>180975</xdr:colOff>
      <xdr:row>24</xdr:row>
      <xdr:rowOff>152400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76A690A-2166-44C8-8C56-0A6ADF2C533C}"/>
            </a:ext>
          </a:extLst>
        </xdr:cNvPr>
        <xdr:cNvGrpSpPr/>
      </xdr:nvGrpSpPr>
      <xdr:grpSpPr>
        <a:xfrm>
          <a:off x="790575" y="3524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0A74B1B-49B7-939F-9611-C1F3E0CA2E6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48C8241-F9D9-3E27-8889-CD34CE682F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5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entrados en hoteles y apartamentos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1ECB4F-6242-4806-B8B5-990849606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97331B-37BD-4660-99A9-D81BAD81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6762473-8216-46C4-9FDB-516E3EFD0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BBC4F16-3D60-4EDA-A540-2B52ABE8E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3213E2D-2512-4D71-98D4-46C75F18F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0BF44DF-0ED9-4598-9FF6-75D61E162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F574A8B-0695-41C5-997C-E07AC0D4B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935E13B-6BD1-4DC6-8663-44E9CC93E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619124</xdr:colOff>
      <xdr:row>134</xdr:row>
      <xdr:rowOff>95251</xdr:rowOff>
    </xdr:from>
    <xdr:to>
      <xdr:col>26</xdr:col>
      <xdr:colOff>0</xdr:colOff>
      <xdr:row>154</xdr:row>
      <xdr:rowOff>38101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78631FB9-C893-45AA-8C4A-26AB37714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929155F7-B6FE-4D3A-AE59-B30049A1C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52DD6205-0DC8-43CE-8289-C05E69B00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CAC53904-2602-4578-8BE0-7034EAB67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3680F14A-75B8-4B2B-89F2-279F6A6E6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EC373BF-3D05-4766-954A-F5FBCE7A9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2FD618B-04AD-4FF6-954B-C32DE23CE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Viajeros entr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españoles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peninsulares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canarios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extranjeros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británicos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0.12237</cdr:y>
    </cdr:to>
    <cdr:sp macro="" textlink="'Viajeros entr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9479"/>
          <a:ext cx="8829676" cy="5901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alemanes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franceses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holandeses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belgas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daneses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suecos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7CD42E-9107-4228-8EB5-3CE905BD0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6C6202-AC9A-4EE3-A4BB-4E6EC780C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4E1666-72EC-4BF0-B4DD-76DDDF2D98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D4FE56-D2B5-4F1A-BE2E-2A6233C2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CE2C26-C62A-4F60-9608-826C510D6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B62119C-4103-4331-86DA-60471B0746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C4FC07F-3180-480E-B90C-0E829142F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592D102-7A9A-4707-8D4A-55B13695C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 Cristóbal de La Laguna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AD5B27-F4B3-4661-8E11-FB743AF98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5D784C-84A4-4C5F-A990-558EA7CB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4A0C70D-0BB7-40AA-ABC6-FD59D89C0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32C19B6-5CF9-4E71-8EBD-909F28193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4F3DC14-A795-4FDD-B6E9-0CC09F0EB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93CFB1C-3AF2-4671-999E-C42C24182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San Cristóbal de La Laguna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4, 5 estrellas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Viajeros entrados en los hoteles de 1, 2, 3 estrellas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0.91106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1E746101-EB15-832B-6A67-4574788CA446}"/>
            </a:ext>
          </a:extLst>
        </cdr:cNvPr>
        <cdr:cNvSpPr txBox="1"/>
      </cdr:nvSpPr>
      <cdr:spPr>
        <a:xfrm xmlns:a="http://schemas.openxmlformats.org/drawingml/2006/main">
          <a:off x="0" y="4000488"/>
          <a:ext cx="4268009" cy="39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2020 no se publicó la desagregación por categorías en las Islas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2</xdr:row>
      <xdr:rowOff>114299</xdr:rowOff>
    </xdr:from>
    <xdr:to>
      <xdr:col>15</xdr:col>
      <xdr:colOff>326624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27AA025-DD61-4A89-814D-B8C6574B1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DBC1D66-0626-4168-84AA-DBF153D7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6FE8F4-F9DA-4C89-A82E-7570A128A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  <xdr:twoCellAnchor>
    <xdr:from>
      <xdr:col>4</xdr:col>
      <xdr:colOff>323850</xdr:colOff>
      <xdr:row>26</xdr:row>
      <xdr:rowOff>76200</xdr:rowOff>
    </xdr:from>
    <xdr:to>
      <xdr:col>15</xdr:col>
      <xdr:colOff>221850</xdr:colOff>
      <xdr:row>47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26BD1CA-81B2-4712-964F-7744423C9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48</xdr:row>
      <xdr:rowOff>142875</xdr:rowOff>
    </xdr:from>
    <xdr:to>
      <xdr:col>15</xdr:col>
      <xdr:colOff>574275</xdr:colOff>
      <xdr:row>70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4246E22-9E78-4E19-A026-4FDFCD546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establecimientos alojativos de San Cristóbal de La Laguna 
(hotel + apartamento)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27:$D$27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San Cristóbal de La Laguna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Viajeros entr evol anual TF cat'!$B$50:$D$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entrados en los hoteles de 4, 5 estrellas de San Cristóbal de La Laguna</a:t>
          </a:fld>
          <a:endParaRPr lang="es-ES" sz="1100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762000</xdr:colOff>
      <xdr:row>2</xdr:row>
      <xdr:rowOff>361950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18DD44-7BC6-4505-A806-DB2F3CAC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3C9874-8361-4DB7-BE3E-86490B3AC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F5DA54-DDE4-4DE4-A0D9-42FA6FE0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EC86D8-CADC-4525-B213-892E24141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396875</xdr:colOff>
      <xdr:row>2</xdr:row>
      <xdr:rowOff>95250</xdr:rowOff>
    </xdr:from>
    <xdr:to>
      <xdr:col>36</xdr:col>
      <xdr:colOff>590550</xdr:colOff>
      <xdr:row>26</xdr:row>
      <xdr:rowOff>133350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EC53DCC-A2C0-4AA7-A80D-5B0D9D298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0.94907</cdr:x>
      <cdr:y>0.0919</cdr:y>
    </cdr:to>
    <cdr:sp macro="" textlink="'viaj entrados lugar resid años '!$N$3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50902" y="53158"/>
          <a:ext cx="9534423" cy="458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893662F-1A51-4D1E-BD6E-6B892393596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762000</xdr:colOff>
      <xdr:row>5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2C7126-6703-46D0-ACD5-27688187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514350</xdr:colOff>
      <xdr:row>3</xdr:row>
      <xdr:rowOff>38100</xdr:rowOff>
    </xdr:from>
    <xdr:to>
      <xdr:col>31</xdr:col>
      <xdr:colOff>186690</xdr:colOff>
      <xdr:row>26</xdr:row>
      <xdr:rowOff>15240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0EBC0FF-EFC2-45FB-B95C-F569341E3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6B2897B-3A68-42C9-9830-DD52F68DD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cia'!$M$6:$T$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6B25C01-D8B5-45F5-AEF0-E4EBE0EDCB7F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83446C-274F-4EF0-8D2E-AF9582FE5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7B327E-94E3-49C7-883C-DE27DE71C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25</xdr:col>
      <xdr:colOff>133350</xdr:colOff>
      <xdr:row>3</xdr:row>
      <xdr:rowOff>285750</xdr:rowOff>
    </xdr:from>
    <xdr:to>
      <xdr:col>37</xdr:col>
      <xdr:colOff>567690</xdr:colOff>
      <xdr:row>27</xdr:row>
      <xdr:rowOff>72390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59502934-15ED-450F-8246-B8CB67718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acu'!$P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C21412-3ED2-44EE-9838-D96E166D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719550-0BBC-4CF1-9B45-58C914F96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23</xdr:col>
      <xdr:colOff>561975</xdr:colOff>
      <xdr:row>3</xdr:row>
      <xdr:rowOff>257175</xdr:rowOff>
    </xdr:from>
    <xdr:to>
      <xdr:col>36</xdr:col>
      <xdr:colOff>434340</xdr:colOff>
      <xdr:row>27</xdr:row>
      <xdr:rowOff>43815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9FA7AC5-8CFF-476A-B39B-91A775144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0768"/>
          <a:ext cx="8033258" cy="199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entrados lugar residen hot'!$N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80BF2DB-21EF-4E40-A211-5A420E4ABD32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entrados en los hoteles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C34A12-6111-4065-BA34-417FFF223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A71E68-B49D-439B-A1FE-B1ED349E3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9525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B3FA6-D2AA-4563-B3DB-D0F9C612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858520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093ECF-FBAF-487A-8C8C-35597DE2E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745" cy="5146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6F96A8-FC0F-4ABC-8988-8BF055BD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F9978C-B83D-489B-AB1E-68410327E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2</xdr:row>
      <xdr:rowOff>28575</xdr:rowOff>
    </xdr:from>
    <xdr:to>
      <xdr:col>11</xdr:col>
      <xdr:colOff>85725</xdr:colOff>
      <xdr:row>25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0BBCB12-3A49-4AF5-AE19-BA01364B24BE}"/>
            </a:ext>
          </a:extLst>
        </xdr:cNvPr>
        <xdr:cNvGrpSpPr/>
      </xdr:nvGrpSpPr>
      <xdr:grpSpPr>
        <a:xfrm>
          <a:off x="695325" y="40957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87BF701-994C-D936-9437-C5F25D4F75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95D73B2-5E4E-A535-763A-917AE777B6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alojados en hoteles y apartamentos</a:t>
            </a: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438150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C8395C-74B4-4A89-B8D9-EDCE02338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853440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46E893-9C5F-4B89-9CC6-71F58598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1665" cy="514631"/>
        </a:xfrm>
        <a:prstGeom prst="rect">
          <a:avLst/>
        </a:prstGeom>
      </xdr:spPr>
    </xdr:pic>
    <xdr:clientData/>
  </xdr:twoCellAnchor>
  <xdr:twoCellAnchor editAs="oneCell">
    <xdr:from>
      <xdr:col>18</xdr:col>
      <xdr:colOff>695325</xdr:colOff>
      <xdr:row>2</xdr:row>
      <xdr:rowOff>38100</xdr:rowOff>
    </xdr:from>
    <xdr:to>
      <xdr:col>31</xdr:col>
      <xdr:colOff>367665</xdr:colOff>
      <xdr:row>25</xdr:row>
      <xdr:rowOff>15240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AF34F22-0739-41E4-A968-3B6C83294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 lugar residen mes'!$K$5:$R$5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CE42E48-A969-4C58-9403-3DC7E77104E1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CBE3BD-5BE2-46BD-8F8F-399AA440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B11502-18F7-4C55-91B6-C8A58CE62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190499</xdr:colOff>
      <xdr:row>1</xdr:row>
      <xdr:rowOff>28575</xdr:rowOff>
    </xdr:from>
    <xdr:to>
      <xdr:col>37</xdr:col>
      <xdr:colOff>28575</xdr:colOff>
      <xdr:row>24</xdr:row>
      <xdr:rowOff>5715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C90DB9A-1E65-46D0-969E-F91D62889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0.00504</cdr:x>
      <cdr:y>0.00954</cdr:y>
    </cdr:from>
    <cdr:to>
      <cdr:x>1</cdr:x>
      <cdr:y>0.0919</cdr:y>
    </cdr:to>
    <cdr:sp macro="" textlink="'viaj alojados lugar residen acu'!$O$4:$X$4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61AC79D-492E-4E44-904A-C25A6874EB05}"/>
            </a:ext>
          </a:extLst>
        </cdr:cNvPr>
        <cdr:cNvSpPr txBox="1"/>
      </cdr:nvSpPr>
      <cdr:spPr>
        <a:xfrm xmlns:a="http://schemas.openxmlformats.org/drawingml/2006/main">
          <a:off x="48275" y="50759"/>
          <a:ext cx="9530065" cy="4382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187FA05-E7EC-492D-8F75-A46E8AF659B7}" type="TxLink">
            <a:rPr lang="en-US" sz="1600" b="1" i="0" u="none" strike="noStrike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/>
            <a:t>Viajeros alojados en los establecimientos alojativos de San Cristóbal de La Laguna según lugar de residencia (hotel + apartamento)</a:t>
          </a:fld>
          <a:endParaRPr lang="es-ES" sz="36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57150</xdr:rowOff>
    </xdr:from>
    <xdr:to>
      <xdr:col>11</xdr:col>
      <xdr:colOff>190500</xdr:colOff>
      <xdr:row>25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5CD7684-F544-4705-BDB2-26C27A5A7D92}"/>
            </a:ext>
          </a:extLst>
        </xdr:cNvPr>
        <xdr:cNvGrpSpPr/>
      </xdr:nvGrpSpPr>
      <xdr:grpSpPr>
        <a:xfrm>
          <a:off x="800100" y="43815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FED627A-06A2-95E3-45C4-2ED80E722C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EB20471-52A1-5C0A-4FB6-C52F831A86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765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Pernoctaciones en hoteles y apartamentos</a:t>
            </a:r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DB1693-BD53-45A5-8754-757B0D298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849630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0AD907-35F2-4588-A8D9-FD59AA2A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390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102870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039ECC-0D06-4791-B047-B972E0A8A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4045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A994DB-3819-4E3A-8E78-6E12579EE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CC97205-4039-4BBF-9F64-A3BF99163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3780BD64-16A4-4795-9214-490C7FE46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D891D92-8E9E-480E-A411-740ED83CF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C37C5B9-DC55-4DDA-85CA-3F2B46952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</xdr:colOff>
      <xdr:row>135</xdr:row>
      <xdr:rowOff>0</xdr:rowOff>
    </xdr:from>
    <xdr:to>
      <xdr:col>25</xdr:col>
      <xdr:colOff>698100</xdr:colOff>
      <xdr:row>155</xdr:row>
      <xdr:rowOff>104776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11239B1-2BAD-4222-B6F6-8FFB6B8381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38100</xdr:colOff>
      <xdr:row>156</xdr:row>
      <xdr:rowOff>171450</xdr:rowOff>
    </xdr:from>
    <xdr:to>
      <xdr:col>25</xdr:col>
      <xdr:colOff>698100</xdr:colOff>
      <xdr:row>177</xdr:row>
      <xdr:rowOff>85726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9C51D8-5F8F-4988-BDE5-EDC18CF87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F7763D41-EAD7-4794-8809-3037478B2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49E162C-BFED-4B50-B365-CE1ABC8FD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19050</xdr:colOff>
      <xdr:row>223</xdr:row>
      <xdr:rowOff>0</xdr:rowOff>
    </xdr:from>
    <xdr:to>
      <xdr:col>25</xdr:col>
      <xdr:colOff>679050</xdr:colOff>
      <xdr:row>243</xdr:row>
      <xdr:rowOff>66676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0860E4A-05FE-44E0-9B4D-ED1B33771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249</xdr:row>
      <xdr:rowOff>0</xdr:rowOff>
    </xdr:from>
    <xdr:to>
      <xdr:col>25</xdr:col>
      <xdr:colOff>660000</xdr:colOff>
      <xdr:row>269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BD5C117F-1FF5-4D4F-9CC4-7E4739BCC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españoles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Península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Canarias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Total residentes en el extranjero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Reino Unido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Alemania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Francia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Bélgica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Países Bajos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99087FA-C4E9-4D1C-A811-CCBF4BDBA11C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Dinamarca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ciones evol mensu TF'!$B$250:$N$25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2BE389B-CCFC-40C6-BAAE-B88837C1348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procedentes de Suecia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8A2C6D-5B75-4416-B2A7-2B355CF28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00E97A-9944-4AFB-B577-8CE85913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C751A4-4EEC-42BC-8C8E-718A25922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55DF423-F711-45B6-AB4F-C47ABCF5B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4E2FB03-0CC8-438B-8AD9-21D08A270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4BC735C-C8FA-4C00-8038-F358C252C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San Cristóbal de La Laguna</a:t>
          </a:fld>
          <a:endParaRPr lang="es-ES" sz="1100"/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4 y 5 estrellas de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Pernocta evol mensu TF cat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Pernoctaciones realizadas por los turistas en los hoteles de 1, 2, 3 estrellas de San Cristóbal de La Laguna</a:t>
          </a:fld>
          <a:endParaRPr lang="es-ES" sz="1100"/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FC4F6D-E191-46A0-A4A0-7C1CEDFD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F72747-90A0-4850-B4B8-AAEE5AA7A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5715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10F108-0C02-44F7-9A7F-455D1E3B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7B39A6-7681-44C2-8C89-B2C1AC8D2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5</xdr:row>
      <xdr:rowOff>15240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7D7F2B-1835-408C-9B93-CCC90303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854710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B4F9D0-7CEB-4A32-875E-1D970677E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2935" cy="510821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11</xdr:col>
      <xdr:colOff>161925</xdr:colOff>
      <xdr:row>25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F48C15A-9341-4307-BFBD-982B6CFE7EE8}"/>
            </a:ext>
          </a:extLst>
        </xdr:cNvPr>
        <xdr:cNvGrpSpPr/>
      </xdr:nvGrpSpPr>
      <xdr:grpSpPr>
        <a:xfrm>
          <a:off x="771525" y="5715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0CF8323-67EE-4BEF-D621-BE510CA65B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87BFB1BC-5154-6B7D-EFE5-62A3818287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Estancia media en hoteles y apartamentos</a:t>
            </a:r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428624</xdr:colOff>
      <xdr:row>2</xdr:row>
      <xdr:rowOff>114299</xdr:rowOff>
    </xdr:from>
    <xdr:to>
      <xdr:col>25</xdr:col>
      <xdr:colOff>326624</xdr:colOff>
      <xdr:row>23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5598EB-6200-46E7-8C1F-72929D016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857250</xdr:colOff>
      <xdr:row>4</xdr:row>
      <xdr:rowOff>91440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7A75FC-A15F-4C8E-B279-540326C7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71525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129821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EA223D-8B7C-4BC5-BC7D-8941726EC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323850</xdr:colOff>
      <xdr:row>25</xdr:row>
      <xdr:rowOff>76200</xdr:rowOff>
    </xdr:from>
    <xdr:to>
      <xdr:col>25</xdr:col>
      <xdr:colOff>221850</xdr:colOff>
      <xdr:row>45</xdr:row>
      <xdr:rowOff>180976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F9075B9-583D-4C41-9E3E-BF7C09EAF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26</xdr:col>
      <xdr:colOff>9525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233C6E-C37B-4FD8-AD79-62B7FFC31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E72DF92-579A-46EB-A9FE-DD89861E9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57150</xdr:colOff>
      <xdr:row>90</xdr:row>
      <xdr:rowOff>76200</xdr:rowOff>
    </xdr:from>
    <xdr:to>
      <xdr:col>25</xdr:col>
      <xdr:colOff>717150</xdr:colOff>
      <xdr:row>110</xdr:row>
      <xdr:rowOff>180976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F318BF0-8592-43D4-95F3-1A017D68D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76200</xdr:colOff>
      <xdr:row>112</xdr:row>
      <xdr:rowOff>180975</xdr:rowOff>
    </xdr:from>
    <xdr:to>
      <xdr:col>25</xdr:col>
      <xdr:colOff>736200</xdr:colOff>
      <xdr:row>133</xdr:row>
      <xdr:rowOff>95251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006914B-D68E-4989-9415-90C2653D1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285749</xdr:colOff>
      <xdr:row>134</xdr:row>
      <xdr:rowOff>66676</xdr:rowOff>
    </xdr:from>
    <xdr:to>
      <xdr:col>26</xdr:col>
      <xdr:colOff>28575</xdr:colOff>
      <xdr:row>154</xdr:row>
      <xdr:rowOff>9526</xdr:rowOff>
    </xdr:to>
    <xdr:graphicFrame macro="">
      <xdr:nvGraphicFramePr>
        <xdr:cNvPr id="10" name="Gráfico 40">
          <a:extLst>
            <a:ext uri="{FF2B5EF4-FFF2-40B4-BE49-F238E27FC236}">
              <a16:creationId xmlns:a16="http://schemas.microsoft.com/office/drawing/2014/main" id="{4952770C-38D6-49E1-AE6E-4C237C37F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0</xdr:colOff>
      <xdr:row>157</xdr:row>
      <xdr:rowOff>323850</xdr:rowOff>
    </xdr:from>
    <xdr:to>
      <xdr:col>25</xdr:col>
      <xdr:colOff>664762</xdr:colOff>
      <xdr:row>179</xdr:row>
      <xdr:rowOff>57151</xdr:rowOff>
    </xdr:to>
    <xdr:graphicFrame macro="">
      <xdr:nvGraphicFramePr>
        <xdr:cNvPr id="11" name="Gráfico 41">
          <a:extLst>
            <a:ext uri="{FF2B5EF4-FFF2-40B4-BE49-F238E27FC236}">
              <a16:creationId xmlns:a16="http://schemas.microsoft.com/office/drawing/2014/main" id="{89D8A071-DD04-421D-B8D0-8E541FB08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752475</xdr:colOff>
      <xdr:row>179</xdr:row>
      <xdr:rowOff>104775</xdr:rowOff>
    </xdr:from>
    <xdr:to>
      <xdr:col>25</xdr:col>
      <xdr:colOff>650475</xdr:colOff>
      <xdr:row>200</xdr:row>
      <xdr:rowOff>19051</xdr:rowOff>
    </xdr:to>
    <xdr:graphicFrame macro="">
      <xdr:nvGraphicFramePr>
        <xdr:cNvPr id="12" name="Gráfico 43">
          <a:extLst>
            <a:ext uri="{FF2B5EF4-FFF2-40B4-BE49-F238E27FC236}">
              <a16:creationId xmlns:a16="http://schemas.microsoft.com/office/drawing/2014/main" id="{70EE5C7C-B6C0-437F-B580-1F1DD4F24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609600</xdr:colOff>
      <xdr:row>201</xdr:row>
      <xdr:rowOff>0</xdr:rowOff>
    </xdr:from>
    <xdr:to>
      <xdr:col>25</xdr:col>
      <xdr:colOff>507600</xdr:colOff>
      <xdr:row>221</xdr:row>
      <xdr:rowOff>104776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8BE9ABB7-B618-4F88-AA80-7CEC0257E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223</xdr:row>
      <xdr:rowOff>0</xdr:rowOff>
    </xdr:from>
    <xdr:to>
      <xdr:col>25</xdr:col>
      <xdr:colOff>660000</xdr:colOff>
      <xdr:row>243</xdr:row>
      <xdr:rowOff>104776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30C4F9F-60B2-41DE-A27F-ABABE4F16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0</xdr:colOff>
      <xdr:row>245</xdr:row>
      <xdr:rowOff>0</xdr:rowOff>
    </xdr:from>
    <xdr:to>
      <xdr:col>25</xdr:col>
      <xdr:colOff>660000</xdr:colOff>
      <xdr:row>265</xdr:row>
      <xdr:rowOff>104776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99167EC-33FE-44A0-975A-A6FD191D7C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0</xdr:colOff>
      <xdr:row>267</xdr:row>
      <xdr:rowOff>0</xdr:rowOff>
    </xdr:from>
    <xdr:to>
      <xdr:col>25</xdr:col>
      <xdr:colOff>660000</xdr:colOff>
      <xdr:row>287</xdr:row>
      <xdr:rowOff>104776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5CBF4EA-30A0-4B5F-9F2C-6AB24B5B9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0.00373</cdr:x>
      <cdr:y>0.00391</cdr:y>
    </cdr:from>
    <cdr:to>
      <cdr:x>0.97796</cdr:x>
      <cdr:y>0.1721</cdr:y>
    </cdr:to>
    <cdr:sp macro="" textlink="'EM evol menusual lugar resd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2657" y="16690"/>
          <a:ext cx="8533252" cy="71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0.99276</cdr:x>
      <cdr:y>0.1721</cdr:y>
    </cdr:to>
    <cdr:sp macro="" textlink="'EM evol menusual lugar resd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00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españoles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0.99736</cdr:x>
      <cdr:y>0.1721</cdr:y>
    </cdr:to>
    <cdr:sp macro="" textlink="'EM evol menusual lugar resd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5817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peninsulares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canarios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92:$N$9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F9576AC-CD66-4AF4-9D7A-6723A4F689D7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extranjeros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0.99046</cdr:x>
      <cdr:y>0.1721</cdr:y>
    </cdr:to>
    <cdr:sp macro="" textlink="'EM evol menusual lugar resd'!$B$114:$N$11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01024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6ED3218-5B10-4EC9-977D-8A66ABDC718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británicos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0.00108</cdr:x>
      <cdr:y>0.96197</cdr:y>
    </cdr:from>
    <cdr:to>
      <cdr:x>0.51654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9525" y="4315662"/>
          <a:ext cx="4565049" cy="170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0.9957</cdr:x>
      <cdr:y>0.14865</cdr:y>
    </cdr:to>
    <cdr:sp macro="" textlink="'EM evol menusual lugar resd'!$B$136:$N$13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6536"/>
          <a:ext cx="7729496" cy="612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4CF804C-98B5-4600-8BB0-DA6FB75388B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alemanes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58:$N$15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08BB515-8B29-48C5-AF78-38E1E42120A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franceses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180:$N$18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4E311B4-E254-490A-B2D1-DB87BC6D349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0.99391</cdr:x>
      <cdr:y>0.1721</cdr:y>
    </cdr:to>
    <cdr:sp macro="" textlink="'EM evol menusual lugar resd'!$B$202:$N$202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7169"/>
          <a:ext cx="8229600" cy="738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D9C39B-0038-4808-B660-1FFFBD54799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holandeses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24:$N$22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F6DB970-8AF5-4ACF-8E05-A57BF76B1B5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belgas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46:$N$24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2BDA80-C0F4-4A01-9A5D-806E76A2736B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daneses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usual lugar resd'!$B$268:$N$26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EDF55F-EC40-4CCB-8271-796B623DE44D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de los viajeros suecos entrados en los establecimientos alojativos de San Cristóbal de La Laguna (hotel + apartamento)</a:t>
          </a:fld>
          <a:endParaRPr lang="es-ES" sz="1100"/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409574</xdr:colOff>
      <xdr:row>2</xdr:row>
      <xdr:rowOff>142874</xdr:rowOff>
    </xdr:from>
    <xdr:to>
      <xdr:col>25</xdr:col>
      <xdr:colOff>307574</xdr:colOff>
      <xdr:row>23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C53D313-861B-4660-AF30-68D18CBD2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853440</xdr:colOff>
      <xdr:row>4</xdr:row>
      <xdr:rowOff>95250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4D7439-FA3E-4DA6-861D-B2FB02BB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771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93345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0F99B0-C69B-4EBE-97F2-98A0739FF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4520" cy="514631"/>
        </a:xfrm>
        <a:prstGeom prst="rect">
          <a:avLst/>
        </a:prstGeom>
      </xdr:spPr>
    </xdr:pic>
    <xdr:clientData/>
  </xdr:twoCellAnchor>
  <xdr:twoCellAnchor>
    <xdr:from>
      <xdr:col>14</xdr:col>
      <xdr:colOff>342900</xdr:colOff>
      <xdr:row>25</xdr:row>
      <xdr:rowOff>114300</xdr:rowOff>
    </xdr:from>
    <xdr:to>
      <xdr:col>25</xdr:col>
      <xdr:colOff>240900</xdr:colOff>
      <xdr:row>46</xdr:row>
      <xdr:rowOff>28576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AE03CB8-9FDD-4F06-8306-F5BB6A488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676275</xdr:colOff>
      <xdr:row>46</xdr:row>
      <xdr:rowOff>142875</xdr:rowOff>
    </xdr:from>
    <xdr:to>
      <xdr:col>25</xdr:col>
      <xdr:colOff>574275</xdr:colOff>
      <xdr:row>67</xdr:row>
      <xdr:rowOff>57151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B179DE-9BA8-4CFC-831B-4BD376D0E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69</xdr:row>
      <xdr:rowOff>0</xdr:rowOff>
    </xdr:from>
    <xdr:to>
      <xdr:col>25</xdr:col>
      <xdr:colOff>660000</xdr:colOff>
      <xdr:row>89</xdr:row>
      <xdr:rowOff>104776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E1210B2-3380-44EB-9F68-D7B22505E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0.95879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210050"/>
          <a:ext cx="4268009" cy="180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6534CD3-0E35-499D-900B-14E52B15F8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San Cristóbal de La Laguna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84419-F83A-4677-BE35-1CEB722A3034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4, 5 estrellas de San Cristóbal de La Laguna</a:t>
          </a:fld>
          <a:endParaRPr lang="es-ES" sz="1100"/>
        </a:p>
      </cdr:txBody>
    </cdr:sp>
  </cdr:relSizeAnchor>
  <cdr:relSizeAnchor xmlns:cdr="http://schemas.openxmlformats.org/drawingml/2006/chartDrawing">
    <cdr:from>
      <cdr:x>0.01304</cdr:x>
      <cdr:y>0.91106</cdr:y>
    </cdr:from>
    <cdr:to>
      <cdr:x>0.5285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3D3C7B1-03F3-939E-B177-216861D69B8A}"/>
            </a:ext>
          </a:extLst>
        </cdr:cNvPr>
        <cdr:cNvSpPr txBox="1"/>
      </cdr:nvSpPr>
      <cdr:spPr>
        <a:xfrm xmlns:a="http://schemas.openxmlformats.org/drawingml/2006/main">
          <a:off x="107950" y="4000501"/>
          <a:ext cx="426800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* en el año 2022 no se publicó la desagregación por categorías en las Islas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M evol mensu TF cat '!$B$70:$N$70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9BBB21-4CAE-40D4-95AF-C9648D5980DA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Estancia Media en los hoteles de 1, 2, 3 Estrellas de San Cristóbal de La Laguna</a:t>
          </a:fld>
          <a:endParaRPr lang="es-ES" sz="1100"/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123825</xdr:rowOff>
    </xdr:from>
    <xdr:to>
      <xdr:col>10</xdr:col>
      <xdr:colOff>609600</xdr:colOff>
      <xdr:row>24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1A2E263-C3AC-4A05-AE66-2122DF5505EA}"/>
            </a:ext>
          </a:extLst>
        </xdr:cNvPr>
        <xdr:cNvGrpSpPr/>
      </xdr:nvGrpSpPr>
      <xdr:grpSpPr>
        <a:xfrm>
          <a:off x="457200" y="314325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CBEF5E87-D058-09C9-ABA4-23BE582D4C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26F27D14-3C18-F7A2-5719-55DE2472CB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838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Tasa de ocupación por plaza en hoteles y apartamentos</a:t>
            </a:r>
          </a:p>
        </xdr:txBody>
      </xdr:sp>
    </xdr:grp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704849</xdr:colOff>
      <xdr:row>3</xdr:row>
      <xdr:rowOff>104774</xdr:rowOff>
    </xdr:from>
    <xdr:to>
      <xdr:col>25</xdr:col>
      <xdr:colOff>621899</xdr:colOff>
      <xdr:row>22</xdr:row>
      <xdr:rowOff>167099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1BB9BA-62B5-480D-A17A-852198862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228599</xdr:colOff>
      <xdr:row>69</xdr:row>
      <xdr:rowOff>419099</xdr:rowOff>
    </xdr:from>
    <xdr:to>
      <xdr:col>26</xdr:col>
      <xdr:colOff>126599</xdr:colOff>
      <xdr:row>90</xdr:row>
      <xdr:rowOff>100424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859A23FA-B55A-4C3B-AED2-3F56EB73D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19050</xdr:rowOff>
    </xdr:from>
    <xdr:to>
      <xdr:col>0</xdr:col>
      <xdr:colOff>857250</xdr:colOff>
      <xdr:row>4</xdr:row>
      <xdr:rowOff>59055</xdr:rowOff>
    </xdr:to>
    <xdr:pic>
      <xdr:nvPicPr>
        <xdr:cNvPr id="5" name="Imagen 4" descr="Iconos Png Gratis Resume Volver Icono Descarga Gratuita - Pump ...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71403F5-7477-4EFB-9D7A-D8243183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85800"/>
          <a:ext cx="771525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97155</xdr:colOff>
      <xdr:row>2</xdr:row>
      <xdr:rowOff>34571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7B5C67B-2CFB-4BAB-A81D-C2C6FDF7F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8330" cy="510821"/>
        </a:xfrm>
        <a:prstGeom prst="rect">
          <a:avLst/>
        </a:prstGeom>
      </xdr:spPr>
    </xdr:pic>
    <xdr:clientData/>
  </xdr:twoCellAnchor>
  <xdr:twoCellAnchor>
    <xdr:from>
      <xdr:col>14</xdr:col>
      <xdr:colOff>904875</xdr:colOff>
      <xdr:row>24</xdr:row>
      <xdr:rowOff>180975</xdr:rowOff>
    </xdr:from>
    <xdr:to>
      <xdr:col>26</xdr:col>
      <xdr:colOff>59925</xdr:colOff>
      <xdr:row>46</xdr:row>
      <xdr:rowOff>14700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882571D-4465-4C4E-96DF-C2934B5C2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838200</xdr:colOff>
      <xdr:row>47</xdr:row>
      <xdr:rowOff>114300</xdr:rowOff>
    </xdr:from>
    <xdr:to>
      <xdr:col>25</xdr:col>
      <xdr:colOff>755250</xdr:colOff>
      <xdr:row>68</xdr:row>
      <xdr:rowOff>138525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CBDBE72-48D1-4188-B2BE-E14A233E0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0.00447</cdr:x>
      <cdr:y>0.00849</cdr:y>
    </cdr:from>
    <cdr:to>
      <cdr:x>0.9787</cdr:x>
      <cdr:y>0.17668</cdr:y>
    </cdr:to>
    <cdr:sp macro="" textlink="'tasa de ocupación evol mens'!$B$4:$N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38100" y="35308"/>
          <a:ext cx="8307892" cy="69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66CFC90-4DF6-4210-BB46-D250B73FFBF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#REF!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5FA83AF-8EEE-4570-A963-F3AE91B89BE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Tasa de ocupación en los hoteles de 4 estrellas de Tenerife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26:$N$26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277B92F-191F-48A0-813B-24B2E6B2EF9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San Cristóbal de La Laguna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tasa de ocupación evol mens'!$B$48:$N$48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50D8823-FBC2-4B03-A811-E1EE0E7E4A13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Tasa de ocupación por plaza en los hoteles de 4, 5 Estrellas de San Cristóbal de La Laguna</a:t>
          </a:fld>
          <a:endParaRPr lang="es-ES" sz="1100"/>
        </a:p>
      </cdr:txBody>
    </cdr: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E8F17C0-FCF0-4DD6-940B-AA3B43E80765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916AD44C-41DF-E816-8E29-7C242B9713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5232684A-FFEA-A6E0-0B68-53C5C2872B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Indicadores de rentabilidad alojativa</a:t>
            </a:r>
          </a:p>
        </xdr:txBody>
      </xdr:sp>
    </xdr:grp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66676</xdr:rowOff>
    </xdr:from>
    <xdr:to>
      <xdr:col>0</xdr:col>
      <xdr:colOff>838200</xdr:colOff>
      <xdr:row>4</xdr:row>
      <xdr:rowOff>257176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4954CC-7673-4824-A21A-E3940990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9601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0</xdr:row>
      <xdr:rowOff>514631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B44509-3FBC-451C-B460-9831B8B74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F70155-746A-4FF3-A1EE-D7777776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61200D-7CB0-40BC-8D47-D6D9C5577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03F8A0-3790-4138-9305-7FAD1C117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762000</xdr:colOff>
      <xdr:row>4</xdr:row>
      <xdr:rowOff>190500</xdr:rowOff>
    </xdr:to>
    <xdr:pic>
      <xdr:nvPicPr>
        <xdr:cNvPr id="2" name="Imagen 1" descr="Iconos Png Gratis Resume Volver Icono Descarga Gratuita - Pump ..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A1E42D-B26E-41C1-BBF0-FBD537C10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7C746C-B138-4E81-B8C2-8322DD4B5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0</xdr:row>
      <xdr:rowOff>510821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82CE41-C91B-46A6-8598-9D39841AD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5475" cy="510821"/>
        </a:xfrm>
        <a:prstGeom prst="rect">
          <a:avLst/>
        </a:prstGeom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0</xdr:rowOff>
    </xdr:from>
    <xdr:to>
      <xdr:col>10</xdr:col>
      <xdr:colOff>495300</xdr:colOff>
      <xdr:row>24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B8B675B-2214-499F-BD4B-C032771F9F86}"/>
            </a:ext>
          </a:extLst>
        </xdr:cNvPr>
        <xdr:cNvGrpSpPr/>
      </xdr:nvGrpSpPr>
      <xdr:grpSpPr>
        <a:xfrm>
          <a:off x="342900" y="381000"/>
          <a:ext cx="7772400" cy="4371975"/>
          <a:chOff x="9906000" y="190500"/>
          <a:chExt cx="7772400" cy="4371975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4DC5221-7D97-D645-67F0-528DB23B65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06000" y="190500"/>
            <a:ext cx="7772400" cy="4371975"/>
          </a:xfrm>
          <a:prstGeom prst="rect">
            <a:avLst/>
          </a:prstGeom>
        </xdr:spPr>
      </xdr:pic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4B4387F8-D75E-FBCB-4A0E-CF6A213B78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9399" y="1476375"/>
            <a:ext cx="6715125" cy="2562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0" bIns="0" anchor="ctr" upright="1"/>
          <a:lstStyle/>
          <a:p>
            <a:pPr algn="ctr" rtl="0">
              <a:defRPr sz="1000"/>
            </a:pPr>
            <a:r>
              <a:rPr lang="es-ES" sz="6000" b="0" i="0" u="none" strike="noStrike" baseline="0">
                <a:solidFill>
                  <a:schemeClr val="bg1"/>
                </a:solidFill>
                <a:latin typeface="Calibri"/>
                <a:ea typeface="Calibri"/>
                <a:cs typeface="Calibri"/>
              </a:rPr>
              <a:t>Viajeros españoles</a:t>
            </a:r>
          </a:p>
        </xdr:txBody>
      </xdr:sp>
    </xdr:grp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1060453</xdr:colOff>
      <xdr:row>14</xdr:row>
      <xdr:rowOff>38100</xdr:rowOff>
    </xdr:from>
    <xdr:to>
      <xdr:col>6</xdr:col>
      <xdr:colOff>705803</xdr:colOff>
      <xdr:row>35</xdr:row>
      <xdr:rowOff>120967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B2F5EBC-D152-43AD-B24D-02A5EE62C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448944</xdr:colOff>
      <xdr:row>13</xdr:row>
      <xdr:rowOff>73025</xdr:rowOff>
    </xdr:from>
    <xdr:to>
      <xdr:col>14</xdr:col>
      <xdr:colOff>369570</xdr:colOff>
      <xdr:row>30</xdr:row>
      <xdr:rowOff>135890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10747CA-960A-436A-A9A5-BE5F27478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659130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0CE2FAA-9616-4AC5-A99F-85B9F1C8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16900" y="38100"/>
          <a:ext cx="49720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14</xdr:row>
      <xdr:rowOff>95250</xdr:rowOff>
    </xdr:from>
    <xdr:ext cx="9191626" cy="4545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6A919D3B-41E1-40EA-817C-A432F4249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597195</xdr:colOff>
      <xdr:row>1</xdr:row>
      <xdr:rowOff>102870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586008A-037E-46A1-8AED-B7AEA2DE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8295" cy="483870"/>
        </a:xfrm>
        <a:prstGeom prst="rect">
          <a:avLst/>
        </a:prstGeom>
      </xdr:spPr>
    </xdr:pic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31758F8E-4084-474F-8EDA-80184F875402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Insular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de Tenerife. ELABORACIÓN: Turismo de Tenerife </a:t>
          </a:r>
        </a:p>
      </cdr:txBody>
    </cdr:sp>
  </cdr:relSizeAnchor>
  <cdr:relSizeAnchor xmlns:cdr="http://schemas.openxmlformats.org/drawingml/2006/chartDrawing">
    <cdr:from>
      <cdr:x>0.39564</cdr:x>
      <cdr:y>0.35377</cdr:y>
    </cdr:from>
    <cdr:to>
      <cdr:x>0.91656</cdr:x>
      <cdr:y>0.48035</cdr:y>
    </cdr:to>
    <cdr:sp macro="" textlink="">
      <cdr:nvSpPr>
        <cdr:cNvPr id="6" name="Cerrar llave 5">
          <a:extLst xmlns:a="http://schemas.openxmlformats.org/drawingml/2006/main">
            <a:ext uri="{FF2B5EF4-FFF2-40B4-BE49-F238E27FC236}">
              <a16:creationId xmlns:a16="http://schemas.microsoft.com/office/drawing/2014/main" id="{469DACD7-1EE4-4E55-BAAA-E095C61962BC}"/>
            </a:ext>
          </a:extLst>
        </cdr:cNvPr>
        <cdr:cNvSpPr/>
      </cdr:nvSpPr>
      <cdr:spPr>
        <a:xfrm xmlns:a="http://schemas.openxmlformats.org/drawingml/2006/main" rot="16200000">
          <a:off x="4003280" y="-193004"/>
          <a:ext cx="450922" cy="3357458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0.43619</cdr:x>
      <cdr:y>0.15305</cdr:y>
    </cdr:from>
    <cdr:to>
      <cdr:x>0.82762</cdr:x>
      <cdr:y>0.25178</cdr:y>
    </cdr:to>
    <cdr:sp macro="" textlink="">
      <cdr:nvSpPr>
        <cdr:cNvPr id="7" name="CuadroTexto 3">
          <a:extLst xmlns:a="http://schemas.openxmlformats.org/drawingml/2006/main">
            <a:ext uri="{FF2B5EF4-FFF2-40B4-BE49-F238E27FC236}">
              <a16:creationId xmlns:a16="http://schemas.microsoft.com/office/drawing/2014/main" id="{277374B0-BFCC-495F-8F00-B86CEDAE30F1}"/>
            </a:ext>
          </a:extLst>
        </cdr:cNvPr>
        <cdr:cNvSpPr txBox="1"/>
      </cdr:nvSpPr>
      <cdr:spPr>
        <a:xfrm xmlns:a="http://schemas.openxmlformats.org/drawingml/2006/main">
          <a:off x="2811353" y="545212"/>
          <a:ext cx="2522863" cy="35171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0.57735</cdr:x>
      <cdr:y>0.27208</cdr:y>
    </cdr:from>
    <cdr:to>
      <cdr:x>0.68978</cdr:x>
      <cdr:y>0.33541</cdr:y>
    </cdr:to>
    <cdr:sp macro="" textlink="'distribución españoles x Resid'!$O$9">
      <cdr:nvSpPr>
        <cdr:cNvPr id="8" name="CuadroTexto 3">
          <a:extLst xmlns:a="http://schemas.openxmlformats.org/drawingml/2006/main">
            <a:ext uri="{FF2B5EF4-FFF2-40B4-BE49-F238E27FC236}">
              <a16:creationId xmlns:a16="http://schemas.microsoft.com/office/drawing/2014/main" id="{4C9EE597-C83C-44F2-B4A3-633066BB0BF2}"/>
            </a:ext>
          </a:extLst>
        </cdr:cNvPr>
        <cdr:cNvSpPr txBox="1"/>
      </cdr:nvSpPr>
      <cdr:spPr>
        <a:xfrm xmlns:a="http://schemas.openxmlformats.org/drawingml/2006/main">
          <a:off x="3817377" y="1110490"/>
          <a:ext cx="743379" cy="2584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2700">
          <a:solidFill>
            <a:schemeClr val="accent3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200" b="1" i="0" u="none" strike="noStrike">
              <a:solidFill>
                <a:schemeClr val="accent3"/>
              </a:solidFill>
              <a:latin typeface="Calibri"/>
              <a:ea typeface="Calibri"/>
              <a:cs typeface="Calibri"/>
            </a:rPr>
            <a:pPr algn="ctr"/>
            <a:t>15,7%</a:t>
          </a:fld>
          <a:endParaRPr lang="es-ES" sz="14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0.56188</cdr:x>
      <cdr:y>0.21162</cdr:y>
    </cdr:from>
    <cdr:to>
      <cdr:x>0.70176</cdr:x>
      <cdr:y>0.28983</cdr:y>
    </cdr:to>
    <cdr:sp macro="" textlink="'distribución españoles x Resid'!$N$9">
      <cdr:nvSpPr>
        <cdr:cNvPr id="9" name="CuadroTexto 3">
          <a:extLst xmlns:a="http://schemas.openxmlformats.org/drawingml/2006/main">
            <a:ext uri="{FF2B5EF4-FFF2-40B4-BE49-F238E27FC236}">
              <a16:creationId xmlns:a16="http://schemas.microsoft.com/office/drawing/2014/main" id="{B06674D6-B1FE-43AA-BD4E-1158A6AF831A}"/>
            </a:ext>
          </a:extLst>
        </cdr:cNvPr>
        <cdr:cNvSpPr txBox="1"/>
      </cdr:nvSpPr>
      <cdr:spPr>
        <a:xfrm xmlns:a="http://schemas.openxmlformats.org/drawingml/2006/main">
          <a:off x="3621442" y="753872"/>
          <a:ext cx="901561" cy="27861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4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 algn="ctr"/>
            <a:t>5.394</a:t>
          </a:fld>
          <a:endParaRPr lang="es-ES" sz="16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0.70672</cdr:x>
      <cdr:y>0.26753</cdr:y>
    </cdr:from>
    <cdr:to>
      <cdr:x>0.82251</cdr:x>
      <cdr:y>0.33257</cdr:y>
    </cdr:to>
    <cdr:sp macro="" textlink="'distribución españoles x Resid'!$S$9">
      <cdr:nvSpPr>
        <cdr:cNvPr id="16" name="CuadroTexto 15">
          <a:extLst xmlns:a="http://schemas.openxmlformats.org/drawingml/2006/main">
            <a:ext uri="{FF2B5EF4-FFF2-40B4-BE49-F238E27FC236}">
              <a16:creationId xmlns:a16="http://schemas.microsoft.com/office/drawing/2014/main" id="{35529699-B5DE-4E82-9402-691AEDFDDCDC}"/>
            </a:ext>
          </a:extLst>
        </cdr:cNvPr>
        <cdr:cNvSpPr txBox="1"/>
      </cdr:nvSpPr>
      <cdr:spPr>
        <a:xfrm xmlns:a="http://schemas.openxmlformats.org/drawingml/2006/main">
          <a:off x="4672792" y="1091930"/>
          <a:ext cx="765596" cy="26545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E3A6F43F-5657-4BB1-A66C-84C7CA060AD7}" type="TxLink">
            <a:rPr lang="en-US" sz="1100" b="1" i="0" u="none" strike="noStrike">
              <a:solidFill>
                <a:schemeClr val="bg1">
                  <a:lumMod val="65000"/>
                </a:schemeClr>
              </a:solidFill>
              <a:latin typeface="Calibri"/>
              <a:ea typeface="Calibri"/>
              <a:cs typeface="Calibri"/>
            </a:rPr>
            <a:pPr algn="ctr"/>
            <a:t>32,4%</a:t>
          </a:fld>
          <a:endParaRPr lang="es-ES" sz="1200">
            <a:solidFill>
              <a:schemeClr val="bg1">
                <a:lumMod val="6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0.17381</cdr:y>
    </cdr:to>
    <cdr:sp macro="" textlink="'distribución españoles x Resid'!$B$3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5D3B39E-6851-4C36-B8B6-6CD68DC2EBAC}"/>
            </a:ext>
          </a:extLst>
        </cdr:cNvPr>
        <cdr:cNvSpPr txBox="1"/>
      </cdr:nvSpPr>
      <cdr:spPr>
        <a:xfrm xmlns:a="http://schemas.openxmlformats.org/drawingml/2006/main">
          <a:off x="0" y="0"/>
          <a:ext cx="6611935" cy="676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2B8F0-D7E4-4DC8-B136-07E75A981FB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Cristóbal de La Laguna según lugar de residencia</a:t>
          </a:fld>
          <a:endParaRPr lang="es-ES" sz="180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0.0087</cdr:x>
      <cdr:y>0</cdr:y>
    </cdr:from>
    <cdr:to>
      <cdr:x>0.99216</cdr:x>
      <cdr:y>0.2219</cdr:y>
    </cdr:to>
    <cdr:sp macro="" textlink="'distribución españoles x Resid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57150" y="0"/>
          <a:ext cx="6460423" cy="7325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San Cristóbal de La Laguna  por lugar de residencia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>
          <a:extLst xmlns:a="http://schemas.openxmlformats.org/drawingml/2006/main">
            <a:ext uri="{FF2B5EF4-FFF2-40B4-BE49-F238E27FC236}">
              <a16:creationId xmlns:a16="http://schemas.microsoft.com/office/drawing/2014/main" id="{86FD90C6-C671-486D-8C54-9121492BC7EB}"/>
            </a:ext>
          </a:extLst>
        </cdr:cNvPr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0.75237</cdr:x>
      <cdr:y>0.25456</cdr:y>
    </cdr:from>
    <cdr:to>
      <cdr:x>0.99397</cdr:x>
      <cdr:y>0.53122</cdr:y>
    </cdr:to>
    <cdr:grpSp>
      <cdr:nvGrpSpPr>
        <cdr:cNvPr id="19" name="Grupo 18">
          <a:extLst xmlns:a="http://schemas.openxmlformats.org/drawingml/2006/main">
            <a:ext uri="{FF2B5EF4-FFF2-40B4-BE49-F238E27FC236}">
              <a16:creationId xmlns:a16="http://schemas.microsoft.com/office/drawing/2014/main" id="{43E73BE4-588E-45DC-B07F-87A1D48D6B98}"/>
            </a:ext>
          </a:extLst>
        </cdr:cNvPr>
        <cdr:cNvGrpSpPr/>
      </cdr:nvGrpSpPr>
      <cdr:grpSpPr>
        <a:xfrm xmlns:a="http://schemas.openxmlformats.org/drawingml/2006/main">
          <a:off x="4942376" y="840395"/>
          <a:ext cx="1587088" cy="913356"/>
          <a:chOff x="-118136" y="-50384"/>
          <a:chExt cx="1768394" cy="546907"/>
        </a:xfrm>
      </cdr:grpSpPr>
      <cdr:sp macro="" textlink="">
        <cdr:nvSpPr>
          <cdr:cNvPr id="23" name="CuadroTexto 3">
            <a:extLst xmlns:a="http://schemas.openxmlformats.org/drawingml/2006/main">
              <a:ext uri="{FF2B5EF4-FFF2-40B4-BE49-F238E27FC236}">
                <a16:creationId xmlns:a16="http://schemas.microsoft.com/office/drawing/2014/main" id="{C5AD8BF3-D5DB-43D7-800F-DEA9B011B08C}"/>
              </a:ext>
            </a:extLst>
          </cdr:cNvPr>
          <cdr:cNvSpPr txBox="1"/>
        </cdr:nvSpPr>
        <cdr:spPr>
          <a:xfrm xmlns:a="http://schemas.openxmlformats.org/drawingml/2006/main">
            <a:off x="-118136" y="-50384"/>
            <a:ext cx="1768394" cy="546907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distribución españoles x Resid'!$N$9">
        <cdr:nvSpPr>
          <cdr:cNvPr id="24" name="CuadroTexto 4">
            <a:extLst xmlns:a="http://schemas.openxmlformats.org/drawingml/2006/main">
              <a:ext uri="{FF2B5EF4-FFF2-40B4-BE49-F238E27FC236}">
                <a16:creationId xmlns:a16="http://schemas.microsoft.com/office/drawing/2014/main" id="{7BF59A4D-C9D0-46F6-A505-3100DBB18C12}"/>
              </a:ext>
            </a:extLst>
          </cdr:cNvPr>
          <cdr:cNvSpPr txBox="1"/>
        </cdr:nvSpPr>
        <cdr:spPr>
          <a:xfrm xmlns:a="http://schemas.openxmlformats.org/drawingml/2006/main">
            <a:off x="269366" y="246761"/>
            <a:ext cx="958037" cy="179899"/>
          </a:xfrm>
          <a:prstGeom xmlns:a="http://schemas.openxmlformats.org/drawingml/2006/main" prst="rect">
            <a:avLst/>
          </a:prstGeom>
          <a:ln xmlns:a="http://schemas.openxmlformats.org/drawingml/2006/main">
            <a:noFill/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/>
            <a:fld id="{412286F5-1A05-47E0-97D1-52FF465F2855}" type="TxLink">
              <a:rPr lang="en-US" sz="1600" b="1" i="0" u="none" strike="noStrike">
                <a:solidFill>
                  <a:srgbClr val="7B8279"/>
                </a:solidFill>
                <a:latin typeface="Calibri"/>
                <a:ea typeface="Calibri"/>
                <a:cs typeface="Calibri"/>
              </a:rPr>
              <a:pPr marL="0" indent="0" algn="ctr"/>
              <a:t>5.394</a:t>
            </a:fld>
            <a:endParaRPr lang="es-ES" sz="20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0.73929</cdr:x>
      <cdr:y>0.56868</cdr:y>
    </cdr:from>
    <cdr:to>
      <cdr:x>0.99304</cdr:x>
      <cdr:y>0.84945</cdr:y>
    </cdr:to>
    <cdr:grpSp>
      <cdr:nvGrpSpPr>
        <cdr:cNvPr id="2" name="Grupo 1">
          <a:extLst xmlns:a="http://schemas.openxmlformats.org/drawingml/2006/main">
            <a:ext uri="{FF2B5EF4-FFF2-40B4-BE49-F238E27FC236}">
              <a16:creationId xmlns:a16="http://schemas.microsoft.com/office/drawing/2014/main" id="{4D63E92D-ACB2-45A8-BCA5-E07887F3BD29}"/>
            </a:ext>
          </a:extLst>
        </cdr:cNvPr>
        <cdr:cNvGrpSpPr/>
      </cdr:nvGrpSpPr>
      <cdr:grpSpPr>
        <a:xfrm xmlns:a="http://schemas.openxmlformats.org/drawingml/2006/main">
          <a:off x="4856452" y="1877420"/>
          <a:ext cx="1666903" cy="926924"/>
          <a:chOff x="4210084" y="1879587"/>
          <a:chExt cx="1581328" cy="927994"/>
        </a:xfrm>
      </cdr:grpSpPr>
      <cdr:sp macro="" textlink="">
        <cdr:nvSpPr>
          <cdr:cNvPr id="21" name="4 CuadroTexto">
            <a:extLst xmlns:a="http://schemas.openxmlformats.org/drawingml/2006/main">
              <a:ext uri="{FF2B5EF4-FFF2-40B4-BE49-F238E27FC236}">
                <a16:creationId xmlns:a16="http://schemas.microsoft.com/office/drawing/2014/main" id="{5DDA589D-22D4-4B16-B090-802F84D0510E}"/>
              </a:ext>
            </a:extLst>
          </cdr:cNvPr>
          <cdr:cNvSpPr txBox="1"/>
        </cdr:nvSpPr>
        <cdr:spPr>
          <a:xfrm xmlns:a="http://schemas.openxmlformats.org/drawingml/2006/main">
            <a:off x="4210084" y="1879587"/>
            <a:ext cx="1581328" cy="927994"/>
          </a:xfrm>
          <a:prstGeom xmlns:a="http://schemas.openxmlformats.org/drawingml/2006/main" prst="rect">
            <a:avLst/>
          </a:prstGeom>
          <a:ln xmlns:a="http://schemas.openxmlformats.org/drawingml/2006/main" w="3175">
            <a:solidFill>
              <a:schemeClr val="accent1"/>
            </a:solidFill>
          </a:ln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Turismo Canario</a:t>
            </a:r>
          </a:p>
          <a:p xmlns:a="http://schemas.openxmlformats.org/drawingml/2006/main">
            <a:pPr marL="0" indent="0" algn="ctr">
              <a:lnSpc>
                <a:spcPct val="100000"/>
              </a:lnSpc>
            </a:pPr>
            <a:r>
              <a:rPr lang="es-ES" sz="1400" b="1" i="0" u="none" strike="noStrike" dirty="0">
                <a:solidFill>
                  <a:schemeClr val="accent2"/>
                </a:solidFill>
                <a:latin typeface="Calibri"/>
                <a:ea typeface="+mn-ea"/>
                <a:cs typeface="+mn-cs"/>
              </a:rPr>
              <a:t> </a:t>
            </a:r>
          </a:p>
        </cdr:txBody>
      </cdr:sp>
      <cdr:sp macro="" textlink="'distribución españoles x Resid'!$S$9">
        <cdr:nvSpPr>
          <cdr:cNvPr id="22" name="CuadroTexto 1">
            <a:extLst xmlns:a="http://schemas.openxmlformats.org/drawingml/2006/main">
              <a:ext uri="{FF2B5EF4-FFF2-40B4-BE49-F238E27FC236}">
                <a16:creationId xmlns:a16="http://schemas.microsoft.com/office/drawing/2014/main" id="{7A1FB039-8E15-44CE-9502-D48144CFC5DB}"/>
              </a:ext>
            </a:extLst>
          </cdr:cNvPr>
          <cdr:cNvSpPr txBox="1"/>
        </cdr:nvSpPr>
        <cdr:spPr>
          <a:xfrm xmlns:a="http://schemas.openxmlformats.org/drawingml/2006/main">
            <a:off x="4562251" y="2317629"/>
            <a:ext cx="731698" cy="3331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marL="0" indent="0" algn="r"/>
            <a:fld id="{6252F33D-EF1C-47C4-96A5-DEAC3CCFC160}" type="TxLink">
              <a:rPr lang="en-US" sz="1400" b="1" i="0" u="none" strike="noStrike">
                <a:solidFill>
                  <a:schemeClr val="accent6"/>
                </a:solidFill>
                <a:latin typeface="Calibri"/>
                <a:ea typeface="Calibri"/>
                <a:cs typeface="Calibri"/>
              </a:rPr>
              <a:pPr marL="0" indent="0" algn="r"/>
              <a:t>32,4%</a:t>
            </a:fld>
            <a:endParaRPr lang="es-ES" sz="1800" b="1" i="0" u="none" strike="noStrike">
              <a:solidFill>
                <a:schemeClr val="accent6"/>
              </a:solidFill>
              <a:latin typeface="Calibri"/>
              <a:ea typeface="+mn-ea"/>
              <a:cs typeface="+mn-cs"/>
            </a:endParaRPr>
          </a:p>
        </cdr:txBody>
      </cdr:sp>
    </cdr:grpSp>
  </cdr:relSizeAnchor>
  <cdr:relSizeAnchor xmlns:cdr="http://schemas.openxmlformats.org/drawingml/2006/chartDrawing">
    <cdr:from>
      <cdr:x>0.76539</cdr:x>
      <cdr:y>0.77333</cdr:y>
    </cdr:from>
    <cdr:to>
      <cdr:x>0.97535</cdr:x>
      <cdr:y>0.84538</cdr:y>
    </cdr:to>
    <cdr:sp macro="" textlink="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0D6E40F3-67BA-46DA-9F8A-37F48AFBB0E0}"/>
            </a:ext>
          </a:extLst>
        </cdr:cNvPr>
        <cdr:cNvSpPr txBox="1"/>
      </cdr:nvSpPr>
      <cdr:spPr>
        <a:xfrm xmlns:a="http://schemas.openxmlformats.org/drawingml/2006/main">
          <a:off x="5027931" y="2553033"/>
          <a:ext cx="1379220" cy="237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2"/>
              </a:solidFill>
              <a:latin typeface="Calibri"/>
            </a:rPr>
            <a:t>del total España</a:t>
          </a:r>
          <a:endParaRPr lang="es-ES" sz="1600" b="1">
            <a:solidFill>
              <a:schemeClr val="accent2"/>
            </a:solidFill>
          </a:endParaRP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8949B0B6-0134-4895-B0A1-F0EFEA545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3EBE4B-6924-422A-A33A-6F0904F6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7551DF6-23D5-4F95-9137-114DB7B7E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1B7350C-D05D-4AD9-B7C6-546E3CBAE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71BC7C3-6684-4714-A6D1-8223AD0694D0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españoles entrados en los hoteles y apartamentos de San Cristóbal de La Laguna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españole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16.644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españole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4C85D1EC-A272-43AF-8D71-97A16B1B7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F2D1E3-6143-4A23-9856-85A42254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ED66D3D-CAED-42C0-B194-2D6A408FA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FBDBDBD-DF96-4C39-B796-1AC1420CC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re x cate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lugar categoría del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peninsulare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11.250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peninsulare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608964</xdr:colOff>
      <xdr:row>24</xdr:row>
      <xdr:rowOff>95885</xdr:rowOff>
    </xdr:from>
    <xdr:to>
      <xdr:col>25</xdr:col>
      <xdr:colOff>3809</xdr:colOff>
      <xdr:row>132</xdr:row>
      <xdr:rowOff>62865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EA2F33A-C359-4DA1-94F9-206A99BC7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C65985-CBB7-480E-B8C0-41A3E9D5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155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B31BF7C-869A-4092-9EBB-4BB85FF7A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16</xdr:row>
      <xdr:rowOff>142873</xdr:rowOff>
    </xdr:from>
    <xdr:to>
      <xdr:col>12</xdr:col>
      <xdr:colOff>238125</xdr:colOff>
      <xdr:row>123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0845E12-A4D5-4F2E-965B-C3387A430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os x cate'!$B$3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DD7FDF9-C129-4B73-A2D8-1D48F8148B42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Calibri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Viajeros canarios entrados en los hoteles y apartamentos de San Cristóbal de La Laguna por tipología y categoría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0.041</cdr:x>
      <cdr:y>0.26031</cdr:y>
    </cdr:from>
    <cdr:to>
      <cdr:x>0.24854</cdr:x>
      <cdr:y>0.41201</cdr:y>
    </cdr:to>
    <cdr:sp macro="" textlink="'distribución canarios x cate'!$AA$19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85A1103-5FB5-B2C6-21B1-F6862E0BCB8F}"/>
            </a:ext>
          </a:extLst>
        </cdr:cNvPr>
        <cdr:cNvSpPr txBox="1"/>
      </cdr:nvSpPr>
      <cdr:spPr>
        <a:xfrm xmlns:a="http://schemas.openxmlformats.org/drawingml/2006/main">
          <a:off x="347469" y="1319893"/>
          <a:ext cx="1758710" cy="769191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D24D9A57-6BDE-4FF9-BFFC-01600462B1D2}" type="TxLink">
            <a:rPr lang="en-US" sz="1400" b="0" i="0" u="none" strike="noStrike">
              <a:solidFill>
                <a:schemeClr val="accent6">
                  <a:lumMod val="75000"/>
                </a:schemeClr>
              </a:solidFill>
              <a:latin typeface="Calibri"/>
              <a:ea typeface="Calibri"/>
              <a:cs typeface="Calibri"/>
            </a:rPr>
            <a:pPr algn="ctr"/>
            <a:t>Hoteles: 
5.394 viajeros 
cuota: 100,0%</a:t>
          </a:fld>
          <a:endParaRPr lang="es-ES" sz="1400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0.77039</cdr:x>
      <cdr:y>0.19841</cdr:y>
    </cdr:from>
    <cdr:to>
      <cdr:x>0.98376</cdr:x>
      <cdr:y>0.34296</cdr:y>
    </cdr:to>
    <cdr:sp macro="" textlink="'distribución canarios x cate'!$AA$20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21E849B-B2E6-1154-D44C-15561EF878B3}"/>
            </a:ext>
          </a:extLst>
        </cdr:cNvPr>
        <cdr:cNvSpPr txBox="1"/>
      </cdr:nvSpPr>
      <cdr:spPr>
        <a:xfrm xmlns:a="http://schemas.openxmlformats.org/drawingml/2006/main">
          <a:off x="6528359" y="1005667"/>
          <a:ext cx="1808114" cy="732662"/>
        </a:xfrm>
        <a:prstGeom xmlns:a="http://schemas.openxmlformats.org/drawingml/2006/main" prst="rect">
          <a:avLst/>
        </a:prstGeom>
        <a:ln xmlns:a="http://schemas.openxmlformats.org/drawingml/2006/main" w="3175">
          <a:solidFill>
            <a:schemeClr val="accent4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B227F2D-33F7-4897-8363-626781F97EAE}" type="TxLink">
            <a:rPr lang="en-US" sz="1400" b="0" i="0" u="none" strike="noStrike">
              <a:solidFill>
                <a:schemeClr val="accent4"/>
              </a:solidFill>
              <a:latin typeface="Calibri"/>
              <a:ea typeface="+mn-ea"/>
              <a:cs typeface="Calibri"/>
            </a:rPr>
            <a:pPr marL="0" indent="0" algn="ctr"/>
            <a:t>#¡VALOR!</a:t>
          </a:fld>
          <a:endParaRPr lang="es-ES" sz="1400" b="0" i="0" u="none" strike="noStrike">
            <a:solidFill>
              <a:schemeClr val="accent4"/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CEF5AC6-AE5B-40FF-9FD3-15B6BFE4E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D302C3A-68BD-4CB6-A373-E82DBECD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7366875A-FAAC-4BD7-9FA2-CCCC0779C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6D02E6B-8349-4D03-8A01-4FC739D7A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B529E37-5EBE-4D27-BA42-6CC1AA2EB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españoles x mun al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españoles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2907EB98-23A6-47FE-843A-0F992B8B5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CBC70B0-F624-4A61-871B-B756F36C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B05EB16-165B-48D6-BC74-F7FBE528C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CE5806A6-6437-4437-B32B-100481EE6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4C56F7B-5DA6-4C7B-94B0-2A8840FA7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peninsula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peninsulares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818515</xdr:colOff>
      <xdr:row>21</xdr:row>
      <xdr:rowOff>73025</xdr:rowOff>
    </xdr:from>
    <xdr:to>
      <xdr:col>21</xdr:col>
      <xdr:colOff>59056</xdr:colOff>
      <xdr:row>125</xdr:row>
      <xdr:rowOff>15240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30A0604-1B7C-4273-B168-A54CE25C6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38100</xdr:rowOff>
    </xdr:from>
    <xdr:to>
      <xdr:col>22</xdr:col>
      <xdr:colOff>666750</xdr:colOff>
      <xdr:row>1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CEF8233-08E0-4040-8F45-830B6D4D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0300" y="38100"/>
          <a:ext cx="50482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30</xdr:col>
      <xdr:colOff>552449</xdr:colOff>
      <xdr:row>19</xdr:row>
      <xdr:rowOff>95250</xdr:rowOff>
    </xdr:from>
    <xdr:ext cx="9191626" cy="4545000"/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6C82254-0B08-4601-ACE6-820F84879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589575</xdr:colOff>
      <xdr:row>1</xdr:row>
      <xdr:rowOff>97155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D604097-69A1-4654-8112-5C1231305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0675" cy="478155"/>
        </a:xfrm>
        <a:prstGeom prst="rect">
          <a:avLst/>
        </a:prstGeom>
      </xdr:spPr>
    </xdr:pic>
    <xdr:clientData/>
  </xdr:twoCellAnchor>
  <xdr:twoCellAnchor>
    <xdr:from>
      <xdr:col>0</xdr:col>
      <xdr:colOff>909636</xdr:colOff>
      <xdr:row>20</xdr:row>
      <xdr:rowOff>142873</xdr:rowOff>
    </xdr:from>
    <xdr:to>
      <xdr:col>12</xdr:col>
      <xdr:colOff>76200</xdr:colOff>
      <xdr:row>127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EBFCCDF-9AFF-44E0-8CAC-B39E6A71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0.95573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0A6DA9C-579B-4317-8004-9093C32CC0FD}"/>
            </a:ext>
          </a:extLst>
        </cdr:cNvPr>
        <cdr:cNvSpPr txBox="1"/>
      </cdr:nvSpPr>
      <cdr:spPr>
        <a:xfrm xmlns:a="http://schemas.openxmlformats.org/drawingml/2006/main">
          <a:off x="0" y="4318000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distribución canarias x munici'!$B$1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D057B0D6-92AC-44E6-A3F0-60D32F0574F6}"/>
            </a:ext>
          </a:extLst>
        </cdr:cNvPr>
        <cdr:cNvSpPr txBox="1"/>
      </cdr:nvSpPr>
      <cdr:spPr>
        <a:xfrm xmlns:a="http://schemas.openxmlformats.org/drawingml/2006/main">
          <a:off x="0" y="0"/>
          <a:ext cx="5735539" cy="733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31E5DE-9ED6-468A-966E-E24316C30A9D}" type="TxLink">
            <a:rPr lang="en-US" sz="1600" b="1" i="0" u="none" strike="noStrike" baseline="0">
              <a:solidFill>
                <a:srgbClr val="7B8279"/>
              </a:solidFill>
              <a:effectLst/>
              <a:latin typeface="Calibri"/>
              <a:ea typeface="+mn-ea"/>
              <a:cs typeface="Calibri"/>
            </a:rPr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viajeros canarios entrados en hoteles y apartamentos de Tenerife por municipio de alojamiento</a:t>
          </a:fld>
          <a:endParaRPr lang="en-US" sz="1600" b="1" i="0" u="none" strike="noStrike" baseline="0">
            <a:solidFill>
              <a:srgbClr val="7B8279"/>
            </a:solidFill>
            <a:effectLst/>
            <a:latin typeface="Calibri"/>
            <a:ea typeface="+mn-ea"/>
            <a:cs typeface="Calibri"/>
          </a:endParaRP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0.96396</cdr:y>
    </cdr:from>
    <cdr:to>
      <cdr:x>0.46659</cdr:x>
      <cdr:y>0.99246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835B97E9-A6BA-4699-B50D-73341AE2757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4829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0.12489</cdr:y>
    </cdr:from>
    <cdr:to>
      <cdr:x>1</cdr:x>
      <cdr:y>0.12489</cdr:y>
    </cdr:to>
    <cdr:cxnSp macro="">
      <cdr:nvCxnSpPr>
        <cdr:cNvPr id="6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FE23C6-CFC7-4969-9CB5-AD9AB9F14D6D}"/>
            </a:ext>
          </a:extLst>
        </cdr:cNvPr>
        <cdr:cNvCxnSpPr/>
      </cdr:nvCxnSpPr>
      <cdr:spPr>
        <a:xfrm xmlns:a="http://schemas.openxmlformats.org/drawingml/2006/main">
          <a:off x="3678" y="609064"/>
          <a:ext cx="75020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7" name="1 Conector recto">
          <a:extLst xmlns:a="http://schemas.openxmlformats.org/drawingml/2006/main">
            <a:ext uri="{FF2B5EF4-FFF2-40B4-BE49-F238E27FC236}">
              <a16:creationId xmlns:a16="http://schemas.microsoft.com/office/drawing/2014/main" id="{3BA969A3-DA45-4D06-BE89-EA2703541B1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0.9614</cdr:y>
    </cdr:from>
    <cdr:to>
      <cdr:x>0.71535</cdr:x>
      <cdr:y>1</cdr:y>
    </cdr:to>
    <cdr:sp macro="" textlink="">
      <cdr:nvSpPr>
        <cdr:cNvPr id="2" name="4 CuadroTexto">
          <a:extLst xmlns:a="http://schemas.openxmlformats.org/drawingml/2006/main">
            <a:ext uri="{FF2B5EF4-FFF2-40B4-BE49-F238E27FC236}">
              <a16:creationId xmlns:a16="http://schemas.microsoft.com/office/drawing/2014/main" id="{0D988794-9A26-B8B3-12AC-A4523A2C68C0}"/>
            </a:ext>
          </a:extLst>
        </cdr:cNvPr>
        <cdr:cNvSpPr txBox="1"/>
      </cdr:nvSpPr>
      <cdr:spPr>
        <a:xfrm xmlns:a="http://schemas.openxmlformats.org/drawingml/2006/main">
          <a:off x="0" y="4981576"/>
          <a:ext cx="6530976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4632E7-ECF1-428A-83ED-E121E87F9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0B58C69-97FA-45E5-9F59-5FCC6354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3D582A-E022-407E-AEB9-114313E8E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españo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españoles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F981CA-3229-4CBD-939C-5A56FB5DB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5C74396-AC23-4176-907C-C683697E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C363C01-2E93-4E8C-BCF8-7F06EEAA2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penins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peninsulares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457199</xdr:colOff>
      <xdr:row>2</xdr:row>
      <xdr:rowOff>114299</xdr:rowOff>
    </xdr:from>
    <xdr:to>
      <xdr:col>15</xdr:col>
      <xdr:colOff>355199</xdr:colOff>
      <xdr:row>24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2631F2-1E5D-449B-968A-288B96D3D0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847725</xdr:colOff>
      <xdr:row>3</xdr:row>
      <xdr:rowOff>714375</xdr:rowOff>
    </xdr:to>
    <xdr:pic>
      <xdr:nvPicPr>
        <xdr:cNvPr id="3" name="Imagen 2" descr="Iconos Png Gratis Resume Volver Icono Descarga Gratuita - Pump ...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B4A1EE-64C6-4A49-95C2-A067163D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6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19125"/>
          <a:ext cx="7620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866775</xdr:colOff>
      <xdr:row>2</xdr:row>
      <xdr:rowOff>133631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D9EA0B6-7118-4159-AFE2-374A87704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85950" cy="514631"/>
        </a:xfrm>
        <a:prstGeom prst="rect">
          <a:avLst/>
        </a:prstGeom>
      </xdr:spPr>
    </xdr:pic>
    <xdr:clientData/>
  </xdr:twoCellAnchor>
</xdr:wsDr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0.96197</cdr:y>
    </cdr:from>
    <cdr:to>
      <cdr:x>0.51546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3F3C333A-74BE-4B15-A334-38708C5CCB3A}"/>
            </a:ext>
          </a:extLst>
        </cdr:cNvPr>
        <cdr:cNvSpPr txBox="1"/>
      </cdr:nvSpPr>
      <cdr:spPr>
        <a:xfrm xmlns:a="http://schemas.openxmlformats.org/drawingml/2006/main">
          <a:off x="0" y="4095750"/>
          <a:ext cx="3809972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65000"/>
                  <a:lumOff val="35000"/>
                </a:schemeClr>
              </a:solidFill>
            </a:rPr>
            <a:t>FUENTE: Encuestas Alojamientos Turísticos (ISTAC).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0.00391</cdr:y>
    </cdr:from>
    <cdr:to>
      <cdr:x>0.97423</cdr:x>
      <cdr:y>0.1721</cdr:y>
    </cdr:to>
    <cdr:sp macro="" textlink="'evolución anual viaj ent canari'!$B$4:$D$4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94AAEC51-F9F8-42F1-82A2-DC0F2CA03A46}"/>
            </a:ext>
          </a:extLst>
        </cdr:cNvPr>
        <cdr:cNvSpPr txBox="1"/>
      </cdr:nvSpPr>
      <cdr:spPr>
        <a:xfrm xmlns:a="http://schemas.openxmlformats.org/drawingml/2006/main">
          <a:off x="0" y="14283"/>
          <a:ext cx="7200900" cy="614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0C01995-918E-4030-8C15-D1CA634D2456}" type="TxLink">
            <a:rPr lang="en-US" sz="1600" b="1" i="0" u="none" strike="noStrike">
              <a:solidFill>
                <a:srgbClr val="595959"/>
              </a:solidFill>
              <a:latin typeface="Calibri"/>
              <a:ea typeface="Calibri"/>
              <a:cs typeface="Calibri"/>
            </a:rPr>
            <a:pPr/>
            <a:t>Evolución de viajeros canarios entrados en los establecimientos alojativos de San Cristóbal de La Laguna
(hotel + apartamento)</a:t>
          </a:fld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8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9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0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1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5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6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7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8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9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0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1.xml><?xml version="1.0" encoding="utf-8"?>
<a:themeOverride xmlns:a="http://schemas.openxmlformats.org/drawingml/2006/main">
  <a:clrScheme name="Office 2007-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2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3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4.xml><?xml version="1.0" encoding="utf-8"?>
<a:themeOverride xmlns:a="http://schemas.openxmlformats.org/drawingml/2006/main">
  <a:clrScheme name="Verde azulado">
    <a:dk1>
      <a:sysClr val="windowText" lastClr="000000"/>
    </a:dk1>
    <a:lt1>
      <a:sysClr val="window" lastClr="FFFFFF"/>
    </a:lt1>
    <a:dk2>
      <a:srgbClr val="373545"/>
    </a:dk2>
    <a:lt2>
      <a:srgbClr val="CEDBE6"/>
    </a:lt2>
    <a:accent1>
      <a:srgbClr val="3494BA"/>
    </a:accent1>
    <a:accent2>
      <a:srgbClr val="58B6C0"/>
    </a:accent2>
    <a:accent3>
      <a:srgbClr val="75BDA7"/>
    </a:accent3>
    <a:accent4>
      <a:srgbClr val="7A8C8E"/>
    </a:accent4>
    <a:accent5>
      <a:srgbClr val="84ACB6"/>
    </a:accent5>
    <a:accent6>
      <a:srgbClr val="2683C6"/>
    </a:accent6>
    <a:hlink>
      <a:srgbClr val="6B9F25"/>
    </a:hlink>
    <a:folHlink>
      <a:srgbClr val="9F6715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68176-C413-45C4-810F-37A47C2D56CE}">
  <dimension ref="B1:M56"/>
  <sheetViews>
    <sheetView showGridLines="0" tabSelected="1" workbookViewId="0"/>
  </sheetViews>
  <sheetFormatPr baseColWidth="10" defaultRowHeight="15" x14ac:dyDescent="0.25"/>
  <cols>
    <col min="1" max="1" width="13.7109375" customWidth="1"/>
    <col min="2" max="2" width="147.7109375" customWidth="1"/>
  </cols>
  <sheetData>
    <row r="1" spans="2:13" x14ac:dyDescent="0.25">
      <c r="B1" s="1" t="s">
        <v>0</v>
      </c>
    </row>
    <row r="2" spans="2:13" ht="36" x14ac:dyDescent="0.55000000000000004">
      <c r="B2" s="2" t="s">
        <v>1</v>
      </c>
      <c r="M2" t="e">
        <f>#REF!/#REF!</f>
        <v>#REF!</v>
      </c>
    </row>
    <row r="3" spans="2:13" ht="36" x14ac:dyDescent="0.55000000000000004">
      <c r="B3" s="2" t="s">
        <v>51</v>
      </c>
    </row>
    <row r="4" spans="2:13" ht="24" x14ac:dyDescent="0.4">
      <c r="B4" s="3" t="s">
        <v>209</v>
      </c>
    </row>
    <row r="5" spans="2:13" x14ac:dyDescent="0.25">
      <c r="B5" s="4"/>
    </row>
    <row r="6" spans="2:13" ht="21.75" thickBot="1" x14ac:dyDescent="0.4">
      <c r="B6" s="5" t="s">
        <v>2</v>
      </c>
    </row>
    <row r="7" spans="2:13" ht="15.75" thickTop="1" x14ac:dyDescent="0.25"/>
    <row r="8" spans="2:13" ht="15.75" x14ac:dyDescent="0.25">
      <c r="B8" s="6" t="s">
        <v>210</v>
      </c>
    </row>
    <row r="9" spans="2:13" ht="15.75" x14ac:dyDescent="0.25">
      <c r="B9" s="6" t="s">
        <v>3</v>
      </c>
    </row>
    <row r="10" spans="2:13" ht="15.75" x14ac:dyDescent="0.25">
      <c r="B10" s="6"/>
    </row>
    <row r="11" spans="2:13" ht="19.5" thickBot="1" x14ac:dyDescent="0.35">
      <c r="B11" s="7" t="s">
        <v>4</v>
      </c>
    </row>
    <row r="12" spans="2:13" ht="18.75" x14ac:dyDescent="0.3">
      <c r="B12" s="8"/>
    </row>
    <row r="13" spans="2:13" ht="15.75" x14ac:dyDescent="0.25">
      <c r="B13" s="6" t="s">
        <v>5</v>
      </c>
    </row>
    <row r="14" spans="2:13" ht="15.75" x14ac:dyDescent="0.25">
      <c r="B14" s="6" t="s">
        <v>6</v>
      </c>
    </row>
    <row r="15" spans="2:13" x14ac:dyDescent="0.25">
      <c r="B15" s="9"/>
    </row>
    <row r="16" spans="2:13" ht="19.5" thickBot="1" x14ac:dyDescent="0.35">
      <c r="B16" s="7" t="s">
        <v>7</v>
      </c>
    </row>
    <row r="17" spans="2:2" ht="15.75" x14ac:dyDescent="0.25">
      <c r="B17" s="6"/>
    </row>
    <row r="18" spans="2:2" ht="15.75" x14ac:dyDescent="0.25">
      <c r="B18" s="10" t="s">
        <v>8</v>
      </c>
    </row>
    <row r="19" spans="2:2" ht="15.75" x14ac:dyDescent="0.25">
      <c r="B19" s="6" t="s">
        <v>211</v>
      </c>
    </row>
    <row r="20" spans="2:2" ht="15.75" x14ac:dyDescent="0.25">
      <c r="B20" s="6" t="s">
        <v>212</v>
      </c>
    </row>
    <row r="21" spans="2:2" ht="15.75" x14ac:dyDescent="0.25">
      <c r="B21" s="6" t="s">
        <v>213</v>
      </c>
    </row>
    <row r="22" spans="2:2" ht="15.75" x14ac:dyDescent="0.25">
      <c r="B22" s="6" t="s">
        <v>9</v>
      </c>
    </row>
    <row r="23" spans="2:2" ht="15.75" x14ac:dyDescent="0.25">
      <c r="B23" s="6" t="s">
        <v>10</v>
      </c>
    </row>
    <row r="24" spans="2:2" ht="15.75" x14ac:dyDescent="0.25">
      <c r="B24" s="6" t="s">
        <v>11</v>
      </c>
    </row>
    <row r="25" spans="2:2" ht="15.75" x14ac:dyDescent="0.25">
      <c r="B25" s="6" t="s">
        <v>12</v>
      </c>
    </row>
    <row r="26" spans="2:2" ht="15.75" x14ac:dyDescent="0.25">
      <c r="B26" s="6" t="s">
        <v>13</v>
      </c>
    </row>
    <row r="27" spans="2:2" ht="15.75" x14ac:dyDescent="0.25">
      <c r="B27" s="6" t="s">
        <v>14</v>
      </c>
    </row>
    <row r="28" spans="2:2" ht="15.75" x14ac:dyDescent="0.25">
      <c r="B28" s="6" t="s">
        <v>15</v>
      </c>
    </row>
    <row r="29" spans="2:2" ht="15.75" x14ac:dyDescent="0.25">
      <c r="B29" s="6" t="s">
        <v>16</v>
      </c>
    </row>
    <row r="30" spans="2:2" ht="15.75" x14ac:dyDescent="0.25">
      <c r="B30" s="6" t="s">
        <v>17</v>
      </c>
    </row>
    <row r="31" spans="2:2" ht="15.75" x14ac:dyDescent="0.25">
      <c r="B31" s="10" t="s">
        <v>18</v>
      </c>
    </row>
    <row r="32" spans="2:2" ht="15.75" x14ac:dyDescent="0.25">
      <c r="B32" s="6" t="s">
        <v>19</v>
      </c>
    </row>
    <row r="33" spans="2:2" ht="15.75" x14ac:dyDescent="0.25">
      <c r="B33" s="6" t="s">
        <v>20</v>
      </c>
    </row>
    <row r="34" spans="2:2" ht="15.75" x14ac:dyDescent="0.25">
      <c r="B34" s="10" t="s">
        <v>21</v>
      </c>
    </row>
    <row r="35" spans="2:2" ht="15.75" x14ac:dyDescent="0.25">
      <c r="B35" s="6" t="s">
        <v>214</v>
      </c>
    </row>
    <row r="36" spans="2:2" ht="15.75" x14ac:dyDescent="0.25">
      <c r="B36" s="6" t="s">
        <v>215</v>
      </c>
    </row>
    <row r="37" spans="2:2" ht="15.75" x14ac:dyDescent="0.25">
      <c r="B37" s="6" t="str">
        <f>CONCATENATE("Pernoctaciones en los establecimientos alojativos de Tenerife según lugar de residencia y municipio de alojamiento (hotel + apartamento) - mes")</f>
        <v>Pernoctaciones en los establecimientos alojativos de Tenerife según lugar de residencia y municipio de alojamiento (hotel + apartamento) - mes</v>
      </c>
    </row>
    <row r="38" spans="2:2" ht="15.75" x14ac:dyDescent="0.25">
      <c r="B38" s="6" t="str">
        <f>CONCATENATE("Pernoctaciones en los establecimientos alojativos de Tenerife según lugar de residencia y municipio de alojamiento (hotel + apartamento) - acumulado")</f>
        <v>Pernoctaciones en los establecimientos alojativos de Tenerife según lugar de residencia y municipio de alojamiento (hotel + apartamento) - acumulado</v>
      </c>
    </row>
    <row r="39" spans="2:2" ht="15.75" x14ac:dyDescent="0.25">
      <c r="B39" s="6" t="str">
        <f>CONCATENATE("Pernoctaciones en los establecimientos alojativos de Tenerife según lugar de residencia y municipio de alojamiento (hotel + apartamento) - año")</f>
        <v>Pernoctaciones en los establecimientos alojativos de Tenerife según lugar de residencia y municipio de alojamiento (hotel + apartamento) - año</v>
      </c>
    </row>
    <row r="40" spans="2:2" ht="15.75" x14ac:dyDescent="0.25">
      <c r="B40" s="10" t="s">
        <v>22</v>
      </c>
    </row>
    <row r="41" spans="2:2" ht="15.75" x14ac:dyDescent="0.25">
      <c r="B41" s="6" t="s">
        <v>216</v>
      </c>
    </row>
    <row r="42" spans="2:2" ht="15.75" x14ac:dyDescent="0.25">
      <c r="B42" s="6" t="s">
        <v>217</v>
      </c>
    </row>
    <row r="43" spans="2:2" ht="15.75" x14ac:dyDescent="0.25">
      <c r="B43" s="10" t="s">
        <v>23</v>
      </c>
    </row>
    <row r="44" spans="2:2" ht="15.75" x14ac:dyDescent="0.25">
      <c r="B44" s="6" t="s">
        <v>218</v>
      </c>
    </row>
    <row r="45" spans="2:2" ht="15.75" x14ac:dyDescent="0.25">
      <c r="B45" s="10" t="s">
        <v>24</v>
      </c>
    </row>
    <row r="46" spans="2:2" ht="31.5" x14ac:dyDescent="0.25">
      <c r="B46" s="11" t="s">
        <v>25</v>
      </c>
    </row>
    <row r="47" spans="2:2" ht="15.75" x14ac:dyDescent="0.25">
      <c r="B47" s="11" t="s">
        <v>26</v>
      </c>
    </row>
    <row r="48" spans="2:2" ht="15.75" x14ac:dyDescent="0.25">
      <c r="B48" s="11" t="s">
        <v>27</v>
      </c>
    </row>
    <row r="49" spans="2:2" ht="15.75" x14ac:dyDescent="0.25">
      <c r="B49" s="10" t="s">
        <v>28</v>
      </c>
    </row>
    <row r="50" spans="2:2" ht="15.75" x14ac:dyDescent="0.25">
      <c r="B50" s="6" t="s">
        <v>219</v>
      </c>
    </row>
    <row r="51" spans="2:2" ht="15.75" x14ac:dyDescent="0.25">
      <c r="B51" s="6" t="s">
        <v>220</v>
      </c>
    </row>
    <row r="52" spans="2:2" ht="15.75" x14ac:dyDescent="0.25">
      <c r="B52" s="6" t="s">
        <v>221</v>
      </c>
    </row>
    <row r="53" spans="2:2" ht="15.75" x14ac:dyDescent="0.25">
      <c r="B53" s="6" t="s">
        <v>222</v>
      </c>
    </row>
    <row r="54" spans="2:2" ht="15.75" x14ac:dyDescent="0.25">
      <c r="B54" s="6" t="s">
        <v>29</v>
      </c>
    </row>
    <row r="55" spans="2:2" ht="15.75" x14ac:dyDescent="0.25">
      <c r="B55" s="6" t="s">
        <v>30</v>
      </c>
    </row>
    <row r="56" spans="2:2" ht="15.75" x14ac:dyDescent="0.25">
      <c r="B56" s="6" t="s">
        <v>31</v>
      </c>
    </row>
  </sheetData>
  <hyperlinks>
    <hyperlink ref="B13" location="'Plazas aloj islas cat y tipolog'!A1" tooltip="Plazas alojativas Canarias e islas" display="Plazas alojativas Canarias e islas" xr:uid="{3B27B3B9-C650-416C-A4E2-36D572B5CE03}"/>
    <hyperlink ref="B19" location="'Viajeros entr evol mensu TF'!A1" tooltip="Evolución mensual de viajeros entrentrados en Tenerife según lugar de residencia" display="Evolución mensual de viajeros entrados en Tenerife según lugar de residencia" xr:uid="{6596174D-4811-4090-9465-FD5095ADCF25}"/>
    <hyperlink ref="B14" location="'Establecim aloj islas cat y tip'!A1" tooltip="Establecimientos alojativos Canarias e islas" display="Establecimientos alojativos Canarias e islas" xr:uid="{5ACDE063-6DD5-48BD-8EDA-F7493E116F18}"/>
    <hyperlink ref="B32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mes" xr:uid="{DDD60270-BC0F-4B28-B2AE-D513A33736B5}"/>
    <hyperlink ref="B23" location="'Viajeros entr ti-cat ultimo mes'!A1" tooltip="Viajeros entrados en los establecimientos alojativos de Tenerife por municipio y categoría " display="Viajeros entrados en los establecimientos alojativos de Tenerife por municipio y categoría " xr:uid="{95F7A2BB-0929-48A6-89BD-753EFD67F3E8}"/>
    <hyperlink ref="B37" location="'Pernoctaciones lugar reside'!A1" tooltip="Pernoctaciones registradas en establecimientos alojativos de Canarias e islas según tipología y categoría" display="'Pernoctaciones lugar reside'!A1" xr:uid="{A87CD5E2-DDE4-406E-8383-C6F00E8E6FAA}"/>
    <hyperlink ref="B8" location="'Resumen indicadores (aloj)'!A1" tooltip="Resumen indicadores Tenerife" display="'Resumen indicadores (aloj)'!A1" xr:uid="{A32127BC-7451-4A6F-B3B3-1749DB35C498}"/>
    <hyperlink ref="B9" location="'Resumen indicadores municipios '!A1" tooltip="Resumen indicadores municipios Tenerife" display="Resumen indicadores municipios Tenerife" xr:uid="{B42B014E-0CEB-4B9A-A58C-60E8F6E93DA8}"/>
    <hyperlink ref="B20" location="'Viajeros entr evol mensu TF cat'!A1" tooltip="Evolución mensual de viajeros entrentrados en Tenerife según lugar de residencia" display="'Viajeros entr evol mensu TF cat'!A1" xr:uid="{7B4A2E26-AE59-416E-BFFD-5CE1CBFA8E0B}"/>
    <hyperlink ref="B21" location="'Viajeros entr evol anual TF cat'!A1" tooltip="Evolución mensual de viajeros entrentrados en Tenerife según lugar de residencia" display="'Viajeros entr evol anual TF cat'!A1" xr:uid="{DEF99DD3-367E-4C24-903F-0AF866ED1F7A}"/>
    <hyperlink ref="B33" location="'viaj aloj lugar residen mes'!A1" tooltip="Viajeros alojados en los establecimientos alojativos de Tenerife según lugar de residencia y municipio de alojamiento" display="Viajeros alojados en los establecimientos alojativos de Tenerife según lugar de residencia y municipio de alojamiento - acumulado" xr:uid="{A3B3BCFD-436E-4A5B-8F75-6F40631B8CD8}"/>
    <hyperlink ref="B24" location="'viaj entrados lugar resid años '!A1" tooltip="Viajeros entrados en los establecimientos alojativos de Tenerife según lugar de residencia y municipio de alojamiento" display="Viajeros entrados en los establecimientos alojativos de Tenerife según lugar de residencia y municipio de alojamiento - año" xr:uid="{1AAEC192-9FCD-42E1-A734-FA44F78C426E}"/>
    <hyperlink ref="B25" location="'viaj entrados lugar residencia'!A1" tooltip="Viajeros entrados en los establecimientos alojativos de Tenerife según lugar de residencia y municipio de alojamiento" display="Viajeros entrados en los establecimientos alojativos de Tenerife según lugar de residencia y municipio de alojamiento - mes" xr:uid="{064EDA0F-1C08-4E84-9A38-87767D1A6CE3}"/>
    <hyperlink ref="B26" location="'viaj entrados lugar residen acu'!A1" tooltip="Viajeros entrados en los establecimientos alojativos de Tenerife según lugar de residencia y municipio de alojamiento" display="Viajeros entrados en los establecimientos alojativos de Tenerife según lugar de residencia y municipio de alojamiento - acumulado" xr:uid="{207FBF72-EE03-4889-B145-7AA590CE5810}"/>
    <hyperlink ref="B27:B28" location="'viaj entrados lugar residen acu'!A1" tooltip="Viajeros entrados en los establecimientos alojativos de según lugar de residencia y municipio de alojamiento" display="Viajeros entrados en los establecimientos alojativos de según lugar de residencia y municipio de alojamiento - acumulado" xr:uid="{53A41199-20AF-4392-BE48-8D424FC1B4B7}"/>
    <hyperlink ref="B27" location="'viaj entrados lugar residen hot'!A1" tooltip="Viajeros entrados en los hoteles de Tenerife según lugar de residencia y municipio de alojamiento - acumulado" display="Viajeros entrados en los hoteles de Tenerife según lugar de residencia y municipio de alojamiento - acumulado" xr:uid="{4288203D-C527-4905-B8DF-2357BD12007C}"/>
    <hyperlink ref="B29" location="'viaj entrados lugar residen cat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cumulado" xr:uid="{244C993E-BE22-466D-818A-5904FFB019BE}"/>
    <hyperlink ref="B28" location="'viaj entrados lugar residen apt'!A1" tooltip="Viajeros entrados en los apartamentos de Tenerife según lugar de residencia y municipio de alojamiento" display="Viajeros entrados en los apartamentos de Tenerife según lugar de residencia y municipio de alojamiento - acumulado" xr:uid="{BD055B4A-94EA-40CF-BD97-9324D85604B8}"/>
    <hyperlink ref="B30" location="'viaj entr lugar res año categor'!A1" tooltip="Viajeros entrados en los establecimientos hoteleros de Tenerife según lugar de residencia, categoría y municipio del alojamiento" display="Viajeros entrados en los establecimientos hoteleros de Tenerife según lugar de residencia, categoría y municipio del alojamiento - año" xr:uid="{3DCAFCD6-0EB1-4957-A840-253A5BEDE86B}"/>
    <hyperlink ref="B50" location="'distribución españoles x Resid'!A1" tooltip="=CONCATENAR(&quot;Viajeros españoles entrados en los hoteles y apartamentos de &quot;;Actualizaciones!$B$3;&quot; según lugar de residencia&quot;)" display="=CONCATENAR(&quot;Viajeros españoles entrados en los hoteles y apartamentos de &quot;;Actualizaciones!$B$3;&quot; según lugar de residencia - acumulado&quot;)" xr:uid="{10413FA4-8B2D-4978-9198-4CC2C53C2450}"/>
    <hyperlink ref="B22" location="'distribución españoles x mun al'!A1" tooltip="Viajeros peninsulares entrados en los hoteles y apartamentos de Tenerife por municipio de alojamiento" display="Viajeros peninsulares entrados en los hoteles y apartamentos de Tenerife por municipio de alojamiento - acumulado" xr:uid="{D8D93D5F-8AB4-4E06-902F-245864CAD8D7}"/>
    <hyperlink ref="B53" location="'distribución canarias x munici'!A1" tooltip="=CONCATENAR(&quot;Viajeros canarios entrados en los hoteles y apartamentos de &quot;;Actualizaciones!$B$3;&quot; por tipología y categoría de alojamiento&quot;)" display="'distribución canarias x munici'!A1" xr:uid="{9C122514-B572-406B-8941-3163418BA1CB}"/>
    <hyperlink ref="B35" location="'Pernoctaciones evol mensu TF'!A1" tooltip="Evolución mensual de pernoctaciones en Tenerife según lugar de residencia" display="'Pernoctaciones evol mensu TF'!A1" xr:uid="{6BAF8CC9-B59A-431B-B302-99769D3C0C7C}"/>
    <hyperlink ref="B36" location="'Pernocta evol mensu TF cat'!A1" tooltip="Evolución mensual de pernoctaciones en Tenerife según lugar de residencia" display="'Pernocta evol mensu TF cat'!A1" xr:uid="{C287D068-4C9D-4720-B443-D3BEE34DFFD8}"/>
    <hyperlink ref="B38" location="'Pernoctaciones lugar residen ac'!A1" tooltip="Pernoctaciones registradas en establecimientos alojativos de Canarias e islas según tipología y categoría" display="'Pernoctaciones lugar residen ac'!A1" xr:uid="{E47E0684-4BF7-4673-8968-ED5671BF8FF8}"/>
    <hyperlink ref="B39" location="'Pernoctaciones lugar reside año'!A1" tooltip="Pernoctaciones registradas en establecimientos alojativos de Canarias e islas según tipología y categoría" display="'Pernoctaciones lugar reside año'!A1" xr:uid="{A3FF687C-5681-4B69-8409-8D3AD70E20C6}"/>
    <hyperlink ref="B46" location="'ADR RevPAR ingresos totales ult'!A1" tooltip="Pernoctaciones registradas en establecimientos alojativos de Canarias e islas según tipología y categoría" display="Tarifa media diaria ADR por habitación en los establecimientos alojativos Tenerife por municipio  (hotel + apartamento) " xr:uid="{E452D1F0-63E5-4C13-A14E-19CC7768B6CF}"/>
    <hyperlink ref="B41" location="'EM evol menusual lugar resd'!A1" tooltip="Evolución mensual de estancia media en Tenerife según lugar de residencia" display="'EM evol menusual lugar resd'!A1" xr:uid="{46488923-B0A8-4A65-A66D-EB1DA3C67D03}"/>
    <hyperlink ref="B42" location="'EM evol mensu TF cat '!A1" tooltip="Evolución mensual de estancia media en Tenerife según lugar de residencia" display="'EM evol mensu TF cat '!A1" xr:uid="{97A1BDDC-AB7E-4B4E-B5EB-6677BC1FE63F}"/>
    <hyperlink ref="B44" location="'tasa de ocupación evol mens'!A1" tooltip="Evolución mensual de estancia media en Tenerife según lugar de residencia" display="'tasa de ocupación evol mens'!A1" xr:uid="{01CB2ECB-E85F-424C-867C-33E66EA09568}"/>
    <hyperlink ref="B52" location="'distribución peninsula x munici'!A1" tooltip="=CONCATENAR(&quot;Viajeros peninsulares entrados en los hoteles y apartamentos de &quot;;Actualizaciones!$B$3;&quot; por tipología y categoría de alojamiento&quot;)" display="'distribución peninsula x munici'!A1" xr:uid="{5FFF8B8D-0CAE-4F23-88D5-3B2E063E14AA}"/>
    <hyperlink ref="B51" location="'distribución españoles x mun al'!A1" tooltip="=CONCATENAR(&quot;Viajeros españoles entrados en los hoteles y apartamentos de &quot;;Actualizaciones!$B$3;&quot; por tipología y categoría de alojamiento&quot;)" display="'distribución españoles x mun al'!A1" xr:uid="{0C8BBACF-4E70-4609-8ADD-6DE5505ABF28}"/>
    <hyperlink ref="B54" location="'evolución anual viaj ent españo'!A1" tooltip="Viajeros españoles entrados en los hoteles y apartamentos de Tenerife por municipio de alojamiento" display="Viajeros españoles entrados en los hoteles y apartamentos de Tenerife por municipio de alojamiento" xr:uid="{D43F9AE3-3CA0-4C12-91CD-38B5C620AE79}"/>
    <hyperlink ref="B55" location="'evolución anual viaj ent penins'!A1" tooltip="Viajeros peninsulares entrados en los hoteles y apartamentos de Tenerife por municipio de alojamiento" display="Viajeros peninsulares entrados en los hoteles y apartamentos de Tenerife por municipio de alojamiento" xr:uid="{701087E4-1949-4B41-AFF1-26FC70E568B1}"/>
    <hyperlink ref="B56" location="'evolución anual viaj ent canari'!A1" tooltip="Viajeros canarios entrados en los hoteles y apartamentos de Tenerife por municipio de alojamiento" display="Viajeros canarios entrados en los hoteles y apartamentos de Tenerife por municipio de alojamiento" xr:uid="{21FA7435-DD05-4E71-BB0C-A2632814A83C}"/>
    <hyperlink ref="B47" location="'ADR municipios'!A1" display="Tarifa media diaria (ADR) Tenerife y municipios" xr:uid="{5DA6DFAF-88CC-4FCC-9994-6925B9F74D4C}"/>
    <hyperlink ref="B48" location="'RevPAR  municipios'!A1" display="Ingresos medios por habitación (RevPar) Tenerife y municipios" xr:uid="{056A96A8-F9CA-4D10-8F9A-299E69DAE22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6C232-D742-45C3-990E-36E913C661E2}">
  <sheetPr>
    <tabColor theme="8" tint="0.59999389629810485"/>
  </sheetPr>
  <dimension ref="A4:L77"/>
  <sheetViews>
    <sheetView showGridLines="0" zoomScaleNormal="100" workbookViewId="0"/>
  </sheetViews>
  <sheetFormatPr baseColWidth="10" defaultColWidth="11.42578125" defaultRowHeight="15" x14ac:dyDescent="0.25"/>
  <cols>
    <col min="3" max="3" width="16.85546875" customWidth="1"/>
    <col min="4" max="4" width="15.5703125" customWidth="1"/>
    <col min="5" max="9" width="12.7109375" customWidth="1"/>
    <col min="12" max="12" width="12" customWidth="1"/>
  </cols>
  <sheetData>
    <row r="4" spans="2:12" ht="21.75" thickBot="1" x14ac:dyDescent="0.3">
      <c r="B4" s="278" t="s">
        <v>223</v>
      </c>
      <c r="C4" s="278"/>
      <c r="D4" s="278"/>
      <c r="E4" s="278"/>
      <c r="F4" s="278"/>
      <c r="G4" s="278"/>
      <c r="H4" s="278"/>
      <c r="I4" s="278"/>
      <c r="J4" s="278"/>
      <c r="K4" s="278"/>
      <c r="L4" s="12"/>
    </row>
    <row r="5" spans="2:12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junio 2025</v>
      </c>
    </row>
    <row r="7" spans="2:12" x14ac:dyDescent="0.25">
      <c r="B7" s="279" t="s">
        <v>51</v>
      </c>
      <c r="C7" s="282" t="s">
        <v>8</v>
      </c>
      <c r="D7" s="15" t="s">
        <v>32</v>
      </c>
      <c r="E7" s="16">
        <v>2494</v>
      </c>
      <c r="F7" s="16">
        <v>4520</v>
      </c>
      <c r="G7" s="16">
        <v>4181</v>
      </c>
      <c r="H7" s="16">
        <v>3964</v>
      </c>
      <c r="I7" s="16">
        <v>4119</v>
      </c>
      <c r="J7" s="17">
        <f>I7/H7-1</f>
        <v>3.9101917255297769E-2</v>
      </c>
      <c r="K7" s="16">
        <f>I7-H7</f>
        <v>155</v>
      </c>
      <c r="L7" s="18">
        <f>I7/$I$7</f>
        <v>1</v>
      </c>
    </row>
    <row r="8" spans="2:12" x14ac:dyDescent="0.25">
      <c r="B8" s="280"/>
      <c r="C8" s="283"/>
      <c r="D8" s="19" t="s">
        <v>33</v>
      </c>
      <c r="E8" s="20">
        <v>2494</v>
      </c>
      <c r="F8" s="20">
        <v>4520</v>
      </c>
      <c r="G8" s="20">
        <v>4181</v>
      </c>
      <c r="H8" s="20">
        <v>3964</v>
      </c>
      <c r="I8" s="20">
        <v>4119</v>
      </c>
      <c r="J8" s="21">
        <f t="shared" ref="J8:J20" si="0">I8/H8-1</f>
        <v>3.9101917255297769E-2</v>
      </c>
      <c r="K8" s="20">
        <f t="shared" ref="K8:K17" si="1">I8-H8</f>
        <v>155</v>
      </c>
      <c r="L8" s="22">
        <f>I8/$I$7</f>
        <v>1</v>
      </c>
    </row>
    <row r="9" spans="2:12" x14ac:dyDescent="0.25">
      <c r="B9" s="280"/>
      <c r="C9" s="284"/>
      <c r="D9" s="23" t="s">
        <v>34</v>
      </c>
      <c r="E9" s="24" t="s">
        <v>229</v>
      </c>
      <c r="F9" s="24" t="s">
        <v>229</v>
      </c>
      <c r="G9" s="24" t="s">
        <v>229</v>
      </c>
      <c r="H9" s="24" t="s">
        <v>229</v>
      </c>
      <c r="I9" s="24" t="s">
        <v>229</v>
      </c>
      <c r="J9" s="25" t="str">
        <f>IFERROR(I9/H9-1,"-")</f>
        <v>-</v>
      </c>
      <c r="K9" s="24" t="str">
        <f>IFERROR(I9-H9,"-")</f>
        <v>-</v>
      </c>
      <c r="L9" s="25" t="str">
        <f>IFERROR(I9/$I$7,"-")</f>
        <v>-</v>
      </c>
    </row>
    <row r="10" spans="2:12" x14ac:dyDescent="0.25">
      <c r="B10" s="280"/>
      <c r="C10" s="285" t="s">
        <v>35</v>
      </c>
      <c r="D10" s="26" t="s">
        <v>32</v>
      </c>
      <c r="E10" s="27">
        <v>2578</v>
      </c>
      <c r="F10" s="27">
        <v>4491</v>
      </c>
      <c r="G10" s="27">
        <v>4369</v>
      </c>
      <c r="H10" s="27">
        <v>4153</v>
      </c>
      <c r="I10" s="27">
        <v>4247</v>
      </c>
      <c r="J10" s="28">
        <f t="shared" si="0"/>
        <v>2.2634240308210929E-2</v>
      </c>
      <c r="K10" s="27">
        <f t="shared" si="1"/>
        <v>94</v>
      </c>
      <c r="L10" s="18">
        <f>I10/$I$10</f>
        <v>1</v>
      </c>
    </row>
    <row r="11" spans="2:12" x14ac:dyDescent="0.25">
      <c r="B11" s="280"/>
      <c r="C11" s="286"/>
      <c r="D11" s="4" t="s">
        <v>33</v>
      </c>
      <c r="E11" s="29">
        <v>2578</v>
      </c>
      <c r="F11" s="29">
        <v>4491</v>
      </c>
      <c r="G11" s="29">
        <v>4369</v>
      </c>
      <c r="H11" s="29">
        <v>4153</v>
      </c>
      <c r="I11" s="29">
        <v>4247</v>
      </c>
      <c r="J11" s="30">
        <f t="shared" si="0"/>
        <v>2.2634240308210929E-2</v>
      </c>
      <c r="K11" s="29">
        <f t="shared" si="1"/>
        <v>94</v>
      </c>
      <c r="L11" s="31">
        <f>I11/$I$10</f>
        <v>1</v>
      </c>
    </row>
    <row r="12" spans="2:12" x14ac:dyDescent="0.25">
      <c r="B12" s="280"/>
      <c r="C12" s="287"/>
      <c r="D12" s="32" t="s">
        <v>34</v>
      </c>
      <c r="E12" s="33" t="s">
        <v>229</v>
      </c>
      <c r="F12" s="33" t="s">
        <v>229</v>
      </c>
      <c r="G12" s="33" t="s">
        <v>229</v>
      </c>
      <c r="H12" s="33" t="s">
        <v>229</v>
      </c>
      <c r="I12" s="33" t="s">
        <v>229</v>
      </c>
      <c r="J12" s="34" t="str">
        <f>IFERROR(I12/H12-1,"-")</f>
        <v>-</v>
      </c>
      <c r="K12" s="33" t="str">
        <f>IFERROR(I12-H12,"-")</f>
        <v>-</v>
      </c>
      <c r="L12" s="34" t="str">
        <f>IFERROR(I12/$I$10,"-")</f>
        <v>-</v>
      </c>
    </row>
    <row r="13" spans="2:12" x14ac:dyDescent="0.25">
      <c r="B13" s="280"/>
      <c r="C13" s="282" t="s">
        <v>21</v>
      </c>
      <c r="D13" s="15" t="s">
        <v>32</v>
      </c>
      <c r="E13" s="16">
        <v>5487</v>
      </c>
      <c r="F13" s="16">
        <v>11277</v>
      </c>
      <c r="G13" s="16">
        <v>10373</v>
      </c>
      <c r="H13" s="16">
        <v>10115</v>
      </c>
      <c r="I13" s="16">
        <v>11658</v>
      </c>
      <c r="J13" s="17">
        <f t="shared" si="0"/>
        <v>0.15254572417202183</v>
      </c>
      <c r="K13" s="16">
        <f t="shared" si="1"/>
        <v>1543</v>
      </c>
      <c r="L13" s="18">
        <f>I13/$I$13</f>
        <v>1</v>
      </c>
    </row>
    <row r="14" spans="2:12" x14ac:dyDescent="0.25">
      <c r="B14" s="280"/>
      <c r="C14" s="283"/>
      <c r="D14" s="19" t="s">
        <v>33</v>
      </c>
      <c r="E14" s="20">
        <v>5487</v>
      </c>
      <c r="F14" s="20">
        <v>11277</v>
      </c>
      <c r="G14" s="20">
        <v>10373</v>
      </c>
      <c r="H14" s="20">
        <v>10115</v>
      </c>
      <c r="I14" s="20">
        <v>11658</v>
      </c>
      <c r="J14" s="21">
        <f t="shared" si="0"/>
        <v>0.15254572417202183</v>
      </c>
      <c r="K14" s="20">
        <f t="shared" si="1"/>
        <v>1543</v>
      </c>
      <c r="L14" s="22">
        <f>I14/$I$13</f>
        <v>1</v>
      </c>
    </row>
    <row r="15" spans="2:12" x14ac:dyDescent="0.25">
      <c r="B15" s="280"/>
      <c r="C15" s="284"/>
      <c r="D15" s="23" t="s">
        <v>34</v>
      </c>
      <c r="E15" s="24" t="s">
        <v>229</v>
      </c>
      <c r="F15" s="24" t="s">
        <v>229</v>
      </c>
      <c r="G15" s="24" t="s">
        <v>229</v>
      </c>
      <c r="H15" s="24" t="s">
        <v>229</v>
      </c>
      <c r="I15" s="24" t="s">
        <v>229</v>
      </c>
      <c r="J15" s="25" t="str">
        <f>IFERROR(I15/H15-1,"-")</f>
        <v>-</v>
      </c>
      <c r="K15" s="24" t="str">
        <f>IFERROR(I15-H15,"-")</f>
        <v>-</v>
      </c>
      <c r="L15" s="25" t="str">
        <f>IFERROR(I15/$I$13,"-")</f>
        <v>-</v>
      </c>
    </row>
    <row r="16" spans="2:12" x14ac:dyDescent="0.25">
      <c r="B16" s="280"/>
      <c r="C16" s="285" t="s">
        <v>22</v>
      </c>
      <c r="D16" s="26" t="s">
        <v>32</v>
      </c>
      <c r="E16" s="35">
        <v>2.2000801924619084</v>
      </c>
      <c r="F16" s="35">
        <v>2.4949115044247789</v>
      </c>
      <c r="G16" s="35">
        <v>2.4809854101889499</v>
      </c>
      <c r="H16" s="35">
        <v>2.5517154389505552</v>
      </c>
      <c r="I16" s="35">
        <v>2.8302986161689732</v>
      </c>
      <c r="J16" s="36">
        <f t="shared" si="0"/>
        <v>0.10917486055302117</v>
      </c>
      <c r="K16" s="37">
        <f t="shared" si="1"/>
        <v>0.27858317721841797</v>
      </c>
      <c r="L16" s="38"/>
    </row>
    <row r="17" spans="2:12" x14ac:dyDescent="0.25">
      <c r="B17" s="280"/>
      <c r="C17" s="286"/>
      <c r="D17" s="4" t="s">
        <v>33</v>
      </c>
      <c r="E17" s="39">
        <f>E14/E8</f>
        <v>2.2000801924619084</v>
      </c>
      <c r="F17" s="39">
        <f t="shared" ref="F17:I17" si="2">F14/F8</f>
        <v>2.4949115044247789</v>
      </c>
      <c r="G17" s="39">
        <f t="shared" si="2"/>
        <v>2.4809854101889499</v>
      </c>
      <c r="H17" s="39">
        <f t="shared" si="2"/>
        <v>2.5517154389505552</v>
      </c>
      <c r="I17" s="39">
        <f t="shared" si="2"/>
        <v>2.8302986161689732</v>
      </c>
      <c r="J17" s="40">
        <f t="shared" si="0"/>
        <v>0.10917486055302117</v>
      </c>
      <c r="K17" s="41">
        <f t="shared" si="1"/>
        <v>0.27858317721841797</v>
      </c>
      <c r="L17" s="42"/>
    </row>
    <row r="18" spans="2:12" x14ac:dyDescent="0.25">
      <c r="B18" s="280"/>
      <c r="C18" s="287"/>
      <c r="D18" s="32" t="s">
        <v>34</v>
      </c>
      <c r="E18" s="43" t="str">
        <f>IFERROR(E15/E9,"-")</f>
        <v>-</v>
      </c>
      <c r="F18" s="43" t="str">
        <f t="shared" ref="F18:I18" si="3">IFERROR(F15/F9,"-")</f>
        <v>-</v>
      </c>
      <c r="G18" s="43" t="str">
        <f t="shared" si="3"/>
        <v>-</v>
      </c>
      <c r="H18" s="43" t="str">
        <f t="shared" si="3"/>
        <v>-</v>
      </c>
      <c r="I18" s="43" t="str">
        <f t="shared" si="3"/>
        <v>-</v>
      </c>
      <c r="J18" s="34" t="str">
        <f>IFERROR(I18/H18-1,"-")</f>
        <v>-</v>
      </c>
      <c r="K18" s="33" t="str">
        <f>IFERROR(I18-H18,"-")</f>
        <v>-</v>
      </c>
      <c r="L18" s="34"/>
    </row>
    <row r="19" spans="2:12" x14ac:dyDescent="0.25">
      <c r="B19" s="280"/>
      <c r="C19" s="288" t="s">
        <v>36</v>
      </c>
      <c r="D19" s="15" t="s">
        <v>32</v>
      </c>
      <c r="E19" s="18">
        <v>0.39329999999999998</v>
      </c>
      <c r="F19" s="18">
        <v>0.56700000000000006</v>
      </c>
      <c r="G19" s="18">
        <v>0.52149999999999996</v>
      </c>
      <c r="H19" s="18">
        <v>0.501</v>
      </c>
      <c r="I19" s="18">
        <v>0.57740000000000002</v>
      </c>
      <c r="J19" s="17">
        <f t="shared" si="0"/>
        <v>0.15249500998003995</v>
      </c>
      <c r="K19" s="44">
        <f>(I19-H19)*100</f>
        <v>7.6400000000000023</v>
      </c>
      <c r="L19" s="18"/>
    </row>
    <row r="20" spans="2:12" x14ac:dyDescent="0.25">
      <c r="B20" s="280"/>
      <c r="C20" s="289"/>
      <c r="D20" s="19" t="s">
        <v>33</v>
      </c>
      <c r="E20" s="22">
        <v>0.39329999999999998</v>
      </c>
      <c r="F20" s="22">
        <v>0.56700000000000006</v>
      </c>
      <c r="G20" s="22">
        <v>0.52149999999999996</v>
      </c>
      <c r="H20" s="22">
        <v>0.501</v>
      </c>
      <c r="I20" s="22">
        <v>0.57740000000000002</v>
      </c>
      <c r="J20" s="21">
        <f t="shared" si="0"/>
        <v>0.15249500998003995</v>
      </c>
      <c r="K20" s="46">
        <f>(I20-H20)*100</f>
        <v>7.6400000000000023</v>
      </c>
      <c r="L20" s="22"/>
    </row>
    <row r="21" spans="2:12" x14ac:dyDescent="0.25">
      <c r="B21" s="280"/>
      <c r="C21" s="290"/>
      <c r="D21" s="23" t="s">
        <v>34</v>
      </c>
      <c r="E21" s="25" t="s">
        <v>229</v>
      </c>
      <c r="F21" s="25" t="s">
        <v>229</v>
      </c>
      <c r="G21" s="25" t="s">
        <v>229</v>
      </c>
      <c r="H21" s="25" t="s">
        <v>229</v>
      </c>
      <c r="I21" s="25" t="s">
        <v>229</v>
      </c>
      <c r="J21" s="25" t="str">
        <f>IFERROR(I21/H21-1,"-")</f>
        <v>-</v>
      </c>
      <c r="K21" s="24" t="str">
        <f>IFERROR(I21-H21,"-")</f>
        <v>-</v>
      </c>
      <c r="L21" s="47"/>
    </row>
    <row r="22" spans="2:12" x14ac:dyDescent="0.25">
      <c r="B22" s="280"/>
      <c r="C22" s="291" t="s">
        <v>37</v>
      </c>
      <c r="D22" s="26" t="s">
        <v>32</v>
      </c>
      <c r="E22" s="27">
        <v>465</v>
      </c>
      <c r="F22" s="27">
        <v>663</v>
      </c>
      <c r="G22" s="27">
        <v>663</v>
      </c>
      <c r="H22" s="27">
        <v>673</v>
      </c>
      <c r="I22" s="27">
        <v>673</v>
      </c>
      <c r="J22" s="36">
        <f>I22/H22-1</f>
        <v>0</v>
      </c>
      <c r="K22" s="27">
        <f>I22-H22</f>
        <v>0</v>
      </c>
      <c r="L22" s="38">
        <f>I22/$I$22</f>
        <v>1</v>
      </c>
    </row>
    <row r="23" spans="2:12" x14ac:dyDescent="0.25">
      <c r="B23" s="280"/>
      <c r="C23" s="292"/>
      <c r="D23" s="4" t="s">
        <v>33</v>
      </c>
      <c r="E23" s="29">
        <v>465</v>
      </c>
      <c r="F23" s="29">
        <v>663</v>
      </c>
      <c r="G23" s="29">
        <v>663</v>
      </c>
      <c r="H23" s="29">
        <v>673</v>
      </c>
      <c r="I23" s="29">
        <v>673</v>
      </c>
      <c r="J23" s="40">
        <f>I23/H23-1</f>
        <v>0</v>
      </c>
      <c r="K23" s="29">
        <f>I23-H23</f>
        <v>0</v>
      </c>
      <c r="L23" s="42">
        <f>I23/$I$22</f>
        <v>1</v>
      </c>
    </row>
    <row r="24" spans="2:12" x14ac:dyDescent="0.25">
      <c r="B24" s="281"/>
      <c r="C24" s="293"/>
      <c r="D24" s="32" t="s">
        <v>34</v>
      </c>
      <c r="E24" s="33" t="s">
        <v>229</v>
      </c>
      <c r="F24" s="33" t="s">
        <v>229</v>
      </c>
      <c r="G24" s="33" t="s">
        <v>229</v>
      </c>
      <c r="H24" s="33" t="s">
        <v>229</v>
      </c>
      <c r="I24" s="33" t="s">
        <v>229</v>
      </c>
      <c r="J24" s="34" t="str">
        <f>IFERROR(I24/H24-1,"-")</f>
        <v>-</v>
      </c>
      <c r="K24" s="33" t="str">
        <f>IFERROR(I24-H24,"-")</f>
        <v>-</v>
      </c>
      <c r="L24" s="34" t="str">
        <f>IFERROR(I24/$I$22,"-")</f>
        <v>-</v>
      </c>
    </row>
    <row r="25" spans="2:12" ht="7.5" customHeight="1" x14ac:dyDescent="0.25"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48"/>
    </row>
    <row r="26" spans="2:12" ht="24.75" customHeight="1" x14ac:dyDescent="0.25">
      <c r="B26" s="295" t="s">
        <v>38</v>
      </c>
      <c r="C26" s="296"/>
      <c r="D26" s="296"/>
      <c r="E26" s="296"/>
      <c r="F26" s="296"/>
      <c r="G26" s="296"/>
      <c r="H26" s="296"/>
      <c r="I26" s="296"/>
      <c r="J26" s="296"/>
      <c r="K26" s="296"/>
    </row>
    <row r="29" spans="2:12" ht="21.75" customHeight="1" thickBot="1" x14ac:dyDescent="0.3">
      <c r="B29" s="278" t="s">
        <v>223</v>
      </c>
      <c r="C29" s="278"/>
      <c r="D29" s="278"/>
      <c r="E29" s="278"/>
      <c r="F29" s="278"/>
      <c r="G29" s="278"/>
      <c r="H29" s="278"/>
      <c r="I29" s="278"/>
      <c r="J29" s="278"/>
      <c r="K29" s="278"/>
      <c r="L29" s="12"/>
    </row>
    <row r="30" spans="2:12" ht="6" customHeight="1" thickBot="1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45" x14ac:dyDescent="0.25">
      <c r="B31" s="4"/>
      <c r="C31" s="4"/>
      <c r="D31" s="4"/>
      <c r="E31" s="13" t="s">
        <v>230</v>
      </c>
      <c r="F31" s="13" t="s">
        <v>231</v>
      </c>
      <c r="G31" s="13" t="s">
        <v>232</v>
      </c>
      <c r="H31" s="13" t="s">
        <v>233</v>
      </c>
      <c r="I31" s="13" t="s">
        <v>234</v>
      </c>
      <c r="J31" s="14" t="str">
        <f>CONCATENATE("var. ",RIGHT(I31,2),"/",RIGHT(H31,2))</f>
        <v>var. 25/24</v>
      </c>
      <c r="K31" s="14" t="str">
        <f>CONCATENATE("dif. ",RIGHT(I31,2),"/",RIGHT(H31,2))</f>
        <v>dif. 25/24</v>
      </c>
      <c r="L31" s="14" t="str">
        <f>CONCATENATE("cuota ",I31)</f>
        <v>cuota acumulado a junio 2025</v>
      </c>
    </row>
    <row r="32" spans="2:12" ht="15" customHeight="1" x14ac:dyDescent="0.25">
      <c r="B32" s="279" t="s">
        <v>51</v>
      </c>
      <c r="C32" s="282" t="s">
        <v>8</v>
      </c>
      <c r="D32" s="15" t="s">
        <v>32</v>
      </c>
      <c r="E32" s="50">
        <v>11802</v>
      </c>
      <c r="F32" s="50">
        <v>24671</v>
      </c>
      <c r="G32" s="50">
        <v>30683</v>
      </c>
      <c r="H32" s="50">
        <v>29198</v>
      </c>
      <c r="I32" s="50">
        <v>28272</v>
      </c>
      <c r="J32" s="17">
        <f>I32/H32-1</f>
        <v>-3.1714500993218708E-2</v>
      </c>
      <c r="K32" s="16">
        <f>I32-H32</f>
        <v>-926</v>
      </c>
      <c r="L32" s="18">
        <f>I32/$I$32</f>
        <v>1</v>
      </c>
    </row>
    <row r="33" spans="1:12" x14ac:dyDescent="0.25">
      <c r="B33" s="280"/>
      <c r="C33" s="283"/>
      <c r="D33" s="19" t="s">
        <v>33</v>
      </c>
      <c r="E33" s="51">
        <v>11802</v>
      </c>
      <c r="F33" s="51">
        <v>24671</v>
      </c>
      <c r="G33" s="51">
        <v>30683</v>
      </c>
      <c r="H33" s="51">
        <v>29198</v>
      </c>
      <c r="I33" s="51">
        <v>28272</v>
      </c>
      <c r="J33" s="21">
        <f t="shared" ref="J33:J45" si="4">I33/H33-1</f>
        <v>-3.1714500993218708E-2</v>
      </c>
      <c r="K33" s="20">
        <f t="shared" ref="K33:K42" si="5">I33-H33</f>
        <v>-926</v>
      </c>
      <c r="L33" s="22">
        <f>I33/$I$32</f>
        <v>1</v>
      </c>
    </row>
    <row r="34" spans="1:12" x14ac:dyDescent="0.25">
      <c r="B34" s="280"/>
      <c r="C34" s="284"/>
      <c r="D34" s="23" t="s">
        <v>34</v>
      </c>
      <c r="E34" s="24" t="s">
        <v>229</v>
      </c>
      <c r="F34" s="24" t="s">
        <v>229</v>
      </c>
      <c r="G34" s="24" t="s">
        <v>229</v>
      </c>
      <c r="H34" s="24" t="s">
        <v>229</v>
      </c>
      <c r="I34" s="24" t="s">
        <v>229</v>
      </c>
      <c r="J34" s="25" t="str">
        <f>IFERROR(I34/H34-1,"-")</f>
        <v>-</v>
      </c>
      <c r="K34" s="24" t="str">
        <f>IFERROR(I34-H34,"-")</f>
        <v>-</v>
      </c>
      <c r="L34" s="25" t="str">
        <f>IFERROR(I34/I32,"-")</f>
        <v>-</v>
      </c>
    </row>
    <row r="35" spans="1:12" x14ac:dyDescent="0.25">
      <c r="B35" s="280"/>
      <c r="C35" s="285" t="s">
        <v>35</v>
      </c>
      <c r="D35" s="26" t="s">
        <v>32</v>
      </c>
      <c r="E35" s="52">
        <v>12246</v>
      </c>
      <c r="F35" s="52">
        <v>25844</v>
      </c>
      <c r="G35" s="52">
        <v>32224</v>
      </c>
      <c r="H35" s="52">
        <v>30825</v>
      </c>
      <c r="I35" s="52">
        <v>29839</v>
      </c>
      <c r="J35" s="28">
        <f t="shared" si="4"/>
        <v>-3.1987023519870261E-2</v>
      </c>
      <c r="K35" s="27">
        <f t="shared" si="5"/>
        <v>-986</v>
      </c>
      <c r="L35" s="18">
        <f>I35/$I$35</f>
        <v>1</v>
      </c>
    </row>
    <row r="36" spans="1:12" x14ac:dyDescent="0.25">
      <c r="B36" s="280"/>
      <c r="C36" s="286"/>
      <c r="D36" s="4" t="s">
        <v>33</v>
      </c>
      <c r="E36" s="53">
        <v>12246</v>
      </c>
      <c r="F36" s="53">
        <v>25844</v>
      </c>
      <c r="G36" s="53">
        <v>32224</v>
      </c>
      <c r="H36" s="53">
        <v>30825</v>
      </c>
      <c r="I36" s="53">
        <v>29839</v>
      </c>
      <c r="J36" s="30">
        <f t="shared" si="4"/>
        <v>-3.1987023519870261E-2</v>
      </c>
      <c r="K36" s="29">
        <f t="shared" si="5"/>
        <v>-986</v>
      </c>
      <c r="L36" s="31">
        <f>I36/$I$35</f>
        <v>1</v>
      </c>
    </row>
    <row r="37" spans="1:12" x14ac:dyDescent="0.25">
      <c r="B37" s="280"/>
      <c r="C37" s="287"/>
      <c r="D37" s="32" t="s">
        <v>34</v>
      </c>
      <c r="E37" s="33" t="s">
        <v>229</v>
      </c>
      <c r="F37" s="33" t="s">
        <v>229</v>
      </c>
      <c r="G37" s="33" t="s">
        <v>229</v>
      </c>
      <c r="H37" s="33" t="s">
        <v>229</v>
      </c>
      <c r="I37" s="33" t="s">
        <v>229</v>
      </c>
      <c r="J37" s="34" t="str">
        <f>IFERROR(I37/H37-1,"-")</f>
        <v>-</v>
      </c>
      <c r="K37" s="33" t="str">
        <f>IFERROR(I37-H37,"-")</f>
        <v>-</v>
      </c>
      <c r="L37" s="34" t="str">
        <f>IFERROR(I37/I35,"-")</f>
        <v>-</v>
      </c>
    </row>
    <row r="38" spans="1:12" x14ac:dyDescent="0.25">
      <c r="B38" s="280"/>
      <c r="C38" s="282" t="s">
        <v>21</v>
      </c>
      <c r="D38" s="15" t="s">
        <v>32</v>
      </c>
      <c r="E38" s="50">
        <v>26038</v>
      </c>
      <c r="F38" s="50">
        <v>69048</v>
      </c>
      <c r="G38" s="50">
        <v>80076</v>
      </c>
      <c r="H38" s="50">
        <v>81078</v>
      </c>
      <c r="I38" s="50">
        <v>78508</v>
      </c>
      <c r="J38" s="17">
        <f t="shared" si="4"/>
        <v>-3.169787118577172E-2</v>
      </c>
      <c r="K38" s="16">
        <f t="shared" si="5"/>
        <v>-2570</v>
      </c>
      <c r="L38" s="18">
        <f>I38/$I$38</f>
        <v>1</v>
      </c>
    </row>
    <row r="39" spans="1:12" x14ac:dyDescent="0.25">
      <c r="B39" s="280"/>
      <c r="C39" s="283"/>
      <c r="D39" s="19" t="s">
        <v>33</v>
      </c>
      <c r="E39" s="51">
        <v>26038</v>
      </c>
      <c r="F39" s="51">
        <v>69048</v>
      </c>
      <c r="G39" s="51">
        <v>80076</v>
      </c>
      <c r="H39" s="51">
        <v>81078</v>
      </c>
      <c r="I39" s="51">
        <v>78508</v>
      </c>
      <c r="J39" s="21">
        <f t="shared" si="4"/>
        <v>-3.169787118577172E-2</v>
      </c>
      <c r="K39" s="20">
        <f t="shared" si="5"/>
        <v>-2570</v>
      </c>
      <c r="L39" s="22">
        <f>I39/$I$38</f>
        <v>1</v>
      </c>
    </row>
    <row r="40" spans="1:12" x14ac:dyDescent="0.25">
      <c r="B40" s="280"/>
      <c r="C40" s="284"/>
      <c r="D40" s="23" t="s">
        <v>34</v>
      </c>
      <c r="E40" s="24" t="s">
        <v>229</v>
      </c>
      <c r="F40" s="24" t="s">
        <v>229</v>
      </c>
      <c r="G40" s="24" t="s">
        <v>229</v>
      </c>
      <c r="H40" s="24" t="s">
        <v>229</v>
      </c>
      <c r="I40" s="24" t="s">
        <v>229</v>
      </c>
      <c r="J40" s="25" t="str">
        <f>IFERROR(I40/H40-1,"-")</f>
        <v>-</v>
      </c>
      <c r="K40" s="24" t="str">
        <f>IFERROR(I40-H40,"-")</f>
        <v>-</v>
      </c>
      <c r="L40" s="25" t="str">
        <f>IFERROR(I40/I38,"-")</f>
        <v>-</v>
      </c>
    </row>
    <row r="41" spans="1:12" x14ac:dyDescent="0.25">
      <c r="B41" s="280"/>
      <c r="C41" s="285" t="s">
        <v>22</v>
      </c>
      <c r="D41" s="26" t="s">
        <v>32</v>
      </c>
      <c r="E41" s="54">
        <v>2.2062362311472632</v>
      </c>
      <c r="F41" s="54">
        <v>2.7987515706700172</v>
      </c>
      <c r="G41" s="54">
        <v>2.6097839194342143</v>
      </c>
      <c r="H41" s="54">
        <v>2.7768340297280636</v>
      </c>
      <c r="I41" s="54">
        <v>2.7768817204301075</v>
      </c>
      <c r="J41" s="36">
        <f t="shared" si="4"/>
        <v>1.7174487755955425E-5</v>
      </c>
      <c r="K41" s="37">
        <f t="shared" si="5"/>
        <v>4.7690702043912125E-5</v>
      </c>
      <c r="L41" s="38"/>
    </row>
    <row r="42" spans="1:12" x14ac:dyDescent="0.25">
      <c r="B42" s="280"/>
      <c r="C42" s="286"/>
      <c r="D42" s="4" t="s">
        <v>33</v>
      </c>
      <c r="E42" s="55">
        <f t="shared" ref="E42:I42" si="6">E39/E33</f>
        <v>2.2062362311472632</v>
      </c>
      <c r="F42" s="55">
        <f t="shared" si="6"/>
        <v>2.7987515706700172</v>
      </c>
      <c r="G42" s="55">
        <f t="shared" si="6"/>
        <v>2.6097839194342143</v>
      </c>
      <c r="H42" s="55">
        <f t="shared" si="6"/>
        <v>2.7768340297280636</v>
      </c>
      <c r="I42" s="55">
        <f t="shared" si="6"/>
        <v>2.7768817204301075</v>
      </c>
      <c r="J42" s="40">
        <f t="shared" si="4"/>
        <v>1.7174487755955425E-5</v>
      </c>
      <c r="K42" s="41">
        <f t="shared" si="5"/>
        <v>4.7690702043912125E-5</v>
      </c>
      <c r="L42" s="42"/>
    </row>
    <row r="43" spans="1:12" x14ac:dyDescent="0.25">
      <c r="B43" s="280"/>
      <c r="C43" s="287"/>
      <c r="D43" s="32" t="s">
        <v>34</v>
      </c>
      <c r="E43" s="43" t="str">
        <f>IFERROR(E40/E34,"-")</f>
        <v>-</v>
      </c>
      <c r="F43" s="43" t="str">
        <f t="shared" ref="F43:I43" si="7">IFERROR(F40/F34,"-")</f>
        <v>-</v>
      </c>
      <c r="G43" s="43" t="str">
        <f t="shared" si="7"/>
        <v>-</v>
      </c>
      <c r="H43" s="43" t="str">
        <f t="shared" si="7"/>
        <v>-</v>
      </c>
      <c r="I43" s="43" t="str">
        <f t="shared" si="7"/>
        <v>-</v>
      </c>
      <c r="J43" s="34" t="str">
        <f>IFERROR(I43/H43-1,"-")</f>
        <v>-</v>
      </c>
      <c r="K43" s="33" t="str">
        <f>IFERROR(I43-H43,"-")</f>
        <v>-</v>
      </c>
      <c r="L43" s="56"/>
    </row>
    <row r="44" spans="1:12" x14ac:dyDescent="0.25">
      <c r="A44" s="57"/>
      <c r="B44" s="280"/>
      <c r="C44" s="288" t="s">
        <v>36</v>
      </c>
      <c r="D44" s="15" t="s">
        <v>32</v>
      </c>
      <c r="E44" s="58">
        <v>0.30936850234658114</v>
      </c>
      <c r="F44" s="58">
        <v>0.59226473842670024</v>
      </c>
      <c r="G44" s="58">
        <v>0.66728331791705209</v>
      </c>
      <c r="H44" s="58">
        <v>0.66193687441830085</v>
      </c>
      <c r="I44" s="58">
        <v>0.64449607184783231</v>
      </c>
      <c r="J44" s="58">
        <f t="shared" si="4"/>
        <v>-2.6348135667461081E-2</v>
      </c>
      <c r="K44" s="44">
        <f>(I44-H44)*100</f>
        <v>-1.7440802570468539</v>
      </c>
      <c r="L44" s="18"/>
    </row>
    <row r="45" spans="1:12" x14ac:dyDescent="0.25">
      <c r="B45" s="280"/>
      <c r="C45" s="289"/>
      <c r="D45" s="19" t="s">
        <v>33</v>
      </c>
      <c r="E45" s="59">
        <v>0.30936850234658114</v>
      </c>
      <c r="F45" s="59">
        <v>0.59226473842670024</v>
      </c>
      <c r="G45" s="59">
        <v>0.66728331791705209</v>
      </c>
      <c r="H45" s="59">
        <v>0.66193687441830085</v>
      </c>
      <c r="I45" s="59">
        <v>0.64449607184783231</v>
      </c>
      <c r="J45" s="59">
        <f t="shared" si="4"/>
        <v>-2.6348135667461081E-2</v>
      </c>
      <c r="K45" s="46">
        <f>(I45-H45)*100</f>
        <v>-1.7440802570468539</v>
      </c>
      <c r="L45" s="22"/>
    </row>
    <row r="46" spans="1:12" x14ac:dyDescent="0.25">
      <c r="B46" s="280"/>
      <c r="C46" s="290"/>
      <c r="D46" s="23" t="s">
        <v>34</v>
      </c>
      <c r="E46" s="60" t="s">
        <v>229</v>
      </c>
      <c r="F46" s="60" t="s">
        <v>229</v>
      </c>
      <c r="G46" s="60" t="s">
        <v>229</v>
      </c>
      <c r="H46" s="60" t="s">
        <v>229</v>
      </c>
      <c r="I46" s="60" t="s">
        <v>229</v>
      </c>
      <c r="J46" s="25" t="str">
        <f>IFERROR(I46/H46-1,"-")</f>
        <v>-</v>
      </c>
      <c r="K46" s="24" t="str">
        <f>IFERROR(I46-H46,"-")</f>
        <v>-</v>
      </c>
      <c r="L46" s="47"/>
    </row>
    <row r="47" spans="1:12" x14ac:dyDescent="0.25">
      <c r="B47" s="280"/>
      <c r="C47" s="45"/>
      <c r="D47" s="19"/>
      <c r="E47" s="61"/>
      <c r="F47" s="61"/>
      <c r="G47" s="61"/>
      <c r="H47" s="61"/>
      <c r="I47" s="61"/>
      <c r="J47" s="62"/>
      <c r="K47" s="51"/>
      <c r="L47" s="63"/>
    </row>
    <row r="48" spans="1:12" x14ac:dyDescent="0.25">
      <c r="B48" s="280"/>
      <c r="C48" s="45"/>
      <c r="D48" s="19"/>
      <c r="E48" s="61"/>
      <c r="F48" s="61"/>
      <c r="G48" s="61"/>
      <c r="H48" s="61"/>
      <c r="I48" s="61"/>
      <c r="J48" s="62"/>
      <c r="K48" s="51"/>
      <c r="L48" s="63"/>
    </row>
    <row r="49" spans="2:12" x14ac:dyDescent="0.25">
      <c r="B49" s="280"/>
      <c r="C49" s="291" t="s">
        <v>39</v>
      </c>
      <c r="D49" s="26" t="s">
        <v>32</v>
      </c>
      <c r="E49" s="52">
        <v>465</v>
      </c>
      <c r="F49" s="52">
        <v>644</v>
      </c>
      <c r="G49" s="52">
        <v>663</v>
      </c>
      <c r="H49" s="52">
        <v>673</v>
      </c>
      <c r="I49" s="52">
        <v>673</v>
      </c>
      <c r="J49" s="36">
        <f>I49/H49-1</f>
        <v>0</v>
      </c>
      <c r="K49" s="27">
        <f>I49-H49</f>
        <v>0</v>
      </c>
      <c r="L49" s="38">
        <f>I49/$I$22</f>
        <v>1</v>
      </c>
    </row>
    <row r="50" spans="2:12" x14ac:dyDescent="0.25">
      <c r="B50" s="280"/>
      <c r="C50" s="286"/>
      <c r="D50" s="4" t="s">
        <v>33</v>
      </c>
      <c r="E50" s="53">
        <v>465</v>
      </c>
      <c r="F50" s="53">
        <v>644</v>
      </c>
      <c r="G50" s="53">
        <v>663</v>
      </c>
      <c r="H50" s="53">
        <v>673</v>
      </c>
      <c r="I50" s="53">
        <v>673</v>
      </c>
      <c r="J50" s="40">
        <f>I50/H50-1</f>
        <v>0</v>
      </c>
      <c r="K50" s="29">
        <f>I50-H50</f>
        <v>0</v>
      </c>
      <c r="L50" s="42">
        <f>I50/$I$22</f>
        <v>1</v>
      </c>
    </row>
    <row r="51" spans="2:12" x14ac:dyDescent="0.25">
      <c r="B51" s="281"/>
      <c r="C51" s="287"/>
      <c r="D51" s="32" t="s">
        <v>34</v>
      </c>
      <c r="E51" s="33" t="e">
        <v>#REF!</v>
      </c>
      <c r="F51" s="33" t="e">
        <v>#REF!</v>
      </c>
      <c r="G51" s="33" t="e">
        <v>#REF!</v>
      </c>
      <c r="H51" s="33" t="e">
        <v>#REF!</v>
      </c>
      <c r="I51" s="33" t="e">
        <v>#REF!</v>
      </c>
      <c r="J51" s="34" t="str">
        <f>IFERROR(I51/H51-1,"-")</f>
        <v>-</v>
      </c>
      <c r="K51" s="33" t="str">
        <f>IFERROR(I51-H51,"-")</f>
        <v>-</v>
      </c>
      <c r="L51" s="34" t="str">
        <f>IFERROR(I51/I49,"-")</f>
        <v>-</v>
      </c>
    </row>
    <row r="52" spans="2:12" ht="6" customHeight="1" x14ac:dyDescent="0.25"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48"/>
    </row>
    <row r="53" spans="2:12" ht="28.5" customHeight="1" x14ac:dyDescent="0.25">
      <c r="B53" s="295" t="s">
        <v>40</v>
      </c>
      <c r="C53" s="296"/>
      <c r="D53" s="296"/>
      <c r="E53" s="296"/>
      <c r="F53" s="296"/>
      <c r="G53" s="296"/>
      <c r="H53" s="296"/>
      <c r="I53" s="296"/>
      <c r="J53" s="296"/>
      <c r="K53" s="296"/>
    </row>
    <row r="54" spans="2:12" x14ac:dyDescent="0.25">
      <c r="B54" s="64"/>
    </row>
    <row r="56" spans="2:12" ht="21.75" thickBot="1" x14ac:dyDescent="0.3">
      <c r="B56" s="278" t="s">
        <v>223</v>
      </c>
      <c r="C56" s="278"/>
      <c r="D56" s="278"/>
      <c r="E56" s="278"/>
      <c r="F56" s="278"/>
      <c r="G56" s="278"/>
      <c r="H56" s="278"/>
      <c r="I56" s="278"/>
      <c r="J56" s="278"/>
      <c r="K56" s="278"/>
      <c r="L56" s="12"/>
    </row>
    <row r="57" spans="2:12" ht="15.75" thickBot="1" x14ac:dyDescent="0.3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x14ac:dyDescent="0.25">
      <c r="B58" s="4"/>
      <c r="C58" s="4"/>
      <c r="D58" s="4"/>
      <c r="E58" s="14">
        <v>2020</v>
      </c>
      <c r="F58" s="14">
        <v>2021</v>
      </c>
      <c r="G58" s="14">
        <v>2022</v>
      </c>
      <c r="H58" s="14">
        <v>2023</v>
      </c>
      <c r="I58" s="14">
        <v>2024</v>
      </c>
      <c r="J58" s="14" t="str">
        <f>CONCATENATE("var. ",RIGHT(I58,2),"/",RIGHT(H58,2))</f>
        <v>var. 24/23</v>
      </c>
      <c r="K58" s="14" t="str">
        <f>CONCATENATE("dif. ",RIGHT(I58,2),"/",RIGHT(H58,2))</f>
        <v>dif. 24/23</v>
      </c>
      <c r="L58" s="14" t="str">
        <f>CONCATENATE("cuota ",I58)</f>
        <v>cuota 2024</v>
      </c>
    </row>
    <row r="59" spans="2:12" x14ac:dyDescent="0.25">
      <c r="B59" s="280"/>
      <c r="C59" s="283"/>
      <c r="D59" s="19" t="s">
        <v>33</v>
      </c>
      <c r="E59" s="51">
        <v>24221</v>
      </c>
      <c r="F59" s="51">
        <v>33444</v>
      </c>
      <c r="G59" s="51">
        <v>51485</v>
      </c>
      <c r="H59" s="51">
        <v>58157</v>
      </c>
      <c r="I59" s="51">
        <v>57388</v>
      </c>
      <c r="J59" s="21">
        <f t="shared" ref="J59:J74" si="8">I59/H59-1</f>
        <v>-1.3222827862510056E-2</v>
      </c>
      <c r="K59" s="20">
        <f t="shared" ref="K59:K74" si="9">I59-H59</f>
        <v>-769</v>
      </c>
      <c r="L59" s="21" t="e">
        <f>I59/#REF!</f>
        <v>#REF!</v>
      </c>
    </row>
    <row r="60" spans="2:12" x14ac:dyDescent="0.25">
      <c r="B60" s="280"/>
      <c r="C60" s="284"/>
      <c r="D60" s="23" t="s">
        <v>34</v>
      </c>
      <c r="E60" s="24" t="s">
        <v>229</v>
      </c>
      <c r="F60" s="24" t="s">
        <v>229</v>
      </c>
      <c r="G60" s="24" t="s">
        <v>229</v>
      </c>
      <c r="H60" s="24" t="s">
        <v>229</v>
      </c>
      <c r="I60" s="24" t="s">
        <v>229</v>
      </c>
      <c r="J60" s="25" t="str">
        <f>IFERROR(I60/H60-1,"-")</f>
        <v>-</v>
      </c>
      <c r="K60" s="24" t="str">
        <f>IFERROR(I60-H60,"-")</f>
        <v>-</v>
      </c>
      <c r="L60" s="25" t="str">
        <f>IFERROR(I60/#REF!,"-")</f>
        <v>-</v>
      </c>
    </row>
    <row r="61" spans="2:12" x14ac:dyDescent="0.25">
      <c r="B61" s="280"/>
      <c r="C61" s="285" t="s">
        <v>35</v>
      </c>
      <c r="D61" s="26" t="s">
        <v>32</v>
      </c>
      <c r="E61" s="52">
        <v>24221</v>
      </c>
      <c r="F61" s="52">
        <v>33444</v>
      </c>
      <c r="G61" s="52">
        <v>51485</v>
      </c>
      <c r="H61" s="52">
        <v>58157</v>
      </c>
      <c r="I61" s="52">
        <v>57388</v>
      </c>
      <c r="J61" s="36">
        <f t="shared" si="8"/>
        <v>-1.3222827862510056E-2</v>
      </c>
      <c r="K61" s="52">
        <f t="shared" si="9"/>
        <v>-769</v>
      </c>
      <c r="L61" s="36">
        <f>I61/$I$61</f>
        <v>1</v>
      </c>
    </row>
    <row r="62" spans="2:12" x14ac:dyDescent="0.25">
      <c r="B62" s="280"/>
      <c r="C62" s="286"/>
      <c r="D62" s="4" t="s">
        <v>33</v>
      </c>
      <c r="E62" s="53">
        <v>24221</v>
      </c>
      <c r="F62" s="53">
        <v>33444</v>
      </c>
      <c r="G62" s="53">
        <v>51485</v>
      </c>
      <c r="H62" s="53">
        <v>58157</v>
      </c>
      <c r="I62" s="53">
        <v>57388</v>
      </c>
      <c r="J62" s="40">
        <f t="shared" si="8"/>
        <v>-1.3222827862510056E-2</v>
      </c>
      <c r="K62" s="53">
        <f t="shared" si="9"/>
        <v>-769</v>
      </c>
      <c r="L62" s="40">
        <f t="shared" ref="L62" si="10">I62/$I$61</f>
        <v>1</v>
      </c>
    </row>
    <row r="63" spans="2:12" x14ac:dyDescent="0.25">
      <c r="B63" s="280"/>
      <c r="C63" s="287"/>
      <c r="D63" s="32" t="s">
        <v>34</v>
      </c>
      <c r="E63" s="33" t="s">
        <v>229</v>
      </c>
      <c r="F63" s="33" t="s">
        <v>229</v>
      </c>
      <c r="G63" s="33" t="s">
        <v>229</v>
      </c>
      <c r="H63" s="33" t="s">
        <v>229</v>
      </c>
      <c r="I63" s="33" t="s">
        <v>229</v>
      </c>
      <c r="J63" s="34" t="str">
        <f>IFERROR(I63/H63-1,"-")</f>
        <v>-</v>
      </c>
      <c r="K63" s="33" t="str">
        <f>IFERROR(I63-H63,"-")</f>
        <v>-</v>
      </c>
      <c r="L63" s="65" t="str">
        <f>IFERROR(I63/I61,"-")</f>
        <v>-</v>
      </c>
    </row>
    <row r="64" spans="2:12" x14ac:dyDescent="0.25">
      <c r="B64" s="280"/>
      <c r="C64" s="282" t="s">
        <v>21</v>
      </c>
      <c r="D64" s="15" t="s">
        <v>32</v>
      </c>
      <c r="E64" s="50">
        <v>59047</v>
      </c>
      <c r="F64" s="50">
        <v>83402</v>
      </c>
      <c r="G64" s="50">
        <v>137757</v>
      </c>
      <c r="H64" s="50">
        <v>148334</v>
      </c>
      <c r="I64" s="50">
        <v>152300</v>
      </c>
      <c r="J64" s="17">
        <f t="shared" si="8"/>
        <v>2.6736958485579887E-2</v>
      </c>
      <c r="K64" s="16">
        <f t="shared" si="9"/>
        <v>3966</v>
      </c>
      <c r="L64" s="17">
        <f>I64/$I$64</f>
        <v>1</v>
      </c>
    </row>
    <row r="65" spans="2:12" x14ac:dyDescent="0.25">
      <c r="B65" s="280"/>
      <c r="C65" s="283"/>
      <c r="D65" s="19" t="s">
        <v>33</v>
      </c>
      <c r="E65" s="51">
        <v>59047</v>
      </c>
      <c r="F65" s="51">
        <v>83402</v>
      </c>
      <c r="G65" s="51">
        <v>137757</v>
      </c>
      <c r="H65" s="51">
        <v>148334</v>
      </c>
      <c r="I65" s="51">
        <v>152300</v>
      </c>
      <c r="J65" s="21">
        <f t="shared" si="8"/>
        <v>2.6736958485579887E-2</v>
      </c>
      <c r="K65" s="20">
        <f t="shared" si="9"/>
        <v>3966</v>
      </c>
      <c r="L65" s="21">
        <f t="shared" ref="L65" si="11">I65/$I$64</f>
        <v>1</v>
      </c>
    </row>
    <row r="66" spans="2:12" x14ac:dyDescent="0.25">
      <c r="B66" s="280"/>
      <c r="C66" s="284"/>
      <c r="D66" s="23" t="s">
        <v>34</v>
      </c>
      <c r="E66" s="24" t="s">
        <v>229</v>
      </c>
      <c r="F66" s="24" t="s">
        <v>229</v>
      </c>
      <c r="G66" s="24" t="s">
        <v>229</v>
      </c>
      <c r="H66" s="24" t="s">
        <v>229</v>
      </c>
      <c r="I66" s="24" t="s">
        <v>229</v>
      </c>
      <c r="J66" s="25" t="str">
        <f>IFERROR(I66/H66-1,"-")</f>
        <v>-</v>
      </c>
      <c r="K66" s="24" t="str">
        <f>IFERROR(I66-H66,"-")</f>
        <v>-</v>
      </c>
      <c r="L66" s="25" t="str">
        <f>IFERROR(I66/I64,"-")</f>
        <v>-</v>
      </c>
    </row>
    <row r="67" spans="2:12" x14ac:dyDescent="0.25">
      <c r="B67" s="280"/>
      <c r="C67" s="285" t="s">
        <v>22</v>
      </c>
      <c r="D67" s="26" t="s">
        <v>32</v>
      </c>
      <c r="E67" s="54">
        <v>2.437843193922629</v>
      </c>
      <c r="F67" s="54">
        <v>2.4937806482478173</v>
      </c>
      <c r="G67" s="54">
        <v>2.6756725259784404</v>
      </c>
      <c r="H67" s="54">
        <v>2.5505786061867015</v>
      </c>
      <c r="I67" s="54">
        <v>2.6538649194953647</v>
      </c>
      <c r="J67" s="36">
        <f t="shared" si="8"/>
        <v>4.0495248042201615E-2</v>
      </c>
      <c r="K67" s="37">
        <f t="shared" si="9"/>
        <v>0.10328631330866322</v>
      </c>
      <c r="L67" s="36"/>
    </row>
    <row r="68" spans="2:12" x14ac:dyDescent="0.25">
      <c r="B68" s="280"/>
      <c r="C68" s="286"/>
      <c r="D68" s="4" t="s">
        <v>33</v>
      </c>
      <c r="E68" s="55">
        <f t="shared" ref="E68:I68" si="12">E65/E59</f>
        <v>2.437843193922629</v>
      </c>
      <c r="F68" s="55">
        <f t="shared" si="12"/>
        <v>2.4937806482478173</v>
      </c>
      <c r="G68" s="55">
        <f t="shared" si="12"/>
        <v>2.6756725259784404</v>
      </c>
      <c r="H68" s="55">
        <f t="shared" si="12"/>
        <v>2.5505786061867015</v>
      </c>
      <c r="I68" s="55">
        <f t="shared" si="12"/>
        <v>2.6538649194953647</v>
      </c>
      <c r="J68" s="40">
        <f t="shared" si="8"/>
        <v>4.0495248042201615E-2</v>
      </c>
      <c r="K68" s="41">
        <f t="shared" si="9"/>
        <v>0.10328631330866322</v>
      </c>
      <c r="L68" s="40"/>
    </row>
    <row r="69" spans="2:12" x14ac:dyDescent="0.25">
      <c r="B69" s="280"/>
      <c r="C69" s="287"/>
      <c r="D69" s="32" t="s">
        <v>34</v>
      </c>
      <c r="E69" s="43" t="str">
        <f>IFERROR(E66/E60,"-")</f>
        <v>-</v>
      </c>
      <c r="F69" s="43" t="str">
        <f t="shared" ref="F69:I69" si="13">IFERROR(F66/F60,"-")</f>
        <v>-</v>
      </c>
      <c r="G69" s="43" t="str">
        <f t="shared" si="13"/>
        <v>-</v>
      </c>
      <c r="H69" s="43" t="str">
        <f t="shared" si="13"/>
        <v>-</v>
      </c>
      <c r="I69" s="43" t="str">
        <f t="shared" si="13"/>
        <v>-</v>
      </c>
      <c r="J69" s="34" t="str">
        <f>IFERROR(I69/H69-1,"-")</f>
        <v>-</v>
      </c>
      <c r="K69" s="33" t="str">
        <f>IFERROR(I69-H69,"-")</f>
        <v>-</v>
      </c>
      <c r="L69" s="65" t="str">
        <f>IFERROR(I69/I67,"-")</f>
        <v>-</v>
      </c>
    </row>
    <row r="70" spans="2:12" x14ac:dyDescent="0.25">
      <c r="B70" s="280"/>
      <c r="C70" s="288" t="s">
        <v>36</v>
      </c>
      <c r="D70" s="15" t="s">
        <v>32</v>
      </c>
      <c r="E70" s="58">
        <v>0.5147906295498732</v>
      </c>
      <c r="F70" s="58">
        <v>0.42945341263098274</v>
      </c>
      <c r="G70" s="58">
        <v>0.57741590694750078</v>
      </c>
      <c r="H70" s="58">
        <v>0.61259601883208059</v>
      </c>
      <c r="I70" s="58">
        <v>0.6183064169082243</v>
      </c>
      <c r="J70" s="58">
        <f t="shared" si="8"/>
        <v>9.3216375892071213E-3</v>
      </c>
      <c r="K70" s="44">
        <f t="shared" si="9"/>
        <v>5.7103980761437079E-3</v>
      </c>
      <c r="L70" s="17"/>
    </row>
    <row r="71" spans="2:12" x14ac:dyDescent="0.25">
      <c r="B71" s="280"/>
      <c r="C71" s="289"/>
      <c r="D71" s="19" t="s">
        <v>33</v>
      </c>
      <c r="E71" s="59">
        <v>0.5147906295498732</v>
      </c>
      <c r="F71" s="59">
        <v>0.42945341263098274</v>
      </c>
      <c r="G71" s="59">
        <v>0.57741590694750078</v>
      </c>
      <c r="H71" s="59">
        <v>0.61259601883208059</v>
      </c>
      <c r="I71" s="59">
        <v>0.6183064169082243</v>
      </c>
      <c r="J71" s="59">
        <f t="shared" si="8"/>
        <v>9.3216375892071213E-3</v>
      </c>
      <c r="K71" s="46">
        <f t="shared" si="9"/>
        <v>5.7103980761437079E-3</v>
      </c>
      <c r="L71" s="21"/>
    </row>
    <row r="72" spans="2:12" x14ac:dyDescent="0.25">
      <c r="B72" s="280"/>
      <c r="C72" s="290"/>
      <c r="D72" s="23" t="s">
        <v>34</v>
      </c>
      <c r="E72" s="60" t="s">
        <v>229</v>
      </c>
      <c r="F72" s="60" t="s">
        <v>229</v>
      </c>
      <c r="G72" s="60" t="s">
        <v>229</v>
      </c>
      <c r="H72" s="60" t="s">
        <v>229</v>
      </c>
      <c r="I72" s="60" t="s">
        <v>229</v>
      </c>
      <c r="J72" s="25" t="str">
        <f>IFERROR(I72/H72-1,"-")</f>
        <v>-</v>
      </c>
      <c r="K72" s="24" t="str">
        <f>IFERROR(I72-H72,"-")</f>
        <v>-</v>
      </c>
      <c r="L72" s="25" t="str">
        <f>IFERROR(I72/I70,"-")</f>
        <v>-</v>
      </c>
    </row>
    <row r="73" spans="2:12" x14ac:dyDescent="0.25">
      <c r="B73" s="280"/>
      <c r="C73" s="291" t="s">
        <v>41</v>
      </c>
      <c r="D73" s="26" t="s">
        <v>32</v>
      </c>
      <c r="E73" s="52">
        <v>339</v>
      </c>
      <c r="F73" s="52">
        <v>532</v>
      </c>
      <c r="G73" s="52">
        <v>654</v>
      </c>
      <c r="H73" s="52">
        <v>663</v>
      </c>
      <c r="I73" s="52">
        <v>673</v>
      </c>
      <c r="J73" s="36">
        <f t="shared" si="8"/>
        <v>1.5082956259426794E-2</v>
      </c>
      <c r="K73" s="27">
        <f t="shared" si="9"/>
        <v>10</v>
      </c>
      <c r="L73" s="36">
        <f>I73/$I$73</f>
        <v>1</v>
      </c>
    </row>
    <row r="74" spans="2:12" x14ac:dyDescent="0.25">
      <c r="B74" s="280"/>
      <c r="C74" s="286"/>
      <c r="D74" s="4" t="s">
        <v>33</v>
      </c>
      <c r="E74" s="53">
        <v>339</v>
      </c>
      <c r="F74" s="53">
        <v>532</v>
      </c>
      <c r="G74" s="53">
        <v>654</v>
      </c>
      <c r="H74" s="53">
        <v>663</v>
      </c>
      <c r="I74" s="53">
        <v>673</v>
      </c>
      <c r="J74" s="40">
        <f t="shared" si="8"/>
        <v>1.5082956259426794E-2</v>
      </c>
      <c r="K74" s="29">
        <f t="shared" si="9"/>
        <v>10</v>
      </c>
      <c r="L74" s="40">
        <f t="shared" ref="L74" si="14">I74/$I$73</f>
        <v>1</v>
      </c>
    </row>
    <row r="75" spans="2:12" x14ac:dyDescent="0.25">
      <c r="B75" s="281"/>
      <c r="C75" s="287"/>
      <c r="D75" s="32" t="s">
        <v>34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4" t="str">
        <f>IFERROR(I75/H75-1,"-")</f>
        <v>-</v>
      </c>
      <c r="K75" s="33">
        <f>IFERROR(I75-H75,"-")</f>
        <v>0</v>
      </c>
      <c r="L75" s="65">
        <f>IFERROR(I75/I73,"-")</f>
        <v>0</v>
      </c>
    </row>
    <row r="76" spans="2:12" x14ac:dyDescent="0.25">
      <c r="B76" s="294"/>
      <c r="C76" s="294"/>
      <c r="D76" s="294"/>
      <c r="E76" s="294"/>
      <c r="F76" s="294"/>
      <c r="G76" s="294"/>
      <c r="H76" s="294"/>
      <c r="I76" s="294"/>
      <c r="J76" s="294"/>
      <c r="K76" s="294"/>
      <c r="L76" s="48"/>
    </row>
    <row r="77" spans="2:12" ht="27" customHeight="1" x14ac:dyDescent="0.25">
      <c r="B77" s="295" t="s">
        <v>38</v>
      </c>
      <c r="C77" s="296"/>
      <c r="D77" s="296"/>
      <c r="E77" s="296"/>
      <c r="F77" s="296"/>
      <c r="G77" s="296"/>
      <c r="H77" s="296"/>
      <c r="I77" s="296"/>
      <c r="J77" s="296"/>
      <c r="K77" s="296"/>
    </row>
  </sheetData>
  <mergeCells count="30">
    <mergeCell ref="B76:K76"/>
    <mergeCell ref="B77:K77"/>
    <mergeCell ref="B52:K52"/>
    <mergeCell ref="B53:K53"/>
    <mergeCell ref="B56:K56"/>
    <mergeCell ref="B59:B75"/>
    <mergeCell ref="C59:C60"/>
    <mergeCell ref="C61:C63"/>
    <mergeCell ref="C64:C66"/>
    <mergeCell ref="C67:C69"/>
    <mergeCell ref="C70:C72"/>
    <mergeCell ref="C73:C75"/>
    <mergeCell ref="B25:K25"/>
    <mergeCell ref="B26:K26"/>
    <mergeCell ref="B29:K29"/>
    <mergeCell ref="B32:B51"/>
    <mergeCell ref="C32:C34"/>
    <mergeCell ref="C35:C37"/>
    <mergeCell ref="C38:C40"/>
    <mergeCell ref="C41:C43"/>
    <mergeCell ref="C44:C46"/>
    <mergeCell ref="C49:C51"/>
    <mergeCell ref="B4:K4"/>
    <mergeCell ref="B7:B24"/>
    <mergeCell ref="C7:C9"/>
    <mergeCell ref="C10:C12"/>
    <mergeCell ref="C13:C15"/>
    <mergeCell ref="C16:C18"/>
    <mergeCell ref="C19:C21"/>
    <mergeCell ref="C22:C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8257C-2F7D-4C9F-B665-AD154953064A}">
  <sheetPr>
    <tabColor theme="8" tint="0.59999389629810485"/>
  </sheetPr>
  <dimension ref="B1:P220"/>
  <sheetViews>
    <sheetView showGridLines="0" zoomScaleNormal="100" workbookViewId="0"/>
  </sheetViews>
  <sheetFormatPr baseColWidth="10" defaultColWidth="11.42578125" defaultRowHeight="15" x14ac:dyDescent="0.25"/>
  <cols>
    <col min="2" max="2" width="11.42578125" customWidth="1"/>
    <col min="3" max="3" width="16.85546875" customWidth="1"/>
    <col min="4" max="4" width="26.85546875" customWidth="1"/>
    <col min="5" max="5" width="11.5703125" customWidth="1"/>
  </cols>
  <sheetData>
    <row r="1" spans="2:16" x14ac:dyDescent="0.25">
      <c r="D1" s="297" t="s">
        <v>42</v>
      </c>
      <c r="E1" s="297"/>
      <c r="F1" s="297"/>
      <c r="G1" s="297"/>
      <c r="H1" s="297"/>
      <c r="I1" s="297"/>
      <c r="J1" s="297"/>
      <c r="K1" s="297"/>
      <c r="L1" s="297"/>
    </row>
    <row r="2" spans="2:16" x14ac:dyDescent="0.25">
      <c r="D2" s="297"/>
      <c r="E2" s="297"/>
      <c r="F2" s="297"/>
      <c r="G2" s="297"/>
      <c r="H2" s="297"/>
      <c r="I2" s="297"/>
      <c r="J2" s="297"/>
      <c r="K2" s="297"/>
      <c r="L2" s="297"/>
    </row>
    <row r="4" spans="2:16" ht="21.75" customHeight="1" thickBot="1" x14ac:dyDescent="0.3">
      <c r="C4" s="66" t="s">
        <v>43</v>
      </c>
      <c r="D4" s="66"/>
      <c r="E4" s="66"/>
      <c r="F4" s="66"/>
      <c r="G4" s="66"/>
      <c r="H4" s="66"/>
      <c r="I4" s="66"/>
      <c r="J4" s="66"/>
      <c r="K4" s="66"/>
      <c r="L4" s="66"/>
    </row>
    <row r="5" spans="2:16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6" ht="30" x14ac:dyDescent="0.25">
      <c r="B6" s="4"/>
      <c r="C6" s="4"/>
      <c r="D6" s="4"/>
      <c r="E6" s="13" t="s">
        <v>224</v>
      </c>
      <c r="F6" s="13" t="s">
        <v>225</v>
      </c>
      <c r="G6" s="13" t="s">
        <v>226</v>
      </c>
      <c r="H6" s="13" t="s">
        <v>227</v>
      </c>
      <c r="I6" s="13" t="s">
        <v>228</v>
      </c>
      <c r="J6" s="14" t="str">
        <f>CONCATENATE("var. ",RIGHT(I6,2),"/",RIGHT(H6,2))</f>
        <v>var. 25/24</v>
      </c>
      <c r="K6" s="14" t="str">
        <f>CONCATENATE("dif. ",RIGHT(I6,2),"/",RIGHT(H6,2))</f>
        <v>dif. 25/24</v>
      </c>
      <c r="L6" s="14" t="str">
        <f>CONCATENATE("cuota ",I6)</f>
        <v>cuota junio 2025</v>
      </c>
    </row>
    <row r="7" spans="2:16" ht="15" customHeight="1" x14ac:dyDescent="0.25">
      <c r="B7" s="279" t="s">
        <v>44</v>
      </c>
      <c r="C7" s="282" t="s">
        <v>8</v>
      </c>
      <c r="D7" s="67" t="s">
        <v>45</v>
      </c>
      <c r="E7" s="68">
        <v>142483</v>
      </c>
      <c r="F7" s="68">
        <v>381871</v>
      </c>
      <c r="G7" s="68">
        <v>431303</v>
      </c>
      <c r="H7" s="68">
        <v>446421</v>
      </c>
      <c r="I7" s="68">
        <v>437805</v>
      </c>
      <c r="J7" s="69">
        <f>I7/H7-1</f>
        <v>-1.9300167330837947E-2</v>
      </c>
      <c r="K7" s="68">
        <f>I7-H7</f>
        <v>-8616</v>
      </c>
      <c r="L7" s="69">
        <f>I7/$I$7</f>
        <v>1</v>
      </c>
      <c r="P7" s="70"/>
    </row>
    <row r="8" spans="2:16" ht="15" customHeight="1" x14ac:dyDescent="0.25">
      <c r="B8" s="280"/>
      <c r="C8" s="283"/>
      <c r="D8" s="15" t="s">
        <v>46</v>
      </c>
      <c r="E8" s="16">
        <v>53539</v>
      </c>
      <c r="F8" s="16">
        <v>144989</v>
      </c>
      <c r="G8" s="16">
        <v>157350</v>
      </c>
      <c r="H8" s="16">
        <v>157065</v>
      </c>
      <c r="I8" s="16">
        <v>145993</v>
      </c>
      <c r="J8" s="17">
        <f t="shared" ref="J8:J63" si="0">I8/H8-1</f>
        <v>-7.0493107948938372E-2</v>
      </c>
      <c r="K8" s="16">
        <f t="shared" ref="K8:K50" si="1">I8-H8</f>
        <v>-11072</v>
      </c>
      <c r="L8" s="18">
        <f t="shared" ref="L8:L17" si="2">I8/$I$7</f>
        <v>0.33346581240506618</v>
      </c>
      <c r="P8" s="70"/>
    </row>
    <row r="9" spans="2:16" x14ac:dyDescent="0.25">
      <c r="B9" s="280"/>
      <c r="C9" s="283"/>
      <c r="D9" s="19" t="s">
        <v>47</v>
      </c>
      <c r="E9" s="20">
        <v>21147</v>
      </c>
      <c r="F9" s="20">
        <v>99145</v>
      </c>
      <c r="G9" s="20">
        <v>109784</v>
      </c>
      <c r="H9" s="20">
        <v>113390</v>
      </c>
      <c r="I9" s="20">
        <v>117164</v>
      </c>
      <c r="J9" s="62">
        <f t="shared" si="0"/>
        <v>3.3283358320839618E-2</v>
      </c>
      <c r="K9" s="20">
        <f t="shared" si="1"/>
        <v>3774</v>
      </c>
      <c r="L9" s="63">
        <f t="shared" si="2"/>
        <v>0.2676168613880609</v>
      </c>
      <c r="P9" s="70"/>
    </row>
    <row r="10" spans="2:16" x14ac:dyDescent="0.25">
      <c r="B10" s="280"/>
      <c r="C10" s="283"/>
      <c r="D10" s="19" t="s">
        <v>48</v>
      </c>
      <c r="E10" s="20">
        <v>1595</v>
      </c>
      <c r="F10" s="20">
        <v>2523</v>
      </c>
      <c r="G10" s="20">
        <v>3080</v>
      </c>
      <c r="H10" s="20">
        <v>2377</v>
      </c>
      <c r="I10" s="20">
        <v>3338</v>
      </c>
      <c r="J10" s="62">
        <f t="shared" si="0"/>
        <v>0.40429112326461936</v>
      </c>
      <c r="K10" s="20">
        <f t="shared" si="1"/>
        <v>961</v>
      </c>
      <c r="L10" s="63">
        <f t="shared" si="2"/>
        <v>7.6243989904181087E-3</v>
      </c>
      <c r="P10" s="70"/>
    </row>
    <row r="11" spans="2:16" x14ac:dyDescent="0.25">
      <c r="B11" s="280"/>
      <c r="C11" s="283"/>
      <c r="D11" s="19" t="s">
        <v>49</v>
      </c>
      <c r="E11" s="20">
        <v>3302</v>
      </c>
      <c r="F11" s="20">
        <v>10420</v>
      </c>
      <c r="G11" s="20">
        <v>14934</v>
      </c>
      <c r="H11" s="20">
        <v>16055</v>
      </c>
      <c r="I11" s="20">
        <v>16193</v>
      </c>
      <c r="J11" s="62">
        <f t="shared" si="0"/>
        <v>8.595453129865982E-3</v>
      </c>
      <c r="K11" s="20">
        <f t="shared" si="1"/>
        <v>138</v>
      </c>
      <c r="L11" s="63">
        <f t="shared" si="2"/>
        <v>3.6986786354655611E-2</v>
      </c>
      <c r="P11" s="70"/>
    </row>
    <row r="12" spans="2:16" x14ac:dyDescent="0.25">
      <c r="B12" s="280"/>
      <c r="C12" s="283"/>
      <c r="D12" s="19" t="s">
        <v>50</v>
      </c>
      <c r="E12" s="20">
        <v>25023</v>
      </c>
      <c r="F12" s="20">
        <v>63207</v>
      </c>
      <c r="G12" s="20">
        <v>71344</v>
      </c>
      <c r="H12" s="20">
        <v>83393</v>
      </c>
      <c r="I12" s="20">
        <v>77257</v>
      </c>
      <c r="J12" s="62">
        <f t="shared" si="0"/>
        <v>-7.3579317208878448E-2</v>
      </c>
      <c r="K12" s="20">
        <f t="shared" si="1"/>
        <v>-6136</v>
      </c>
      <c r="L12" s="63">
        <f t="shared" si="2"/>
        <v>0.17646440767008142</v>
      </c>
      <c r="P12" s="70"/>
    </row>
    <row r="13" spans="2:16" x14ac:dyDescent="0.25">
      <c r="B13" s="280"/>
      <c r="C13" s="283"/>
      <c r="D13" s="19" t="s">
        <v>51</v>
      </c>
      <c r="E13" s="20">
        <v>2494</v>
      </c>
      <c r="F13" s="20">
        <v>4520</v>
      </c>
      <c r="G13" s="20">
        <v>4181</v>
      </c>
      <c r="H13" s="20">
        <v>3964</v>
      </c>
      <c r="I13" s="20">
        <v>4119</v>
      </c>
      <c r="J13" s="62">
        <f t="shared" si="0"/>
        <v>3.9101917255297769E-2</v>
      </c>
      <c r="K13" s="20">
        <f t="shared" si="1"/>
        <v>155</v>
      </c>
      <c r="L13" s="63">
        <f t="shared" si="2"/>
        <v>9.4082982149587147E-3</v>
      </c>
      <c r="P13" s="70"/>
    </row>
    <row r="14" spans="2:16" x14ac:dyDescent="0.25">
      <c r="B14" s="280"/>
      <c r="C14" s="283"/>
      <c r="D14" s="19" t="s">
        <v>52</v>
      </c>
      <c r="E14" s="20">
        <v>12758</v>
      </c>
      <c r="F14" s="20">
        <v>13606</v>
      </c>
      <c r="G14" s="20">
        <v>22097</v>
      </c>
      <c r="H14" s="20">
        <v>19721</v>
      </c>
      <c r="I14" s="20">
        <v>20354</v>
      </c>
      <c r="J14" s="62">
        <f t="shared" si="0"/>
        <v>3.2097763805080781E-2</v>
      </c>
      <c r="K14" s="20">
        <f t="shared" si="1"/>
        <v>633</v>
      </c>
      <c r="L14" s="63">
        <f t="shared" si="2"/>
        <v>4.6491017690524321E-2</v>
      </c>
      <c r="P14" s="70"/>
    </row>
    <row r="15" spans="2:16" x14ac:dyDescent="0.25">
      <c r="B15" s="280"/>
      <c r="C15" s="283"/>
      <c r="D15" s="19" t="s">
        <v>53</v>
      </c>
      <c r="E15" s="20">
        <v>13541</v>
      </c>
      <c r="F15" s="20">
        <v>17608</v>
      </c>
      <c r="G15" s="20">
        <v>17983</v>
      </c>
      <c r="H15" s="20">
        <v>19479</v>
      </c>
      <c r="I15" s="20">
        <v>20873</v>
      </c>
      <c r="J15" s="62">
        <f t="shared" si="0"/>
        <v>7.1564248678063658E-2</v>
      </c>
      <c r="K15" s="20">
        <f t="shared" si="1"/>
        <v>1394</v>
      </c>
      <c r="L15" s="63">
        <f t="shared" si="2"/>
        <v>4.7676476970340678E-2</v>
      </c>
      <c r="P15" s="70"/>
    </row>
    <row r="16" spans="2:16" x14ac:dyDescent="0.25">
      <c r="B16" s="280"/>
      <c r="C16" s="283"/>
      <c r="D16" s="19" t="s">
        <v>54</v>
      </c>
      <c r="E16" s="20">
        <v>3802</v>
      </c>
      <c r="F16" s="20">
        <v>18886</v>
      </c>
      <c r="G16" s="20">
        <v>21065</v>
      </c>
      <c r="H16" s="20">
        <v>22841</v>
      </c>
      <c r="I16" s="20">
        <v>23159</v>
      </c>
      <c r="J16" s="62">
        <f t="shared" si="0"/>
        <v>1.3922332647432256E-2</v>
      </c>
      <c r="K16" s="20">
        <f t="shared" si="1"/>
        <v>318</v>
      </c>
      <c r="L16" s="63">
        <f t="shared" si="2"/>
        <v>5.2897979694156071E-2</v>
      </c>
      <c r="P16" s="70"/>
    </row>
    <row r="17" spans="2:16" x14ac:dyDescent="0.25">
      <c r="B17" s="280"/>
      <c r="C17" s="284"/>
      <c r="D17" s="23" t="s">
        <v>55</v>
      </c>
      <c r="E17" s="71">
        <v>5282</v>
      </c>
      <c r="F17" s="71">
        <v>6967</v>
      </c>
      <c r="G17" s="71">
        <v>9485</v>
      </c>
      <c r="H17" s="71">
        <v>8136</v>
      </c>
      <c r="I17" s="71">
        <v>9355</v>
      </c>
      <c r="J17" s="25">
        <f t="shared" si="0"/>
        <v>0.14982792527040312</v>
      </c>
      <c r="K17" s="71">
        <f t="shared" si="1"/>
        <v>1219</v>
      </c>
      <c r="L17" s="47">
        <f t="shared" si="2"/>
        <v>2.1367960621737989E-2</v>
      </c>
      <c r="P17" s="70"/>
    </row>
    <row r="18" spans="2:16" x14ac:dyDescent="0.25">
      <c r="B18" s="280"/>
      <c r="C18" s="285" t="s">
        <v>18</v>
      </c>
      <c r="D18" s="67" t="s">
        <v>45</v>
      </c>
      <c r="E18" s="68">
        <v>154087</v>
      </c>
      <c r="F18" s="68">
        <v>447309</v>
      </c>
      <c r="G18" s="68">
        <v>500292</v>
      </c>
      <c r="H18" s="68">
        <v>521775</v>
      </c>
      <c r="I18" s="68">
        <v>509699</v>
      </c>
      <c r="J18" s="69">
        <f t="shared" si="0"/>
        <v>-2.3144075511475237E-2</v>
      </c>
      <c r="K18" s="68">
        <f t="shared" si="1"/>
        <v>-12076</v>
      </c>
      <c r="L18" s="69">
        <f t="shared" ref="L18:L19" si="3">I18/$I$18</f>
        <v>1</v>
      </c>
    </row>
    <row r="19" spans="2:16" x14ac:dyDescent="0.25">
      <c r="B19" s="280"/>
      <c r="C19" s="286"/>
      <c r="D19" s="26" t="s">
        <v>46</v>
      </c>
      <c r="E19" s="27">
        <v>58548</v>
      </c>
      <c r="F19" s="27">
        <v>175095</v>
      </c>
      <c r="G19" s="27">
        <v>187749</v>
      </c>
      <c r="H19" s="27">
        <v>186497</v>
      </c>
      <c r="I19" s="27">
        <v>173896</v>
      </c>
      <c r="J19" s="28">
        <f t="shared" si="0"/>
        <v>-6.7566770511053753E-2</v>
      </c>
      <c r="K19" s="27">
        <f t="shared" si="1"/>
        <v>-12601</v>
      </c>
      <c r="L19" s="18">
        <f t="shared" si="3"/>
        <v>0.34117390852248092</v>
      </c>
    </row>
    <row r="20" spans="2:16" x14ac:dyDescent="0.25">
      <c r="B20" s="280"/>
      <c r="C20" s="286"/>
      <c r="D20" s="4" t="s">
        <v>47</v>
      </c>
      <c r="E20" s="29">
        <v>22984</v>
      </c>
      <c r="F20" s="29">
        <v>115840</v>
      </c>
      <c r="G20" s="29">
        <v>128682</v>
      </c>
      <c r="H20" s="29">
        <v>134353</v>
      </c>
      <c r="I20" s="29">
        <v>139166</v>
      </c>
      <c r="J20" s="72">
        <f t="shared" si="0"/>
        <v>3.5823539481812938E-2</v>
      </c>
      <c r="K20" s="29">
        <f t="shared" si="1"/>
        <v>4813</v>
      </c>
      <c r="L20" s="63">
        <f>I20/$I$18</f>
        <v>0.27303565437640648</v>
      </c>
    </row>
    <row r="21" spans="2:16" x14ac:dyDescent="0.25">
      <c r="B21" s="280"/>
      <c r="C21" s="286"/>
      <c r="D21" s="4" t="s">
        <v>48</v>
      </c>
      <c r="E21" s="29">
        <v>1691</v>
      </c>
      <c r="F21" s="29">
        <v>2772</v>
      </c>
      <c r="G21" s="29">
        <v>3279</v>
      </c>
      <c r="H21" s="29">
        <v>2702</v>
      </c>
      <c r="I21" s="29">
        <v>3626</v>
      </c>
      <c r="J21" s="72">
        <f t="shared" si="0"/>
        <v>0.34196891191709855</v>
      </c>
      <c r="K21" s="29">
        <f t="shared" si="1"/>
        <v>924</v>
      </c>
      <c r="L21" s="63">
        <f t="shared" ref="L21:L28" si="4">I21/$I$18</f>
        <v>7.1140025779921094E-3</v>
      </c>
    </row>
    <row r="22" spans="2:16" x14ac:dyDescent="0.25">
      <c r="B22" s="280"/>
      <c r="C22" s="286"/>
      <c r="D22" s="4" t="s">
        <v>49</v>
      </c>
      <c r="E22" s="29">
        <v>3642</v>
      </c>
      <c r="F22" s="29">
        <v>12239</v>
      </c>
      <c r="G22" s="29">
        <v>16696</v>
      </c>
      <c r="H22" s="29">
        <v>18571</v>
      </c>
      <c r="I22" s="29">
        <v>18511</v>
      </c>
      <c r="J22" s="72">
        <f t="shared" si="0"/>
        <v>-3.230843788702864E-3</v>
      </c>
      <c r="K22" s="29">
        <f t="shared" si="1"/>
        <v>-60</v>
      </c>
      <c r="L22" s="63">
        <f t="shared" si="4"/>
        <v>3.6317512885055692E-2</v>
      </c>
    </row>
    <row r="23" spans="2:16" x14ac:dyDescent="0.25">
      <c r="B23" s="280"/>
      <c r="C23" s="286"/>
      <c r="D23" s="4" t="s">
        <v>50</v>
      </c>
      <c r="E23" s="29">
        <v>27009</v>
      </c>
      <c r="F23" s="29">
        <v>71256</v>
      </c>
      <c r="G23" s="29">
        <v>79915</v>
      </c>
      <c r="H23" s="29">
        <v>95487</v>
      </c>
      <c r="I23" s="29">
        <v>87271</v>
      </c>
      <c r="J23" s="72">
        <f t="shared" si="0"/>
        <v>-8.6043126289442551E-2</v>
      </c>
      <c r="K23" s="29">
        <f t="shared" si="1"/>
        <v>-8216</v>
      </c>
      <c r="L23" s="63">
        <f t="shared" si="4"/>
        <v>0.17122066160616364</v>
      </c>
    </row>
    <row r="24" spans="2:16" x14ac:dyDescent="0.25">
      <c r="B24" s="280"/>
      <c r="C24" s="286"/>
      <c r="D24" s="4" t="s">
        <v>51</v>
      </c>
      <c r="E24" s="29">
        <v>2578</v>
      </c>
      <c r="F24" s="29">
        <v>4491</v>
      </c>
      <c r="G24" s="29">
        <v>4369</v>
      </c>
      <c r="H24" s="29">
        <v>4153</v>
      </c>
      <c r="I24" s="29">
        <v>4247</v>
      </c>
      <c r="J24" s="72">
        <f t="shared" si="0"/>
        <v>2.2634240308210929E-2</v>
      </c>
      <c r="K24" s="29">
        <f t="shared" si="1"/>
        <v>94</v>
      </c>
      <c r="L24" s="63">
        <f t="shared" si="4"/>
        <v>8.332368711729864E-3</v>
      </c>
    </row>
    <row r="25" spans="2:16" x14ac:dyDescent="0.25">
      <c r="B25" s="280"/>
      <c r="C25" s="286"/>
      <c r="D25" s="4" t="s">
        <v>52</v>
      </c>
      <c r="E25" s="29">
        <v>13872</v>
      </c>
      <c r="F25" s="29">
        <v>16290</v>
      </c>
      <c r="G25" s="29">
        <v>24851</v>
      </c>
      <c r="H25" s="29">
        <v>23158</v>
      </c>
      <c r="I25" s="29">
        <v>23497</v>
      </c>
      <c r="J25" s="72">
        <f t="shared" si="0"/>
        <v>1.4638569824682701E-2</v>
      </c>
      <c r="K25" s="29">
        <f t="shared" si="1"/>
        <v>339</v>
      </c>
      <c r="L25" s="63">
        <f t="shared" si="4"/>
        <v>4.6099756915355929E-2</v>
      </c>
    </row>
    <row r="26" spans="2:16" x14ac:dyDescent="0.25">
      <c r="B26" s="280"/>
      <c r="C26" s="286"/>
      <c r="D26" s="4" t="s">
        <v>53</v>
      </c>
      <c r="E26" s="29">
        <v>13942</v>
      </c>
      <c r="F26" s="29">
        <v>18300</v>
      </c>
      <c r="G26" s="29">
        <v>18588</v>
      </c>
      <c r="H26" s="29">
        <v>20189</v>
      </c>
      <c r="I26" s="29">
        <v>21402</v>
      </c>
      <c r="J26" s="72">
        <f t="shared" si="0"/>
        <v>6.0082222992718703E-2</v>
      </c>
      <c r="K26" s="29">
        <f t="shared" si="1"/>
        <v>1213</v>
      </c>
      <c r="L26" s="63">
        <f t="shared" si="4"/>
        <v>4.1989487913454804E-2</v>
      </c>
    </row>
    <row r="27" spans="2:16" x14ac:dyDescent="0.25">
      <c r="B27" s="280"/>
      <c r="C27" s="286"/>
      <c r="D27" s="4" t="s">
        <v>54</v>
      </c>
      <c r="E27" s="29">
        <v>4233</v>
      </c>
      <c r="F27" s="29">
        <v>22878</v>
      </c>
      <c r="G27" s="29">
        <v>25226</v>
      </c>
      <c r="H27" s="29">
        <v>27463</v>
      </c>
      <c r="I27" s="29">
        <v>27371</v>
      </c>
      <c r="J27" s="30">
        <f t="shared" si="0"/>
        <v>-3.3499617667407389E-3</v>
      </c>
      <c r="K27" s="29">
        <f t="shared" si="1"/>
        <v>-92</v>
      </c>
      <c r="L27" s="31">
        <f t="shared" si="4"/>
        <v>5.37003211699454E-2</v>
      </c>
    </row>
    <row r="28" spans="2:16" x14ac:dyDescent="0.25">
      <c r="B28" s="280"/>
      <c r="C28" s="287"/>
      <c r="D28" s="32" t="s">
        <v>55</v>
      </c>
      <c r="E28" s="73">
        <v>5588</v>
      </c>
      <c r="F28" s="73">
        <v>8148</v>
      </c>
      <c r="G28" s="73">
        <v>10937</v>
      </c>
      <c r="H28" s="73">
        <v>9202</v>
      </c>
      <c r="I28" s="73">
        <v>10712</v>
      </c>
      <c r="J28" s="34">
        <f t="shared" si="0"/>
        <v>0.16409476200825912</v>
      </c>
      <c r="K28" s="73">
        <f t="shared" si="1"/>
        <v>1510</v>
      </c>
      <c r="L28" s="74">
        <f t="shared" si="4"/>
        <v>2.1016325321415188E-2</v>
      </c>
    </row>
    <row r="29" spans="2:16" x14ac:dyDescent="0.25">
      <c r="B29" s="280"/>
      <c r="C29" s="282" t="s">
        <v>21</v>
      </c>
      <c r="D29" s="67" t="s">
        <v>45</v>
      </c>
      <c r="E29" s="68">
        <v>653021</v>
      </c>
      <c r="F29" s="68">
        <v>2454749</v>
      </c>
      <c r="G29" s="68">
        <v>2670685</v>
      </c>
      <c r="H29" s="68">
        <v>2787401</v>
      </c>
      <c r="I29" s="68">
        <v>2736656</v>
      </c>
      <c r="J29" s="69">
        <f t="shared" si="0"/>
        <v>-1.8205130872809505E-2</v>
      </c>
      <c r="K29" s="68">
        <f t="shared" si="1"/>
        <v>-50745</v>
      </c>
      <c r="L29" s="69">
        <f t="shared" ref="L29:L30" si="5">I29/$I$29</f>
        <v>1</v>
      </c>
    </row>
    <row r="30" spans="2:16" x14ac:dyDescent="0.25">
      <c r="B30" s="280"/>
      <c r="C30" s="283"/>
      <c r="D30" s="15" t="s">
        <v>46</v>
      </c>
      <c r="E30" s="16">
        <v>274949</v>
      </c>
      <c r="F30" s="16">
        <v>1029864</v>
      </c>
      <c r="G30" s="16">
        <v>1069466</v>
      </c>
      <c r="H30" s="16">
        <v>1059592</v>
      </c>
      <c r="I30" s="16">
        <v>1003656</v>
      </c>
      <c r="J30" s="17">
        <f t="shared" si="0"/>
        <v>-5.2790130540811941E-2</v>
      </c>
      <c r="K30" s="16">
        <f t="shared" si="1"/>
        <v>-55936</v>
      </c>
      <c r="L30" s="18">
        <f t="shared" si="5"/>
        <v>0.36674540022567687</v>
      </c>
    </row>
    <row r="31" spans="2:16" x14ac:dyDescent="0.25">
      <c r="B31" s="280"/>
      <c r="C31" s="283"/>
      <c r="D31" s="19" t="s">
        <v>47</v>
      </c>
      <c r="E31" s="20">
        <v>113899</v>
      </c>
      <c r="F31" s="20">
        <v>672943</v>
      </c>
      <c r="G31" s="20">
        <v>758024</v>
      </c>
      <c r="H31" s="20">
        <v>787690</v>
      </c>
      <c r="I31" s="20">
        <v>808867</v>
      </c>
      <c r="J31" s="62">
        <f>I31/H31-1</f>
        <v>2.6884942045728666E-2</v>
      </c>
      <c r="K31" s="20">
        <f t="shared" si="1"/>
        <v>21177</v>
      </c>
      <c r="L31" s="63">
        <f>I31/$I$29</f>
        <v>0.29556765629293563</v>
      </c>
    </row>
    <row r="32" spans="2:16" x14ac:dyDescent="0.25">
      <c r="B32" s="280"/>
      <c r="C32" s="283"/>
      <c r="D32" s="19" t="s">
        <v>48</v>
      </c>
      <c r="E32" s="20">
        <v>5772</v>
      </c>
      <c r="F32" s="20">
        <v>11814</v>
      </c>
      <c r="G32" s="20">
        <v>11134</v>
      </c>
      <c r="H32" s="20">
        <v>12283</v>
      </c>
      <c r="I32" s="20">
        <v>17483</v>
      </c>
      <c r="J32" s="62">
        <f t="shared" ref="J32:J41" si="6">I32/H32-1</f>
        <v>0.42334934462264928</v>
      </c>
      <c r="K32" s="20">
        <f t="shared" si="1"/>
        <v>5200</v>
      </c>
      <c r="L32" s="63">
        <f t="shared" ref="L32:L39" si="7">I32/$I$29</f>
        <v>6.3884536456171323E-3</v>
      </c>
    </row>
    <row r="33" spans="2:12" x14ac:dyDescent="0.25">
      <c r="B33" s="280"/>
      <c r="C33" s="283"/>
      <c r="D33" s="19" t="s">
        <v>49</v>
      </c>
      <c r="E33" s="20">
        <v>14068</v>
      </c>
      <c r="F33" s="20">
        <v>50889</v>
      </c>
      <c r="G33" s="20">
        <v>61354</v>
      </c>
      <c r="H33" s="20">
        <v>78527</v>
      </c>
      <c r="I33" s="20">
        <v>92544</v>
      </c>
      <c r="J33" s="62">
        <f t="shared" si="6"/>
        <v>0.17849911495409221</v>
      </c>
      <c r="K33" s="20">
        <f t="shared" si="1"/>
        <v>14017</v>
      </c>
      <c r="L33" s="63">
        <f t="shared" si="7"/>
        <v>3.3816453364982665E-2</v>
      </c>
    </row>
    <row r="34" spans="2:12" x14ac:dyDescent="0.25">
      <c r="B34" s="280"/>
      <c r="C34" s="283"/>
      <c r="D34" s="19" t="s">
        <v>50</v>
      </c>
      <c r="E34" s="20">
        <v>110623</v>
      </c>
      <c r="F34" s="20">
        <v>364068</v>
      </c>
      <c r="G34" s="20">
        <v>393768</v>
      </c>
      <c r="H34" s="20">
        <v>460449</v>
      </c>
      <c r="I34" s="20">
        <v>430081</v>
      </c>
      <c r="J34" s="62">
        <f t="shared" si="6"/>
        <v>-6.5953015426246986E-2</v>
      </c>
      <c r="K34" s="20">
        <f t="shared" si="1"/>
        <v>-30368</v>
      </c>
      <c r="L34" s="63">
        <f t="shared" si="7"/>
        <v>0.1571556673546109</v>
      </c>
    </row>
    <row r="35" spans="2:12" x14ac:dyDescent="0.25">
      <c r="B35" s="280"/>
      <c r="C35" s="283"/>
      <c r="D35" s="19" t="s">
        <v>51</v>
      </c>
      <c r="E35" s="20">
        <v>5487</v>
      </c>
      <c r="F35" s="20">
        <v>11277</v>
      </c>
      <c r="G35" s="20">
        <v>10373</v>
      </c>
      <c r="H35" s="20">
        <v>10115</v>
      </c>
      <c r="I35" s="20">
        <v>11658</v>
      </c>
      <c r="J35" s="62">
        <f t="shared" si="6"/>
        <v>0.15254572417202183</v>
      </c>
      <c r="K35" s="20">
        <f t="shared" si="1"/>
        <v>1543</v>
      </c>
      <c r="L35" s="63">
        <f t="shared" si="7"/>
        <v>4.2599435223133631E-3</v>
      </c>
    </row>
    <row r="36" spans="2:12" x14ac:dyDescent="0.25">
      <c r="B36" s="280"/>
      <c r="C36" s="283"/>
      <c r="D36" s="19" t="s">
        <v>52</v>
      </c>
      <c r="E36" s="20">
        <v>64992</v>
      </c>
      <c r="F36" s="20">
        <v>93083</v>
      </c>
      <c r="G36" s="20">
        <v>128219</v>
      </c>
      <c r="H36" s="20">
        <v>124929</v>
      </c>
      <c r="I36" s="20">
        <v>121111</v>
      </c>
      <c r="J36" s="62">
        <f t="shared" si="6"/>
        <v>-3.0561358851827869E-2</v>
      </c>
      <c r="K36" s="20">
        <f t="shared" si="1"/>
        <v>-3818</v>
      </c>
      <c r="L36" s="63">
        <f t="shared" si="7"/>
        <v>4.4255105501020221E-2</v>
      </c>
    </row>
    <row r="37" spans="2:12" x14ac:dyDescent="0.25">
      <c r="B37" s="280"/>
      <c r="C37" s="283"/>
      <c r="D37" s="19" t="s">
        <v>53</v>
      </c>
      <c r="E37" s="20">
        <v>26795</v>
      </c>
      <c r="F37" s="20">
        <v>40470</v>
      </c>
      <c r="G37" s="20">
        <v>38639</v>
      </c>
      <c r="H37" s="20">
        <v>40074</v>
      </c>
      <c r="I37" s="20">
        <v>42497</v>
      </c>
      <c r="J37" s="62">
        <f t="shared" si="6"/>
        <v>6.0463143185107482E-2</v>
      </c>
      <c r="K37" s="20">
        <f t="shared" si="1"/>
        <v>2423</v>
      </c>
      <c r="L37" s="63">
        <f t="shared" si="7"/>
        <v>1.5528805958805198E-2</v>
      </c>
    </row>
    <row r="38" spans="2:12" x14ac:dyDescent="0.25">
      <c r="B38" s="280"/>
      <c r="C38" s="283"/>
      <c r="D38" s="19" t="s">
        <v>54</v>
      </c>
      <c r="E38" s="20">
        <v>18794</v>
      </c>
      <c r="F38" s="20">
        <v>132220</v>
      </c>
      <c r="G38" s="20">
        <v>142289</v>
      </c>
      <c r="H38" s="20">
        <v>157113</v>
      </c>
      <c r="I38" s="20">
        <v>156124</v>
      </c>
      <c r="J38" s="21">
        <f t="shared" si="6"/>
        <v>-6.2948323817888507E-3</v>
      </c>
      <c r="K38" s="20">
        <f t="shared" si="1"/>
        <v>-989</v>
      </c>
      <c r="L38" s="22">
        <f t="shared" si="7"/>
        <v>5.704918703702621E-2</v>
      </c>
    </row>
    <row r="39" spans="2:12" x14ac:dyDescent="0.25">
      <c r="B39" s="280"/>
      <c r="C39" s="284"/>
      <c r="D39" s="23" t="s">
        <v>55</v>
      </c>
      <c r="E39" s="71">
        <v>17642</v>
      </c>
      <c r="F39" s="71">
        <v>48121</v>
      </c>
      <c r="G39" s="71">
        <v>57419</v>
      </c>
      <c r="H39" s="71">
        <v>56629</v>
      </c>
      <c r="I39" s="71">
        <v>52635</v>
      </c>
      <c r="J39" s="25">
        <f t="shared" si="6"/>
        <v>-7.0529234137985841E-2</v>
      </c>
      <c r="K39" s="71">
        <f t="shared" si="1"/>
        <v>-3994</v>
      </c>
      <c r="L39" s="47">
        <f t="shared" si="7"/>
        <v>1.9233327097011827E-2</v>
      </c>
    </row>
    <row r="40" spans="2:12" x14ac:dyDescent="0.25">
      <c r="B40" s="280"/>
      <c r="C40" s="298" t="s">
        <v>22</v>
      </c>
      <c r="D40" s="67" t="s">
        <v>45</v>
      </c>
      <c r="E40" s="75">
        <v>4.5831502705585931</v>
      </c>
      <c r="F40" s="75">
        <v>6.4282152873614384</v>
      </c>
      <c r="G40" s="75">
        <v>6.1921317496052657</v>
      </c>
      <c r="H40" s="75">
        <v>6.2438841362749509</v>
      </c>
      <c r="I40" s="75">
        <v>6.2508559746919294</v>
      </c>
      <c r="J40" s="69">
        <f t="shared" si="6"/>
        <v>1.1165867695197562E-3</v>
      </c>
      <c r="K40" s="75">
        <f t="shared" si="1"/>
        <v>6.9718384169785708E-3</v>
      </c>
      <c r="L40" s="69"/>
    </row>
    <row r="41" spans="2:12" x14ac:dyDescent="0.25">
      <c r="B41" s="280"/>
      <c r="C41" s="299"/>
      <c r="D41" s="26" t="s">
        <v>46</v>
      </c>
      <c r="E41" s="35">
        <v>5.1354900166233959</v>
      </c>
      <c r="F41" s="35">
        <v>7.103049196835622</v>
      </c>
      <c r="G41" s="35">
        <v>6.7967333968859229</v>
      </c>
      <c r="H41" s="35">
        <v>6.746200617578709</v>
      </c>
      <c r="I41" s="35">
        <v>6.8746857726055355</v>
      </c>
      <c r="J41" s="36">
        <f t="shared" si="6"/>
        <v>1.9045557982967587E-2</v>
      </c>
      <c r="K41" s="37">
        <f t="shared" si="1"/>
        <v>0.12848515502682645</v>
      </c>
      <c r="L41" s="38"/>
    </row>
    <row r="42" spans="2:12" x14ac:dyDescent="0.25">
      <c r="B42" s="280"/>
      <c r="C42" s="299"/>
      <c r="D42" s="4" t="s">
        <v>47</v>
      </c>
      <c r="E42" s="39">
        <v>5.3860594883435002</v>
      </c>
      <c r="F42" s="39">
        <v>6.7874628069998488</v>
      </c>
      <c r="G42" s="39">
        <v>6.9046855643809666</v>
      </c>
      <c r="H42" s="39">
        <v>6.9467325160948938</v>
      </c>
      <c r="I42" s="39">
        <v>6.9037161585469944</v>
      </c>
      <c r="J42" s="76">
        <f t="shared" si="0"/>
        <v>-6.1923152285243699E-3</v>
      </c>
      <c r="K42" s="41">
        <f t="shared" si="1"/>
        <v>-4.3016357547899453E-2</v>
      </c>
      <c r="L42" s="77"/>
    </row>
    <row r="43" spans="2:12" x14ac:dyDescent="0.25">
      <c r="B43" s="280"/>
      <c r="C43" s="299"/>
      <c r="D43" s="4" t="s">
        <v>48</v>
      </c>
      <c r="E43" s="39">
        <v>3.618808777429467</v>
      </c>
      <c r="F43" s="39">
        <v>4.6825208085612369</v>
      </c>
      <c r="G43" s="39">
        <v>3.6149350649350649</v>
      </c>
      <c r="H43" s="39">
        <v>5.1674379469920071</v>
      </c>
      <c r="I43" s="39">
        <v>5.2375674056321149</v>
      </c>
      <c r="J43" s="76">
        <f t="shared" si="0"/>
        <v>1.3571417665679153E-2</v>
      </c>
      <c r="K43" s="41">
        <f t="shared" si="1"/>
        <v>7.0129458640107778E-2</v>
      </c>
      <c r="L43" s="77"/>
    </row>
    <row r="44" spans="2:12" x14ac:dyDescent="0.25">
      <c r="B44" s="280"/>
      <c r="C44" s="299"/>
      <c r="D44" s="4" t="s">
        <v>49</v>
      </c>
      <c r="E44" s="39">
        <v>4.2604482132041186</v>
      </c>
      <c r="F44" s="39">
        <v>4.8837811900191941</v>
      </c>
      <c r="G44" s="39">
        <v>4.1083433775277891</v>
      </c>
      <c r="H44" s="39">
        <v>4.8911242603550296</v>
      </c>
      <c r="I44" s="39">
        <v>5.7150620638547522</v>
      </c>
      <c r="J44" s="76">
        <f t="shared" si="0"/>
        <v>0.16845570867584447</v>
      </c>
      <c r="K44" s="41">
        <f t="shared" si="1"/>
        <v>0.82393780349972268</v>
      </c>
      <c r="L44" s="77"/>
    </row>
    <row r="45" spans="2:12" x14ac:dyDescent="0.25">
      <c r="B45" s="280"/>
      <c r="C45" s="299"/>
      <c r="D45" s="4" t="s">
        <v>50</v>
      </c>
      <c r="E45" s="39">
        <v>4.4208528154098232</v>
      </c>
      <c r="F45" s="39">
        <v>5.7599316531396836</v>
      </c>
      <c r="G45" s="39">
        <v>5.5192868356133662</v>
      </c>
      <c r="H45" s="39">
        <v>5.5214346527886038</v>
      </c>
      <c r="I45" s="39">
        <v>5.5668871429126163</v>
      </c>
      <c r="J45" s="76">
        <f t="shared" si="0"/>
        <v>8.2320072557693358E-3</v>
      </c>
      <c r="K45" s="41">
        <f t="shared" si="1"/>
        <v>4.5452490124012535E-2</v>
      </c>
      <c r="L45" s="77"/>
    </row>
    <row r="46" spans="2:12" x14ac:dyDescent="0.25">
      <c r="B46" s="280"/>
      <c r="C46" s="299"/>
      <c r="D46" s="4" t="s">
        <v>51</v>
      </c>
      <c r="E46" s="39">
        <v>2.2000801924619084</v>
      </c>
      <c r="F46" s="39">
        <v>2.4949115044247789</v>
      </c>
      <c r="G46" s="39">
        <v>2.4809854101889499</v>
      </c>
      <c r="H46" s="39">
        <v>2.5517154389505552</v>
      </c>
      <c r="I46" s="39">
        <v>2.8302986161689732</v>
      </c>
      <c r="J46" s="76">
        <f t="shared" si="0"/>
        <v>0.10917486055302117</v>
      </c>
      <c r="K46" s="41">
        <f t="shared" si="1"/>
        <v>0.27858317721841797</v>
      </c>
      <c r="L46" s="77"/>
    </row>
    <row r="47" spans="2:12" x14ac:dyDescent="0.25">
      <c r="B47" s="280"/>
      <c r="C47" s="299"/>
      <c r="D47" s="4" t="s">
        <v>52</v>
      </c>
      <c r="E47" s="39">
        <v>5.0942153942624238</v>
      </c>
      <c r="F47" s="39">
        <v>6.8413200058797585</v>
      </c>
      <c r="G47" s="39">
        <v>5.8025523826763816</v>
      </c>
      <c r="H47" s="39">
        <v>6.334820749454896</v>
      </c>
      <c r="I47" s="39">
        <v>5.9502309128426845</v>
      </c>
      <c r="J47" s="76">
        <f t="shared" si="0"/>
        <v>-6.0710452879871202E-2</v>
      </c>
      <c r="K47" s="41">
        <f t="shared" si="1"/>
        <v>-0.38458983661221158</v>
      </c>
      <c r="L47" s="77"/>
    </row>
    <row r="48" spans="2:12" x14ac:dyDescent="0.25">
      <c r="B48" s="280"/>
      <c r="C48" s="299"/>
      <c r="D48" s="4" t="s">
        <v>53</v>
      </c>
      <c r="E48" s="39">
        <v>1.9788051104054354</v>
      </c>
      <c r="F48" s="39">
        <v>2.2983870967741935</v>
      </c>
      <c r="G48" s="39">
        <v>2.1486403825835509</v>
      </c>
      <c r="H48" s="39">
        <v>2.0572924688125673</v>
      </c>
      <c r="I48" s="39">
        <v>2.0359794950414409</v>
      </c>
      <c r="J48" s="76">
        <f t="shared" si="0"/>
        <v>-1.0359719920341681E-2</v>
      </c>
      <c r="K48" s="41">
        <f t="shared" si="1"/>
        <v>-2.1312973771126398E-2</v>
      </c>
      <c r="L48" s="77"/>
    </row>
    <row r="49" spans="2:12" x14ac:dyDescent="0.25">
      <c r="B49" s="280"/>
      <c r="C49" s="299"/>
      <c r="D49" s="4" t="s">
        <v>54</v>
      </c>
      <c r="E49" s="39">
        <v>4.9431877958968959</v>
      </c>
      <c r="F49" s="39">
        <v>7.000953086942709</v>
      </c>
      <c r="G49" s="39">
        <v>6.7547590790410634</v>
      </c>
      <c r="H49" s="39">
        <v>6.8785517271573049</v>
      </c>
      <c r="I49" s="39">
        <v>6.7413964333520449</v>
      </c>
      <c r="J49" s="40">
        <f t="shared" si="0"/>
        <v>-1.9939559844226462E-2</v>
      </c>
      <c r="K49" s="41">
        <f t="shared" si="1"/>
        <v>-0.13715529380526004</v>
      </c>
      <c r="L49" s="42"/>
    </row>
    <row r="50" spans="2:12" x14ac:dyDescent="0.25">
      <c r="B50" s="280"/>
      <c r="C50" s="300"/>
      <c r="D50" s="32" t="s">
        <v>55</v>
      </c>
      <c r="E50" s="78">
        <v>3.3400227186671714</v>
      </c>
      <c r="F50" s="78">
        <v>6.9069900961676476</v>
      </c>
      <c r="G50" s="78">
        <v>6.0536636794939378</v>
      </c>
      <c r="H50" s="78">
        <v>6.9602999016715827</v>
      </c>
      <c r="I50" s="78">
        <v>5.626402993051844</v>
      </c>
      <c r="J50" s="65">
        <f t="shared" si="0"/>
        <v>-0.19164359689435084</v>
      </c>
      <c r="K50" s="79">
        <f t="shared" si="1"/>
        <v>-1.3338969086197388</v>
      </c>
      <c r="L50" s="56"/>
    </row>
    <row r="51" spans="2:12" x14ac:dyDescent="0.25">
      <c r="B51" s="280"/>
      <c r="C51" s="288" t="s">
        <v>36</v>
      </c>
      <c r="D51" s="67" t="s">
        <v>45</v>
      </c>
      <c r="E51" s="69">
        <v>0.2873</v>
      </c>
      <c r="F51" s="69">
        <v>0.65620000000000001</v>
      </c>
      <c r="G51" s="69">
        <v>17.344899999999999</v>
      </c>
      <c r="H51" s="69">
        <v>17.998200000000001</v>
      </c>
      <c r="I51" s="69">
        <v>18.194000000000003</v>
      </c>
      <c r="J51" s="69">
        <f t="shared" si="0"/>
        <v>1.0878865664344373E-2</v>
      </c>
      <c r="K51" s="75">
        <f t="shared" ref="K51" si="8">(I51-H51)*100</f>
        <v>19.580000000000197</v>
      </c>
      <c r="L51" s="69"/>
    </row>
    <row r="52" spans="2:12" x14ac:dyDescent="0.25">
      <c r="B52" s="280"/>
      <c r="C52" s="289"/>
      <c r="D52" s="15" t="s">
        <v>46</v>
      </c>
      <c r="E52" s="18">
        <v>0.3044</v>
      </c>
      <c r="F52" s="18">
        <v>0.76419999999999999</v>
      </c>
      <c r="G52" s="18">
        <v>0.77629999999999999</v>
      </c>
      <c r="H52" s="18">
        <v>0.76719999999999999</v>
      </c>
      <c r="I52" s="18">
        <v>0.7611</v>
      </c>
      <c r="J52" s="17">
        <f t="shared" si="0"/>
        <v>-7.950990615224196E-3</v>
      </c>
      <c r="K52" s="44">
        <f>(I52-H52)*100</f>
        <v>-0.60999999999999943</v>
      </c>
      <c r="L52" s="18"/>
    </row>
    <row r="53" spans="2:12" x14ac:dyDescent="0.25">
      <c r="B53" s="280"/>
      <c r="C53" s="289"/>
      <c r="D53" s="19" t="s">
        <v>47</v>
      </c>
      <c r="E53" s="63">
        <v>0.18729999999999999</v>
      </c>
      <c r="F53" s="63">
        <v>0.5746</v>
      </c>
      <c r="G53" s="63">
        <v>0.68279999999999996</v>
      </c>
      <c r="H53" s="63">
        <v>0.7095999999999999</v>
      </c>
      <c r="I53" s="63">
        <v>0.72840000000000005</v>
      </c>
      <c r="J53" s="62">
        <f t="shared" si="0"/>
        <v>2.6493799323562772E-2</v>
      </c>
      <c r="K53" s="46">
        <f t="shared" ref="K53:K61" si="9">(I53-H53)*100</f>
        <v>1.880000000000015</v>
      </c>
      <c r="L53" s="63"/>
    </row>
    <row r="54" spans="2:12" x14ac:dyDescent="0.25">
      <c r="B54" s="280"/>
      <c r="C54" s="289"/>
      <c r="D54" s="19" t="s">
        <v>48</v>
      </c>
      <c r="E54" s="63">
        <v>0.23989999999999997</v>
      </c>
      <c r="F54" s="63">
        <v>0.46659999999999996</v>
      </c>
      <c r="G54" s="63">
        <v>0.40689999999999998</v>
      </c>
      <c r="H54" s="63">
        <v>0.53659999999999997</v>
      </c>
      <c r="I54" s="63">
        <v>0.63619999999999999</v>
      </c>
      <c r="J54" s="62">
        <f t="shared" si="0"/>
        <v>0.18561311964219174</v>
      </c>
      <c r="K54" s="46">
        <f t="shared" si="9"/>
        <v>9.9600000000000026</v>
      </c>
      <c r="L54" s="63"/>
    </row>
    <row r="55" spans="2:12" x14ac:dyDescent="0.25">
      <c r="B55" s="280"/>
      <c r="C55" s="289"/>
      <c r="D55" s="19" t="s">
        <v>49</v>
      </c>
      <c r="E55" s="63">
        <v>0.12839999999999999</v>
      </c>
      <c r="F55" s="63">
        <v>0.37180000000000002</v>
      </c>
      <c r="G55" s="63">
        <v>0.4783</v>
      </c>
      <c r="H55" s="63">
        <v>0.60770000000000002</v>
      </c>
      <c r="I55" s="63">
        <v>0.66830000000000001</v>
      </c>
      <c r="J55" s="62">
        <f t="shared" si="0"/>
        <v>9.9720256705611243E-2</v>
      </c>
      <c r="K55" s="46">
        <f t="shared" si="9"/>
        <v>6.0599999999999987</v>
      </c>
      <c r="L55" s="63"/>
    </row>
    <row r="56" spans="2:12" x14ac:dyDescent="0.25">
      <c r="B56" s="280"/>
      <c r="C56" s="289"/>
      <c r="D56" s="19" t="s">
        <v>50</v>
      </c>
      <c r="E56" s="63">
        <v>0.3962</v>
      </c>
      <c r="F56" s="63">
        <v>0.66049999999999998</v>
      </c>
      <c r="G56" s="63">
        <v>0.70200000000000007</v>
      </c>
      <c r="H56" s="63">
        <v>0.76209999999999989</v>
      </c>
      <c r="I56" s="63">
        <v>0.73019999999999996</v>
      </c>
      <c r="J56" s="62">
        <f t="shared" si="0"/>
        <v>-4.1858023881380269E-2</v>
      </c>
      <c r="K56" s="46">
        <f t="shared" si="9"/>
        <v>-3.1899999999999928</v>
      </c>
      <c r="L56" s="63"/>
    </row>
    <row r="57" spans="2:12" x14ac:dyDescent="0.25">
      <c r="B57" s="280"/>
      <c r="C57" s="289"/>
      <c r="D57" s="19" t="s">
        <v>51</v>
      </c>
      <c r="E57" s="63">
        <v>0.39329999999999998</v>
      </c>
      <c r="F57" s="63">
        <v>0.56700000000000006</v>
      </c>
      <c r="G57" s="63">
        <v>0.52149999999999996</v>
      </c>
      <c r="H57" s="63">
        <v>0.501</v>
      </c>
      <c r="I57" s="63">
        <v>0.57740000000000002</v>
      </c>
      <c r="J57" s="62">
        <f t="shared" si="0"/>
        <v>0.15249500998003995</v>
      </c>
      <c r="K57" s="46">
        <f t="shared" si="9"/>
        <v>7.6400000000000023</v>
      </c>
      <c r="L57" s="63"/>
    </row>
    <row r="58" spans="2:12" x14ac:dyDescent="0.25">
      <c r="B58" s="280"/>
      <c r="C58" s="289"/>
      <c r="D58" s="19" t="s">
        <v>52</v>
      </c>
      <c r="E58" s="63">
        <v>0.73840000000000006</v>
      </c>
      <c r="F58" s="63">
        <v>0.75730000000000008</v>
      </c>
      <c r="G58" s="63">
        <v>0.89209999999999989</v>
      </c>
      <c r="H58" s="63">
        <v>0.86809999999999998</v>
      </c>
      <c r="I58" s="63">
        <v>0.87670000000000003</v>
      </c>
      <c r="J58" s="62">
        <f t="shared" si="0"/>
        <v>9.9066927773299174E-3</v>
      </c>
      <c r="K58" s="46">
        <f t="shared" si="9"/>
        <v>0.8600000000000052</v>
      </c>
      <c r="L58" s="63"/>
    </row>
    <row r="59" spans="2:12" x14ac:dyDescent="0.25">
      <c r="B59" s="280"/>
      <c r="C59" s="289"/>
      <c r="D59" s="19" t="s">
        <v>53</v>
      </c>
      <c r="E59" s="63">
        <v>0.37560000000000004</v>
      </c>
      <c r="F59" s="63">
        <v>0.49780000000000002</v>
      </c>
      <c r="G59" s="63">
        <v>0.47020000000000001</v>
      </c>
      <c r="H59" s="63">
        <v>0.48170000000000002</v>
      </c>
      <c r="I59" s="63">
        <v>0.52880000000000005</v>
      </c>
      <c r="J59" s="62">
        <f t="shared" si="0"/>
        <v>9.7778700435956045E-2</v>
      </c>
      <c r="K59" s="46">
        <f t="shared" si="9"/>
        <v>4.7100000000000026</v>
      </c>
      <c r="L59" s="63"/>
    </row>
    <row r="60" spans="2:12" x14ac:dyDescent="0.25">
      <c r="B60" s="280"/>
      <c r="C60" s="289"/>
      <c r="D60" s="19" t="s">
        <v>54</v>
      </c>
      <c r="E60" s="22">
        <v>0.20440000000000003</v>
      </c>
      <c r="F60" s="22">
        <v>0.6873999999999999</v>
      </c>
      <c r="G60" s="22">
        <v>0.76780000000000004</v>
      </c>
      <c r="H60" s="22">
        <v>0.81640000000000001</v>
      </c>
      <c r="I60" s="22">
        <v>0.80099999999999993</v>
      </c>
      <c r="J60" s="21">
        <f t="shared" si="0"/>
        <v>-1.8863302302792873E-2</v>
      </c>
      <c r="K60" s="46">
        <f t="shared" si="9"/>
        <v>-1.540000000000008</v>
      </c>
      <c r="L60" s="22"/>
    </row>
    <row r="61" spans="2:12" x14ac:dyDescent="0.25">
      <c r="B61" s="280"/>
      <c r="C61" s="290"/>
      <c r="D61" s="23" t="s">
        <v>55</v>
      </c>
      <c r="E61" s="47">
        <v>0.21149999999999999</v>
      </c>
      <c r="F61" s="47">
        <v>0.52159999999999995</v>
      </c>
      <c r="G61" s="47">
        <v>0.62939999999999996</v>
      </c>
      <c r="H61" s="47">
        <v>0.6119</v>
      </c>
      <c r="I61" s="47">
        <v>0.56359999999999999</v>
      </c>
      <c r="J61" s="25">
        <f t="shared" si="0"/>
        <v>-7.8934466416081039E-2</v>
      </c>
      <c r="K61" s="80">
        <f t="shared" si="9"/>
        <v>-4.830000000000001</v>
      </c>
      <c r="L61" s="47"/>
    </row>
    <row r="62" spans="2:12" x14ac:dyDescent="0.25">
      <c r="B62" s="280"/>
      <c r="C62" s="291" t="s">
        <v>56</v>
      </c>
      <c r="D62" s="67" t="s">
        <v>45</v>
      </c>
      <c r="E62" s="68">
        <v>75767</v>
      </c>
      <c r="F62" s="68">
        <v>124698</v>
      </c>
      <c r="G62" s="68">
        <v>124223</v>
      </c>
      <c r="H62" s="68">
        <v>125992</v>
      </c>
      <c r="I62" s="68">
        <v>123702</v>
      </c>
      <c r="J62" s="69">
        <f t="shared" si="0"/>
        <v>-1.8175757190932784E-2</v>
      </c>
      <c r="K62" s="68">
        <f t="shared" ref="K62:K63" si="10">I62-H62</f>
        <v>-2290</v>
      </c>
      <c r="L62" s="69">
        <f t="shared" ref="L62:L63" si="11">I62/$I$62</f>
        <v>1</v>
      </c>
    </row>
    <row r="63" spans="2:12" x14ac:dyDescent="0.25">
      <c r="B63" s="280"/>
      <c r="C63" s="292"/>
      <c r="D63" s="26" t="s">
        <v>46</v>
      </c>
      <c r="E63" s="27">
        <v>30111</v>
      </c>
      <c r="F63" s="27">
        <v>44921</v>
      </c>
      <c r="G63" s="27">
        <v>45920</v>
      </c>
      <c r="H63" s="27">
        <v>46039</v>
      </c>
      <c r="I63" s="27">
        <v>43954</v>
      </c>
      <c r="J63" s="36">
        <f t="shared" si="0"/>
        <v>-4.5287690870783437E-2</v>
      </c>
      <c r="K63" s="27">
        <f t="shared" si="10"/>
        <v>-2085</v>
      </c>
      <c r="L63" s="38">
        <f t="shared" si="11"/>
        <v>0.35532166011867228</v>
      </c>
    </row>
    <row r="64" spans="2:12" x14ac:dyDescent="0.25">
      <c r="B64" s="280"/>
      <c r="C64" s="292"/>
      <c r="D64" s="4" t="s">
        <v>47</v>
      </c>
      <c r="E64" s="29">
        <v>20273</v>
      </c>
      <c r="F64" s="29">
        <v>39041</v>
      </c>
      <c r="G64" s="29">
        <v>37006</v>
      </c>
      <c r="H64" s="29">
        <v>37000</v>
      </c>
      <c r="I64" s="29">
        <v>37015</v>
      </c>
      <c r="J64" s="76">
        <f>I64/H64-1</f>
        <v>4.0540540540545678E-4</v>
      </c>
      <c r="K64" s="29">
        <f>I64-H64</f>
        <v>15</v>
      </c>
      <c r="L64" s="77">
        <f>I64/$I$62</f>
        <v>0.2992271749850447</v>
      </c>
    </row>
    <row r="65" spans="2:12" x14ac:dyDescent="0.25">
      <c r="B65" s="280"/>
      <c r="C65" s="292"/>
      <c r="D65" s="4" t="s">
        <v>48</v>
      </c>
      <c r="E65" s="29">
        <v>802</v>
      </c>
      <c r="F65" s="29">
        <v>844</v>
      </c>
      <c r="G65" s="29">
        <v>912</v>
      </c>
      <c r="H65" s="29">
        <v>763</v>
      </c>
      <c r="I65" s="29">
        <v>916</v>
      </c>
      <c r="J65" s="76">
        <f t="shared" ref="J65:J72" si="12">I65/H65-1</f>
        <v>0.20052424639580613</v>
      </c>
      <c r="K65" s="29">
        <f t="shared" ref="K65:K72" si="13">I65-H65</f>
        <v>153</v>
      </c>
      <c r="L65" s="77">
        <f t="shared" ref="L65:L72" si="14">I65/$I$62</f>
        <v>7.4048924027097377E-3</v>
      </c>
    </row>
    <row r="66" spans="2:12" x14ac:dyDescent="0.25">
      <c r="B66" s="280"/>
      <c r="C66" s="292"/>
      <c r="D66" s="4" t="s">
        <v>49</v>
      </c>
      <c r="E66" s="29">
        <v>3652</v>
      </c>
      <c r="F66" s="29">
        <v>4562</v>
      </c>
      <c r="G66" s="29">
        <v>4276</v>
      </c>
      <c r="H66" s="29">
        <v>4307</v>
      </c>
      <c r="I66" s="29">
        <v>4616</v>
      </c>
      <c r="J66" s="76">
        <f t="shared" si="12"/>
        <v>7.1743673090318039E-2</v>
      </c>
      <c r="K66" s="29">
        <f t="shared" si="13"/>
        <v>309</v>
      </c>
      <c r="L66" s="77">
        <f t="shared" si="14"/>
        <v>3.7315483985707588E-2</v>
      </c>
    </row>
    <row r="67" spans="2:12" x14ac:dyDescent="0.25">
      <c r="B67" s="280"/>
      <c r="C67" s="292"/>
      <c r="D67" s="4" t="s">
        <v>50</v>
      </c>
      <c r="E67" s="29">
        <v>9306</v>
      </c>
      <c r="F67" s="29">
        <v>18373</v>
      </c>
      <c r="G67" s="29">
        <v>18698</v>
      </c>
      <c r="H67" s="29">
        <v>20140</v>
      </c>
      <c r="I67" s="29">
        <v>19634</v>
      </c>
      <c r="J67" s="76">
        <f t="shared" si="12"/>
        <v>-2.5124131082423062E-2</v>
      </c>
      <c r="K67" s="29">
        <f t="shared" si="13"/>
        <v>-506</v>
      </c>
      <c r="L67" s="77">
        <f t="shared" si="14"/>
        <v>0.15872015003799453</v>
      </c>
    </row>
    <row r="68" spans="2:12" x14ac:dyDescent="0.25">
      <c r="B68" s="280"/>
      <c r="C68" s="292"/>
      <c r="D68" s="4" t="s">
        <v>51</v>
      </c>
      <c r="E68" s="29">
        <v>465</v>
      </c>
      <c r="F68" s="29">
        <v>663</v>
      </c>
      <c r="G68" s="29">
        <v>663</v>
      </c>
      <c r="H68" s="29">
        <v>673</v>
      </c>
      <c r="I68" s="29">
        <v>673</v>
      </c>
      <c r="J68" s="76">
        <f t="shared" si="12"/>
        <v>0</v>
      </c>
      <c r="K68" s="29">
        <f t="shared" si="13"/>
        <v>0</v>
      </c>
      <c r="L68" s="77">
        <f t="shared" si="14"/>
        <v>5.4404940906371763E-3</v>
      </c>
    </row>
    <row r="69" spans="2:12" x14ac:dyDescent="0.25">
      <c r="B69" s="280"/>
      <c r="C69" s="292"/>
      <c r="D69" s="4" t="s">
        <v>52</v>
      </c>
      <c r="E69" s="29">
        <v>2934</v>
      </c>
      <c r="F69" s="29">
        <v>4097</v>
      </c>
      <c r="G69" s="29">
        <v>4791</v>
      </c>
      <c r="H69" s="29">
        <v>4797</v>
      </c>
      <c r="I69" s="29">
        <v>4605</v>
      </c>
      <c r="J69" s="76">
        <f t="shared" si="12"/>
        <v>-4.0025015634771788E-2</v>
      </c>
      <c r="K69" s="29">
        <f t="shared" si="13"/>
        <v>-192</v>
      </c>
      <c r="L69" s="77">
        <f t="shared" si="14"/>
        <v>3.7226560605325705E-2</v>
      </c>
    </row>
    <row r="70" spans="2:12" x14ac:dyDescent="0.25">
      <c r="B70" s="280"/>
      <c r="C70" s="292"/>
      <c r="D70" s="4" t="s">
        <v>53</v>
      </c>
      <c r="E70" s="29">
        <v>2378</v>
      </c>
      <c r="F70" s="29">
        <v>2710</v>
      </c>
      <c r="G70" s="29">
        <v>2739</v>
      </c>
      <c r="H70" s="29">
        <v>2773</v>
      </c>
      <c r="I70" s="29">
        <v>2679</v>
      </c>
      <c r="J70" s="76">
        <f t="shared" si="12"/>
        <v>-3.3898305084745783E-2</v>
      </c>
      <c r="K70" s="29">
        <f t="shared" si="13"/>
        <v>-94</v>
      </c>
      <c r="L70" s="77">
        <f t="shared" si="14"/>
        <v>2.1656885094824659E-2</v>
      </c>
    </row>
    <row r="71" spans="2:12" x14ac:dyDescent="0.25">
      <c r="B71" s="280"/>
      <c r="C71" s="292"/>
      <c r="D71" s="4" t="s">
        <v>54</v>
      </c>
      <c r="E71" s="29">
        <v>3065</v>
      </c>
      <c r="F71" s="29">
        <v>6412</v>
      </c>
      <c r="G71" s="29">
        <v>6177</v>
      </c>
      <c r="H71" s="29">
        <v>6415</v>
      </c>
      <c r="I71" s="29">
        <v>6497</v>
      </c>
      <c r="J71" s="40">
        <f t="shared" si="12"/>
        <v>1.278254091971931E-2</v>
      </c>
      <c r="K71" s="29">
        <f t="shared" si="13"/>
        <v>82</v>
      </c>
      <c r="L71" s="42">
        <f t="shared" si="14"/>
        <v>5.2521382031010005E-2</v>
      </c>
    </row>
    <row r="72" spans="2:12" x14ac:dyDescent="0.25">
      <c r="B72" s="281"/>
      <c r="C72" s="293"/>
      <c r="D72" s="32" t="s">
        <v>55</v>
      </c>
      <c r="E72" s="73">
        <v>2781</v>
      </c>
      <c r="F72" s="73">
        <v>3075</v>
      </c>
      <c r="G72" s="73">
        <v>3041</v>
      </c>
      <c r="H72" s="73">
        <v>3085</v>
      </c>
      <c r="I72" s="73">
        <v>3113</v>
      </c>
      <c r="J72" s="65">
        <f t="shared" si="12"/>
        <v>9.0761750405186081E-3</v>
      </c>
      <c r="K72" s="73">
        <f t="shared" si="13"/>
        <v>28</v>
      </c>
      <c r="L72" s="56">
        <f t="shared" si="14"/>
        <v>2.5165316648073595E-2</v>
      </c>
    </row>
    <row r="73" spans="2:12" ht="7.5" customHeight="1" x14ac:dyDescent="0.25">
      <c r="B73" s="294"/>
      <c r="C73" s="294"/>
      <c r="D73" s="294"/>
      <c r="E73" s="294"/>
      <c r="F73" s="294"/>
      <c r="G73" s="294"/>
      <c r="H73" s="294"/>
      <c r="I73" s="294"/>
      <c r="J73" s="294"/>
      <c r="K73" s="294"/>
      <c r="L73" s="48"/>
    </row>
    <row r="74" spans="2:12" x14ac:dyDescent="0.25">
      <c r="B74" s="296" t="s">
        <v>57</v>
      </c>
      <c r="C74" s="296"/>
      <c r="D74" s="296"/>
      <c r="E74" s="296"/>
      <c r="F74" s="296"/>
      <c r="G74" s="296"/>
      <c r="H74" s="296"/>
      <c r="I74" s="296"/>
      <c r="J74" s="296"/>
      <c r="K74" s="296"/>
    </row>
    <row r="76" spans="2:12" x14ac:dyDescent="0.25">
      <c r="B76" s="57"/>
    </row>
    <row r="77" spans="2:12" ht="21.75" customHeight="1" thickBot="1" x14ac:dyDescent="0.3">
      <c r="B77" s="278" t="s">
        <v>58</v>
      </c>
      <c r="C77" s="278"/>
      <c r="D77" s="278"/>
      <c r="E77" s="278"/>
      <c r="F77" s="278"/>
      <c r="G77" s="278"/>
      <c r="H77" s="278"/>
      <c r="I77" s="278"/>
      <c r="J77" s="278"/>
      <c r="K77" s="278"/>
      <c r="L77" s="12"/>
    </row>
    <row r="78" spans="2:12" ht="6" customHeight="1" thickBot="1" x14ac:dyDescent="0.3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spans="2:12" ht="60" x14ac:dyDescent="0.25">
      <c r="B79" s="4"/>
      <c r="C79" s="4"/>
      <c r="D79" s="4"/>
      <c r="E79" s="13" t="s">
        <v>230</v>
      </c>
      <c r="F79" s="13" t="s">
        <v>231</v>
      </c>
      <c r="G79" s="13" t="s">
        <v>232</v>
      </c>
      <c r="H79" s="13" t="s">
        <v>233</v>
      </c>
      <c r="I79" s="13" t="s">
        <v>234</v>
      </c>
      <c r="J79" s="14" t="str">
        <f>CONCATENATE("var. ",RIGHT(I79,2),"/",RIGHT(H79,2))</f>
        <v>var. 25/24</v>
      </c>
      <c r="K79" s="14" t="str">
        <f>CONCATENATE("dif. ",RIGHT(I79,2),"/",RIGHT(H79,2))</f>
        <v>dif. 25/24</v>
      </c>
      <c r="L79" s="14" t="str">
        <f>CONCATENATE("cuota ",I79)</f>
        <v>cuota acumulado a junio 2025</v>
      </c>
    </row>
    <row r="80" spans="2:12" ht="15" customHeight="1" x14ac:dyDescent="0.25">
      <c r="B80" s="279" t="s">
        <v>44</v>
      </c>
      <c r="C80" s="282" t="s">
        <v>8</v>
      </c>
      <c r="D80" s="67" t="s">
        <v>45</v>
      </c>
      <c r="E80" s="68">
        <v>520786</v>
      </c>
      <c r="F80" s="68">
        <v>2203401</v>
      </c>
      <c r="G80" s="68">
        <v>2523398</v>
      </c>
      <c r="H80" s="68">
        <v>2685619</v>
      </c>
      <c r="I80" s="68">
        <v>2666692</v>
      </c>
      <c r="J80" s="69">
        <f t="shared" ref="J80:J81" si="15">I80/H80-1</f>
        <v>-7.0475372716680695E-3</v>
      </c>
      <c r="K80" s="68">
        <f t="shared" ref="K80:K81" si="16">I80-H80</f>
        <v>-18927</v>
      </c>
      <c r="L80" s="69">
        <f t="shared" ref="L80:L81" si="17">I80/$I$80</f>
        <v>1</v>
      </c>
    </row>
    <row r="81" spans="2:13" ht="15" customHeight="1" x14ac:dyDescent="0.25">
      <c r="B81" s="280"/>
      <c r="C81" s="283"/>
      <c r="D81" s="15" t="s">
        <v>46</v>
      </c>
      <c r="E81" s="16">
        <v>187853</v>
      </c>
      <c r="F81" s="16">
        <v>828210</v>
      </c>
      <c r="G81" s="16">
        <v>916045</v>
      </c>
      <c r="H81" s="16">
        <v>958917</v>
      </c>
      <c r="I81" s="16">
        <v>917365</v>
      </c>
      <c r="J81" s="18">
        <f t="shared" si="15"/>
        <v>-4.3332217491190539E-2</v>
      </c>
      <c r="K81" s="16">
        <f t="shared" si="16"/>
        <v>-41552</v>
      </c>
      <c r="L81" s="18">
        <f t="shared" si="17"/>
        <v>0.34400860691823426</v>
      </c>
      <c r="M81" s="81"/>
    </row>
    <row r="82" spans="2:13" x14ac:dyDescent="0.25">
      <c r="B82" s="280"/>
      <c r="C82" s="283"/>
      <c r="D82" s="19" t="s">
        <v>47</v>
      </c>
      <c r="E82" s="20">
        <v>81359</v>
      </c>
      <c r="F82" s="20">
        <v>573119</v>
      </c>
      <c r="G82" s="20">
        <v>637900</v>
      </c>
      <c r="H82" s="20">
        <v>674898</v>
      </c>
      <c r="I82" s="20">
        <v>696244</v>
      </c>
      <c r="J82" s="63">
        <f>I82/H82-1</f>
        <v>3.1628483118930628E-2</v>
      </c>
      <c r="K82" s="20">
        <f>I82-H82</f>
        <v>21346</v>
      </c>
      <c r="L82" s="63">
        <f>I82/$I$80</f>
        <v>0.2610890196543133</v>
      </c>
      <c r="M82" s="81"/>
    </row>
    <row r="83" spans="2:13" x14ac:dyDescent="0.25">
      <c r="B83" s="280"/>
      <c r="C83" s="283"/>
      <c r="D83" s="19" t="s">
        <v>48</v>
      </c>
      <c r="E83" s="20">
        <v>5058</v>
      </c>
      <c r="F83" s="20">
        <v>16823</v>
      </c>
      <c r="G83" s="20">
        <v>27446</v>
      </c>
      <c r="H83" s="20">
        <v>23231</v>
      </c>
      <c r="I83" s="20">
        <v>21785</v>
      </c>
      <c r="J83" s="63">
        <f t="shared" ref="J83:J136" si="18">I83/H83-1</f>
        <v>-6.2244414790581515E-2</v>
      </c>
      <c r="K83" s="20">
        <f t="shared" ref="K83:K112" si="19">I83-H83</f>
        <v>-1446</v>
      </c>
      <c r="L83" s="63">
        <f t="shared" ref="L83:L90" si="20">I83/$I$80</f>
        <v>8.1692973916747784E-3</v>
      </c>
      <c r="M83" s="81"/>
    </row>
    <row r="84" spans="2:13" x14ac:dyDescent="0.25">
      <c r="B84" s="280"/>
      <c r="C84" s="283"/>
      <c r="D84" s="19" t="s">
        <v>49</v>
      </c>
      <c r="E84" s="20">
        <v>16999</v>
      </c>
      <c r="F84" s="20">
        <v>67366</v>
      </c>
      <c r="G84" s="20">
        <v>86656</v>
      </c>
      <c r="H84" s="20">
        <v>116855</v>
      </c>
      <c r="I84" s="20">
        <v>94193</v>
      </c>
      <c r="J84" s="63">
        <f t="shared" si="18"/>
        <v>-0.19393265157674044</v>
      </c>
      <c r="K84" s="20">
        <f t="shared" si="19"/>
        <v>-22662</v>
      </c>
      <c r="L84" s="63">
        <f t="shared" si="20"/>
        <v>3.5322039440625314E-2</v>
      </c>
      <c r="M84" s="81"/>
    </row>
    <row r="85" spans="2:13" x14ac:dyDescent="0.25">
      <c r="B85" s="280"/>
      <c r="C85" s="283"/>
      <c r="D85" s="19" t="s">
        <v>50</v>
      </c>
      <c r="E85" s="20">
        <v>70082</v>
      </c>
      <c r="F85" s="20">
        <v>321332</v>
      </c>
      <c r="G85" s="20">
        <v>378937</v>
      </c>
      <c r="H85" s="20">
        <v>434631</v>
      </c>
      <c r="I85" s="20">
        <v>443938</v>
      </c>
      <c r="J85" s="63">
        <f t="shared" si="18"/>
        <v>2.1413566910781778E-2</v>
      </c>
      <c r="K85" s="20">
        <f t="shared" si="19"/>
        <v>9307</v>
      </c>
      <c r="L85" s="63">
        <f t="shared" si="20"/>
        <v>0.16647516848589938</v>
      </c>
      <c r="M85" s="81"/>
    </row>
    <row r="86" spans="2:13" x14ac:dyDescent="0.25">
      <c r="B86" s="280"/>
      <c r="C86" s="283"/>
      <c r="D86" s="19" t="s">
        <v>51</v>
      </c>
      <c r="E86" s="20">
        <v>11802</v>
      </c>
      <c r="F86" s="20">
        <v>24671</v>
      </c>
      <c r="G86" s="20">
        <v>30683</v>
      </c>
      <c r="H86" s="20">
        <v>29198</v>
      </c>
      <c r="I86" s="20">
        <v>28272</v>
      </c>
      <c r="J86" s="63">
        <f t="shared" si="18"/>
        <v>-3.1714500993218708E-2</v>
      </c>
      <c r="K86" s="20">
        <f t="shared" si="19"/>
        <v>-926</v>
      </c>
      <c r="L86" s="63">
        <f t="shared" si="20"/>
        <v>1.0601899281956822E-2</v>
      </c>
      <c r="M86" s="81"/>
    </row>
    <row r="87" spans="2:13" x14ac:dyDescent="0.25">
      <c r="B87" s="280"/>
      <c r="C87" s="283"/>
      <c r="D87" s="19" t="s">
        <v>52</v>
      </c>
      <c r="E87" s="20">
        <v>32678</v>
      </c>
      <c r="F87" s="20">
        <v>92080</v>
      </c>
      <c r="G87" s="20">
        <v>126756</v>
      </c>
      <c r="H87" s="20">
        <v>118276</v>
      </c>
      <c r="I87" s="20">
        <v>128577</v>
      </c>
      <c r="J87" s="63">
        <f t="shared" si="18"/>
        <v>8.7092901349386187E-2</v>
      </c>
      <c r="K87" s="20">
        <f t="shared" si="19"/>
        <v>10301</v>
      </c>
      <c r="L87" s="63">
        <f t="shared" si="20"/>
        <v>4.8215916948788989E-2</v>
      </c>
      <c r="M87" s="81"/>
    </row>
    <row r="88" spans="2:13" x14ac:dyDescent="0.25">
      <c r="B88" s="280"/>
      <c r="C88" s="283"/>
      <c r="D88" s="19" t="s">
        <v>53</v>
      </c>
      <c r="E88" s="20">
        <v>58803</v>
      </c>
      <c r="F88" s="20">
        <v>104421</v>
      </c>
      <c r="G88" s="20">
        <v>126576</v>
      </c>
      <c r="H88" s="20">
        <v>125410</v>
      </c>
      <c r="I88" s="20">
        <v>140761</v>
      </c>
      <c r="J88" s="63">
        <f t="shared" si="18"/>
        <v>0.12240650665816122</v>
      </c>
      <c r="K88" s="20">
        <f t="shared" si="19"/>
        <v>15351</v>
      </c>
      <c r="L88" s="63">
        <f t="shared" si="20"/>
        <v>5.2784873543701337E-2</v>
      </c>
      <c r="M88" s="81"/>
    </row>
    <row r="89" spans="2:13" ht="18" customHeight="1" x14ac:dyDescent="0.25">
      <c r="B89" s="280"/>
      <c r="C89" s="283"/>
      <c r="D89" s="19" t="s">
        <v>54</v>
      </c>
      <c r="E89" s="20">
        <v>33859</v>
      </c>
      <c r="F89" s="20">
        <v>122526</v>
      </c>
      <c r="G89" s="20">
        <v>133361</v>
      </c>
      <c r="H89" s="20">
        <v>142422</v>
      </c>
      <c r="I89" s="20">
        <v>136065</v>
      </c>
      <c r="J89" s="22">
        <f t="shared" si="18"/>
        <v>-4.4634958082318765E-2</v>
      </c>
      <c r="K89" s="20">
        <f t="shared" si="19"/>
        <v>-6357</v>
      </c>
      <c r="L89" s="22">
        <f t="shared" si="20"/>
        <v>5.1023890273042403E-2</v>
      </c>
      <c r="M89" s="81"/>
    </row>
    <row r="90" spans="2:13" x14ac:dyDescent="0.25">
      <c r="B90" s="280"/>
      <c r="C90" s="284"/>
      <c r="D90" s="23" t="s">
        <v>55</v>
      </c>
      <c r="E90" s="71">
        <v>22293</v>
      </c>
      <c r="F90" s="71">
        <v>52853</v>
      </c>
      <c r="G90" s="71">
        <v>59038</v>
      </c>
      <c r="H90" s="71">
        <v>61781</v>
      </c>
      <c r="I90" s="71">
        <v>59492</v>
      </c>
      <c r="J90" s="47">
        <f t="shared" si="18"/>
        <v>-3.7050225797575331E-2</v>
      </c>
      <c r="K90" s="71">
        <f t="shared" si="19"/>
        <v>-2289</v>
      </c>
      <c r="L90" s="47">
        <f t="shared" si="20"/>
        <v>2.2309288061763414E-2</v>
      </c>
      <c r="M90" s="81"/>
    </row>
    <row r="91" spans="2:13" x14ac:dyDescent="0.25">
      <c r="B91" s="280"/>
      <c r="C91" s="285" t="s">
        <v>18</v>
      </c>
      <c r="D91" s="67" t="s">
        <v>45</v>
      </c>
      <c r="E91" s="68">
        <v>581695</v>
      </c>
      <c r="F91" s="68">
        <v>2601415</v>
      </c>
      <c r="G91" s="68">
        <v>2985674</v>
      </c>
      <c r="H91" s="68">
        <v>3185454</v>
      </c>
      <c r="I91" s="68">
        <v>3137076</v>
      </c>
      <c r="J91" s="69">
        <f t="shared" si="18"/>
        <v>-1.5187160134787714E-2</v>
      </c>
      <c r="K91" s="68">
        <f t="shared" si="19"/>
        <v>-48378</v>
      </c>
      <c r="L91" s="69">
        <f t="shared" ref="L91:L92" si="21">I91/$I$91</f>
        <v>1</v>
      </c>
    </row>
    <row r="92" spans="2:13" x14ac:dyDescent="0.25">
      <c r="B92" s="280"/>
      <c r="C92" s="286"/>
      <c r="D92" s="26" t="s">
        <v>46</v>
      </c>
      <c r="E92" s="27">
        <v>213521</v>
      </c>
      <c r="F92" s="27">
        <v>995985</v>
      </c>
      <c r="G92" s="27">
        <v>1104273</v>
      </c>
      <c r="H92" s="27">
        <v>1156836</v>
      </c>
      <c r="I92" s="27">
        <v>1098545</v>
      </c>
      <c r="J92" s="82">
        <f t="shared" si="18"/>
        <v>-5.0388300502404837E-2</v>
      </c>
      <c r="K92" s="27">
        <f t="shared" si="19"/>
        <v>-58291</v>
      </c>
      <c r="L92" s="38">
        <f t="shared" si="21"/>
        <v>0.35018118783223612</v>
      </c>
    </row>
    <row r="93" spans="2:13" x14ac:dyDescent="0.25">
      <c r="B93" s="280"/>
      <c r="C93" s="286"/>
      <c r="D93" s="4" t="s">
        <v>47</v>
      </c>
      <c r="E93" s="29">
        <v>93297</v>
      </c>
      <c r="F93" s="29">
        <v>684265</v>
      </c>
      <c r="G93" s="29">
        <v>769680</v>
      </c>
      <c r="H93" s="29">
        <v>813934</v>
      </c>
      <c r="I93" s="29">
        <v>831831</v>
      </c>
      <c r="J93" s="83">
        <f t="shared" si="18"/>
        <v>2.1988269319134002E-2</v>
      </c>
      <c r="K93" s="29">
        <f t="shared" si="19"/>
        <v>17897</v>
      </c>
      <c r="L93" s="77">
        <f>I93/$I$91</f>
        <v>0.26516125207039931</v>
      </c>
    </row>
    <row r="94" spans="2:13" x14ac:dyDescent="0.25">
      <c r="B94" s="280"/>
      <c r="C94" s="286"/>
      <c r="D94" s="4" t="s">
        <v>48</v>
      </c>
      <c r="E94" s="29">
        <v>5578</v>
      </c>
      <c r="F94" s="29">
        <v>18891</v>
      </c>
      <c r="G94" s="29">
        <v>29549</v>
      </c>
      <c r="H94" s="29">
        <v>25686</v>
      </c>
      <c r="I94" s="29">
        <v>24307</v>
      </c>
      <c r="J94" s="83">
        <f t="shared" si="18"/>
        <v>-5.3686833294401604E-2</v>
      </c>
      <c r="K94" s="29">
        <f t="shared" si="19"/>
        <v>-1379</v>
      </c>
      <c r="L94" s="77">
        <f t="shared" ref="L94:L101" si="22">I94/$I$91</f>
        <v>7.7482980966989646E-3</v>
      </c>
    </row>
    <row r="95" spans="2:13" x14ac:dyDescent="0.25">
      <c r="B95" s="280"/>
      <c r="C95" s="286"/>
      <c r="D95" s="4" t="s">
        <v>49</v>
      </c>
      <c r="E95" s="29">
        <v>21235</v>
      </c>
      <c r="F95" s="29">
        <v>78873</v>
      </c>
      <c r="G95" s="29">
        <v>101039</v>
      </c>
      <c r="H95" s="29">
        <v>136007</v>
      </c>
      <c r="I95" s="29">
        <v>108799</v>
      </c>
      <c r="J95" s="83">
        <f t="shared" si="18"/>
        <v>-0.20004852691405595</v>
      </c>
      <c r="K95" s="29">
        <f t="shared" si="19"/>
        <v>-27208</v>
      </c>
      <c r="L95" s="77">
        <f t="shared" si="22"/>
        <v>3.4681658971602858E-2</v>
      </c>
    </row>
    <row r="96" spans="2:13" x14ac:dyDescent="0.25">
      <c r="B96" s="280"/>
      <c r="C96" s="286"/>
      <c r="D96" s="4" t="s">
        <v>50</v>
      </c>
      <c r="E96" s="29">
        <v>76469</v>
      </c>
      <c r="F96" s="29">
        <v>372553</v>
      </c>
      <c r="G96" s="29">
        <v>443789</v>
      </c>
      <c r="H96" s="29">
        <v>509981</v>
      </c>
      <c r="I96" s="29">
        <v>517418</v>
      </c>
      <c r="J96" s="83">
        <f t="shared" si="18"/>
        <v>1.458289622554565E-2</v>
      </c>
      <c r="K96" s="29">
        <f t="shared" si="19"/>
        <v>7437</v>
      </c>
      <c r="L96" s="77">
        <f t="shared" si="22"/>
        <v>0.16493639299781071</v>
      </c>
    </row>
    <row r="97" spans="2:12" x14ac:dyDescent="0.25">
      <c r="B97" s="280"/>
      <c r="C97" s="286"/>
      <c r="D97" s="4" t="s">
        <v>51</v>
      </c>
      <c r="E97" s="29">
        <v>12246</v>
      </c>
      <c r="F97" s="29">
        <v>25844</v>
      </c>
      <c r="G97" s="29">
        <v>32224</v>
      </c>
      <c r="H97" s="29">
        <v>30825</v>
      </c>
      <c r="I97" s="29">
        <v>29839</v>
      </c>
      <c r="J97" s="83">
        <f t="shared" si="18"/>
        <v>-3.1987023519870261E-2</v>
      </c>
      <c r="K97" s="29">
        <f t="shared" si="19"/>
        <v>-986</v>
      </c>
      <c r="L97" s="77">
        <f t="shared" si="22"/>
        <v>9.5117236560414865E-3</v>
      </c>
    </row>
    <row r="98" spans="2:12" x14ac:dyDescent="0.25">
      <c r="B98" s="280"/>
      <c r="C98" s="286"/>
      <c r="D98" s="4" t="s">
        <v>52</v>
      </c>
      <c r="E98" s="29">
        <v>37596</v>
      </c>
      <c r="F98" s="29">
        <v>109438</v>
      </c>
      <c r="G98" s="29">
        <v>143430</v>
      </c>
      <c r="H98" s="29">
        <v>138078</v>
      </c>
      <c r="I98" s="29">
        <v>147104</v>
      </c>
      <c r="J98" s="83">
        <f t="shared" si="18"/>
        <v>6.536884949086752E-2</v>
      </c>
      <c r="K98" s="29">
        <f t="shared" si="19"/>
        <v>9026</v>
      </c>
      <c r="L98" s="77">
        <f t="shared" si="22"/>
        <v>4.6892074020521021E-2</v>
      </c>
    </row>
    <row r="99" spans="2:12" x14ac:dyDescent="0.25">
      <c r="B99" s="280"/>
      <c r="C99" s="286"/>
      <c r="D99" s="4" t="s">
        <v>53</v>
      </c>
      <c r="E99" s="29">
        <v>60421</v>
      </c>
      <c r="F99" s="29">
        <v>109587</v>
      </c>
      <c r="G99" s="29">
        <v>132057</v>
      </c>
      <c r="H99" s="29">
        <v>131356</v>
      </c>
      <c r="I99" s="29">
        <v>146899</v>
      </c>
      <c r="J99" s="83">
        <f t="shared" si="18"/>
        <v>0.11832729376655804</v>
      </c>
      <c r="K99" s="29">
        <f t="shared" si="19"/>
        <v>15543</v>
      </c>
      <c r="L99" s="77">
        <f t="shared" si="22"/>
        <v>4.6826726544081175E-2</v>
      </c>
    </row>
    <row r="100" spans="2:12" x14ac:dyDescent="0.25">
      <c r="B100" s="280"/>
      <c r="C100" s="286"/>
      <c r="D100" s="4" t="s">
        <v>54</v>
      </c>
      <c r="E100" s="29">
        <v>37492</v>
      </c>
      <c r="F100" s="29">
        <v>145591</v>
      </c>
      <c r="G100" s="29">
        <v>159135</v>
      </c>
      <c r="H100" s="29">
        <v>171016</v>
      </c>
      <c r="I100" s="29">
        <v>163088</v>
      </c>
      <c r="J100" s="31">
        <f t="shared" si="18"/>
        <v>-4.635823548673812E-2</v>
      </c>
      <c r="K100" s="29">
        <f t="shared" si="19"/>
        <v>-7928</v>
      </c>
      <c r="L100" s="42">
        <f t="shared" si="22"/>
        <v>5.1987264573762321E-2</v>
      </c>
    </row>
    <row r="101" spans="2:12" x14ac:dyDescent="0.25">
      <c r="B101" s="280"/>
      <c r="C101" s="287"/>
      <c r="D101" s="32" t="s">
        <v>55</v>
      </c>
      <c r="E101" s="73">
        <v>23840</v>
      </c>
      <c r="F101" s="73">
        <v>60388</v>
      </c>
      <c r="G101" s="73">
        <v>70498</v>
      </c>
      <c r="H101" s="73">
        <v>71735</v>
      </c>
      <c r="I101" s="73">
        <v>69246</v>
      </c>
      <c r="J101" s="74">
        <f t="shared" si="18"/>
        <v>-3.4697149229804158E-2</v>
      </c>
      <c r="K101" s="73">
        <f t="shared" si="19"/>
        <v>-2489</v>
      </c>
      <c r="L101" s="56">
        <f t="shared" si="22"/>
        <v>2.2073421236846032E-2</v>
      </c>
    </row>
    <row r="102" spans="2:12" x14ac:dyDescent="0.25">
      <c r="B102" s="280"/>
      <c r="C102" s="282" t="s">
        <v>21</v>
      </c>
      <c r="D102" s="67" t="s">
        <v>45</v>
      </c>
      <c r="E102" s="68">
        <v>2368548</v>
      </c>
      <c r="F102" s="68">
        <v>14358521</v>
      </c>
      <c r="G102" s="68">
        <v>16459932</v>
      </c>
      <c r="H102" s="68">
        <v>17554900</v>
      </c>
      <c r="I102" s="68">
        <v>16983898</v>
      </c>
      <c r="J102" s="69">
        <f t="shared" si="18"/>
        <v>-3.2526644982312614E-2</v>
      </c>
      <c r="K102" s="68">
        <f t="shared" si="19"/>
        <v>-571002</v>
      </c>
      <c r="L102" s="69">
        <f t="shared" ref="L102:L103" si="23">I102/$I$102</f>
        <v>1</v>
      </c>
    </row>
    <row r="103" spans="2:12" x14ac:dyDescent="0.25">
      <c r="B103" s="280"/>
      <c r="C103" s="283"/>
      <c r="D103" s="15" t="s">
        <v>46</v>
      </c>
      <c r="E103" s="16">
        <v>942171</v>
      </c>
      <c r="F103" s="16">
        <v>5898536</v>
      </c>
      <c r="G103" s="16">
        <v>6497274</v>
      </c>
      <c r="H103" s="16">
        <v>6720449</v>
      </c>
      <c r="I103" s="16">
        <v>6373385</v>
      </c>
      <c r="J103" s="18">
        <f t="shared" si="18"/>
        <v>-5.1642978021260166E-2</v>
      </c>
      <c r="K103" s="16">
        <f t="shared" si="19"/>
        <v>-347064</v>
      </c>
      <c r="L103" s="18">
        <f t="shared" si="23"/>
        <v>0.37526043785708085</v>
      </c>
    </row>
    <row r="104" spans="2:12" x14ac:dyDescent="0.25">
      <c r="B104" s="280"/>
      <c r="C104" s="283"/>
      <c r="D104" s="19" t="s">
        <v>47</v>
      </c>
      <c r="E104" s="20">
        <v>435324</v>
      </c>
      <c r="F104" s="20">
        <v>3984750</v>
      </c>
      <c r="G104" s="20">
        <v>4577973</v>
      </c>
      <c r="H104" s="20">
        <v>4852701</v>
      </c>
      <c r="I104" s="20">
        <v>4821619</v>
      </c>
      <c r="J104" s="63">
        <f t="shared" si="18"/>
        <v>-6.4050927514388567E-3</v>
      </c>
      <c r="K104" s="20">
        <f t="shared" si="19"/>
        <v>-31082</v>
      </c>
      <c r="L104" s="63">
        <f>I104/$I$102</f>
        <v>0.28389354434417824</v>
      </c>
    </row>
    <row r="105" spans="2:12" x14ac:dyDescent="0.25">
      <c r="B105" s="280"/>
      <c r="C105" s="283"/>
      <c r="D105" s="19" t="s">
        <v>48</v>
      </c>
      <c r="E105" s="20">
        <v>21541</v>
      </c>
      <c r="F105" s="20">
        <v>79184</v>
      </c>
      <c r="G105" s="20">
        <v>87423</v>
      </c>
      <c r="H105" s="20">
        <v>95439</v>
      </c>
      <c r="I105" s="20">
        <v>98196</v>
      </c>
      <c r="J105" s="63">
        <f t="shared" si="18"/>
        <v>2.8887561688617946E-2</v>
      </c>
      <c r="K105" s="20">
        <f t="shared" si="19"/>
        <v>2757</v>
      </c>
      <c r="L105" s="63">
        <f t="shared" ref="L105:L112" si="24">I105/$I$102</f>
        <v>5.7817115953004428E-3</v>
      </c>
    </row>
    <row r="106" spans="2:12" x14ac:dyDescent="0.25">
      <c r="B106" s="280"/>
      <c r="C106" s="283"/>
      <c r="D106" s="19" t="s">
        <v>49</v>
      </c>
      <c r="E106" s="20">
        <v>120089</v>
      </c>
      <c r="F106" s="20">
        <v>391208</v>
      </c>
      <c r="G106" s="20">
        <v>518511</v>
      </c>
      <c r="H106" s="20">
        <v>690117</v>
      </c>
      <c r="I106" s="20">
        <v>540830</v>
      </c>
      <c r="J106" s="63">
        <f t="shared" si="18"/>
        <v>-0.21632129044785164</v>
      </c>
      <c r="K106" s="20">
        <f t="shared" si="19"/>
        <v>-149287</v>
      </c>
      <c r="L106" s="63">
        <f t="shared" si="24"/>
        <v>3.1843691006622862E-2</v>
      </c>
    </row>
    <row r="107" spans="2:12" x14ac:dyDescent="0.25">
      <c r="B107" s="280"/>
      <c r="C107" s="283"/>
      <c r="D107" s="19" t="s">
        <v>50</v>
      </c>
      <c r="E107" s="20">
        <v>301325</v>
      </c>
      <c r="F107" s="20">
        <v>1952510</v>
      </c>
      <c r="G107" s="20">
        <v>2421026</v>
      </c>
      <c r="H107" s="20">
        <v>2735886</v>
      </c>
      <c r="I107" s="20">
        <v>2729210</v>
      </c>
      <c r="J107" s="63">
        <f t="shared" si="18"/>
        <v>-2.4401601528718508E-3</v>
      </c>
      <c r="K107" s="20">
        <f t="shared" si="19"/>
        <v>-6676</v>
      </c>
      <c r="L107" s="63">
        <f t="shared" si="24"/>
        <v>0.16069397025347185</v>
      </c>
    </row>
    <row r="108" spans="2:12" x14ac:dyDescent="0.25">
      <c r="B108" s="280"/>
      <c r="C108" s="283"/>
      <c r="D108" s="19" t="s">
        <v>51</v>
      </c>
      <c r="E108" s="20">
        <v>26038</v>
      </c>
      <c r="F108" s="20">
        <v>69048</v>
      </c>
      <c r="G108" s="20">
        <v>80076</v>
      </c>
      <c r="H108" s="20">
        <v>81078</v>
      </c>
      <c r="I108" s="20">
        <v>78508</v>
      </c>
      <c r="J108" s="63">
        <f t="shared" si="18"/>
        <v>-3.169787118577172E-2</v>
      </c>
      <c r="K108" s="20">
        <f t="shared" si="19"/>
        <v>-2570</v>
      </c>
      <c r="L108" s="63">
        <f t="shared" si="24"/>
        <v>4.6224959664736562E-3</v>
      </c>
    </row>
    <row r="109" spans="2:12" x14ac:dyDescent="0.25">
      <c r="B109" s="280"/>
      <c r="C109" s="283"/>
      <c r="D109" s="19" t="s">
        <v>52</v>
      </c>
      <c r="E109" s="20">
        <v>197056</v>
      </c>
      <c r="F109" s="20">
        <v>616496</v>
      </c>
      <c r="G109" s="20">
        <v>677250</v>
      </c>
      <c r="H109" s="20">
        <v>706701</v>
      </c>
      <c r="I109" s="20">
        <v>709471</v>
      </c>
      <c r="J109" s="63">
        <f t="shared" si="18"/>
        <v>3.9196208863436777E-3</v>
      </c>
      <c r="K109" s="20">
        <f t="shared" si="19"/>
        <v>2770</v>
      </c>
      <c r="L109" s="63">
        <f t="shared" si="24"/>
        <v>4.1773154784608336E-2</v>
      </c>
    </row>
    <row r="110" spans="2:12" x14ac:dyDescent="0.25">
      <c r="B110" s="280"/>
      <c r="C110" s="283"/>
      <c r="D110" s="19" t="s">
        <v>53</v>
      </c>
      <c r="E110" s="20">
        <v>116916</v>
      </c>
      <c r="F110" s="20">
        <v>257944</v>
      </c>
      <c r="G110" s="20">
        <v>294093</v>
      </c>
      <c r="H110" s="20">
        <v>301774</v>
      </c>
      <c r="I110" s="20">
        <v>301669</v>
      </c>
      <c r="J110" s="63">
        <f t="shared" si="18"/>
        <v>-3.4794250001657367E-4</v>
      </c>
      <c r="K110" s="20">
        <f t="shared" si="19"/>
        <v>-105</v>
      </c>
      <c r="L110" s="63">
        <f t="shared" si="24"/>
        <v>1.7762059098565007E-2</v>
      </c>
    </row>
    <row r="111" spans="2:12" x14ac:dyDescent="0.25">
      <c r="B111" s="280"/>
      <c r="C111" s="283"/>
      <c r="D111" s="19" t="s">
        <v>54</v>
      </c>
      <c r="E111" s="20">
        <v>132161</v>
      </c>
      <c r="F111" s="20">
        <v>815705</v>
      </c>
      <c r="G111" s="20">
        <v>894003</v>
      </c>
      <c r="H111" s="20">
        <v>988736</v>
      </c>
      <c r="I111" s="20">
        <v>963996</v>
      </c>
      <c r="J111" s="22">
        <f t="shared" si="18"/>
        <v>-2.5021846074179566E-2</v>
      </c>
      <c r="K111" s="20">
        <f t="shared" si="19"/>
        <v>-24740</v>
      </c>
      <c r="L111" s="22">
        <f t="shared" si="24"/>
        <v>5.6759408234788034E-2</v>
      </c>
    </row>
    <row r="112" spans="2:12" x14ac:dyDescent="0.25">
      <c r="B112" s="280"/>
      <c r="C112" s="284"/>
      <c r="D112" s="23" t="s">
        <v>55</v>
      </c>
      <c r="E112" s="71">
        <v>75927</v>
      </c>
      <c r="F112" s="71">
        <v>293140</v>
      </c>
      <c r="G112" s="71">
        <v>412303</v>
      </c>
      <c r="H112" s="71">
        <v>382019</v>
      </c>
      <c r="I112" s="71">
        <v>367014</v>
      </c>
      <c r="J112" s="47">
        <f t="shared" si="18"/>
        <v>-3.9278151086726054E-2</v>
      </c>
      <c r="K112" s="71">
        <f t="shared" si="19"/>
        <v>-15005</v>
      </c>
      <c r="L112" s="47">
        <f t="shared" si="24"/>
        <v>2.1609526858910717E-2</v>
      </c>
    </row>
    <row r="113" spans="2:12" x14ac:dyDescent="0.25">
      <c r="B113" s="280"/>
      <c r="C113" s="285" t="s">
        <v>22</v>
      </c>
      <c r="D113" s="67" t="s">
        <v>45</v>
      </c>
      <c r="E113" s="75">
        <f t="shared" ref="E113:I114" si="25">E102/E80</f>
        <v>4.5480254845560362</v>
      </c>
      <c r="F113" s="75">
        <f t="shared" si="25"/>
        <v>6.5165264969926033</v>
      </c>
      <c r="G113" s="75">
        <f t="shared" si="25"/>
        <v>6.5229234548018189</v>
      </c>
      <c r="H113" s="75">
        <f t="shared" si="25"/>
        <v>6.5366308474880466</v>
      </c>
      <c r="I113" s="75">
        <f t="shared" si="25"/>
        <v>6.3689012454381686</v>
      </c>
      <c r="J113" s="69">
        <f t="shared" si="18"/>
        <v>-2.5659947144534678E-2</v>
      </c>
      <c r="K113" s="75">
        <f t="shared" ref="K113:K114" si="26">(I113-H113)</f>
        <v>-0.16772960204987797</v>
      </c>
      <c r="L113" s="69"/>
    </row>
    <row r="114" spans="2:12" x14ac:dyDescent="0.25">
      <c r="B114" s="280"/>
      <c r="C114" s="286"/>
      <c r="D114" s="26" t="s">
        <v>46</v>
      </c>
      <c r="E114" s="37">
        <f t="shared" si="25"/>
        <v>5.0154695426743254</v>
      </c>
      <c r="F114" s="37">
        <f t="shared" si="25"/>
        <v>7.1220294369785444</v>
      </c>
      <c r="G114" s="37">
        <f t="shared" si="25"/>
        <v>7.0927454437282007</v>
      </c>
      <c r="H114" s="37">
        <f t="shared" si="25"/>
        <v>7.0083740302862498</v>
      </c>
      <c r="I114" s="37">
        <f t="shared" si="25"/>
        <v>6.9474909114692629</v>
      </c>
      <c r="J114" s="82">
        <f t="shared" si="18"/>
        <v>-8.6871959963729095E-3</v>
      </c>
      <c r="K114" s="37">
        <f t="shared" si="26"/>
        <v>-6.0883118816986936E-2</v>
      </c>
      <c r="L114" s="38"/>
    </row>
    <row r="115" spans="2:12" x14ac:dyDescent="0.25">
      <c r="B115" s="280"/>
      <c r="C115" s="286"/>
      <c r="D115" s="4" t="s">
        <v>47</v>
      </c>
      <c r="E115" s="41">
        <f>E104/E82</f>
        <v>5.3506557356899664</v>
      </c>
      <c r="F115" s="41">
        <f>F104/F82</f>
        <v>6.952744543454326</v>
      </c>
      <c r="G115" s="41">
        <f>G104/G82</f>
        <v>7.1766311334064898</v>
      </c>
      <c r="H115" s="41">
        <f>H104/H82</f>
        <v>7.1902731968386338</v>
      </c>
      <c r="I115" s="41">
        <f>I104/I82</f>
        <v>6.9251857107565735</v>
      </c>
      <c r="J115" s="83">
        <f t="shared" si="18"/>
        <v>-3.6867512377500744E-2</v>
      </c>
      <c r="K115" s="41">
        <f>(I115-H115)</f>
        <v>-0.26508748608206023</v>
      </c>
      <c r="L115" s="77"/>
    </row>
    <row r="116" spans="2:12" x14ac:dyDescent="0.25">
      <c r="B116" s="280"/>
      <c r="C116" s="286"/>
      <c r="D116" s="4" t="s">
        <v>48</v>
      </c>
      <c r="E116" s="41">
        <f t="shared" ref="E116:I123" si="27">E105/E83</f>
        <v>4.2587979438513246</v>
      </c>
      <c r="F116" s="41">
        <f t="shared" si="27"/>
        <v>4.7068893776377578</v>
      </c>
      <c r="G116" s="41">
        <f t="shared" si="27"/>
        <v>3.1852728995117685</v>
      </c>
      <c r="H116" s="41">
        <f t="shared" si="27"/>
        <v>4.1082605139684043</v>
      </c>
      <c r="I116" s="41">
        <f t="shared" si="27"/>
        <v>4.5075051641037414</v>
      </c>
      <c r="J116" s="83">
        <f t="shared" si="18"/>
        <v>9.7180947697419473E-2</v>
      </c>
      <c r="K116" s="41">
        <f t="shared" ref="K116:K123" si="28">(I116-H116)</f>
        <v>0.39924465013533705</v>
      </c>
      <c r="L116" s="77"/>
    </row>
    <row r="117" spans="2:12" x14ac:dyDescent="0.25">
      <c r="B117" s="280"/>
      <c r="C117" s="286"/>
      <c r="D117" s="4" t="s">
        <v>49</v>
      </c>
      <c r="E117" s="41">
        <f t="shared" si="27"/>
        <v>7.0644743808459323</v>
      </c>
      <c r="F117" s="41">
        <f t="shared" si="27"/>
        <v>5.8072024463379153</v>
      </c>
      <c r="G117" s="41">
        <f t="shared" si="27"/>
        <v>5.9835556683899558</v>
      </c>
      <c r="H117" s="41">
        <f t="shared" si="27"/>
        <v>5.9057549955072526</v>
      </c>
      <c r="I117" s="41">
        <f t="shared" si="27"/>
        <v>5.7417217839966881</v>
      </c>
      <c r="J117" s="83">
        <f t="shared" si="18"/>
        <v>-2.7775146723044042E-2</v>
      </c>
      <c r="K117" s="41">
        <f t="shared" si="28"/>
        <v>-0.16403321151056449</v>
      </c>
      <c r="L117" s="77"/>
    </row>
    <row r="118" spans="2:12" x14ac:dyDescent="0.25">
      <c r="B118" s="280"/>
      <c r="C118" s="286"/>
      <c r="D118" s="4" t="s">
        <v>50</v>
      </c>
      <c r="E118" s="41">
        <f t="shared" si="27"/>
        <v>4.2996061756228414</v>
      </c>
      <c r="F118" s="41">
        <f t="shared" si="27"/>
        <v>6.0763011464777863</v>
      </c>
      <c r="G118" s="41">
        <f t="shared" si="27"/>
        <v>6.3889934210699932</v>
      </c>
      <c r="H118" s="41">
        <f t="shared" si="27"/>
        <v>6.2947327733180556</v>
      </c>
      <c r="I118" s="41">
        <f t="shared" si="27"/>
        <v>6.1477278358689729</v>
      </c>
      <c r="J118" s="83">
        <f t="shared" si="18"/>
        <v>-2.3353642282036735E-2</v>
      </c>
      <c r="K118" s="41">
        <f t="shared" si="28"/>
        <v>-0.14700493744908272</v>
      </c>
      <c r="L118" s="77"/>
    </row>
    <row r="119" spans="2:12" x14ac:dyDescent="0.25">
      <c r="B119" s="280"/>
      <c r="C119" s="286"/>
      <c r="D119" s="4" t="s">
        <v>51</v>
      </c>
      <c r="E119" s="41">
        <f t="shared" si="27"/>
        <v>2.2062362311472632</v>
      </c>
      <c r="F119" s="41">
        <f t="shared" si="27"/>
        <v>2.7987515706700172</v>
      </c>
      <c r="G119" s="41">
        <f t="shared" si="27"/>
        <v>2.6097839194342143</v>
      </c>
      <c r="H119" s="41">
        <f t="shared" si="27"/>
        <v>2.7768340297280636</v>
      </c>
      <c r="I119" s="41">
        <f t="shared" si="27"/>
        <v>2.7768817204301075</v>
      </c>
      <c r="J119" s="83">
        <f t="shared" si="18"/>
        <v>1.7174487755955425E-5</v>
      </c>
      <c r="K119" s="41">
        <f t="shared" si="28"/>
        <v>4.7690702043912125E-5</v>
      </c>
      <c r="L119" s="77"/>
    </row>
    <row r="120" spans="2:12" x14ac:dyDescent="0.25">
      <c r="B120" s="280"/>
      <c r="C120" s="286"/>
      <c r="D120" s="4" t="s">
        <v>52</v>
      </c>
      <c r="E120" s="41">
        <f t="shared" si="27"/>
        <v>6.0302344084705304</v>
      </c>
      <c r="F120" s="41">
        <f t="shared" si="27"/>
        <v>6.6952215464813207</v>
      </c>
      <c r="G120" s="41">
        <f t="shared" si="27"/>
        <v>5.3429423459244534</v>
      </c>
      <c r="H120" s="41">
        <f t="shared" si="27"/>
        <v>5.975016064121208</v>
      </c>
      <c r="I120" s="41">
        <f t="shared" si="27"/>
        <v>5.5178686701354049</v>
      </c>
      <c r="J120" s="83">
        <f t="shared" si="18"/>
        <v>-7.6509818397122453E-2</v>
      </c>
      <c r="K120" s="41">
        <f t="shared" si="28"/>
        <v>-0.45714739398580306</v>
      </c>
      <c r="L120" s="77"/>
    </row>
    <row r="121" spans="2:12" x14ac:dyDescent="0.25">
      <c r="B121" s="280"/>
      <c r="C121" s="286"/>
      <c r="D121" s="4" t="s">
        <v>53</v>
      </c>
      <c r="E121" s="41">
        <f t="shared" si="27"/>
        <v>1.9882659048007754</v>
      </c>
      <c r="F121" s="41">
        <f t="shared" si="27"/>
        <v>2.4702310837858286</v>
      </c>
      <c r="G121" s="41">
        <f t="shared" si="27"/>
        <v>2.3234499431171787</v>
      </c>
      <c r="H121" s="41">
        <f t="shared" si="27"/>
        <v>2.4062993381708</v>
      </c>
      <c r="I121" s="41">
        <f t="shared" si="27"/>
        <v>2.1431291337799534</v>
      </c>
      <c r="J121" s="83">
        <f t="shared" si="18"/>
        <v>-0.10936719310694776</v>
      </c>
      <c r="K121" s="41">
        <f t="shared" si="28"/>
        <v>-0.2631702043908466</v>
      </c>
      <c r="L121" s="77"/>
    </row>
    <row r="122" spans="2:12" x14ac:dyDescent="0.25">
      <c r="B122" s="280"/>
      <c r="C122" s="286"/>
      <c r="D122" s="4" t="s">
        <v>54</v>
      </c>
      <c r="E122" s="41">
        <f t="shared" si="27"/>
        <v>3.9032753477657343</v>
      </c>
      <c r="F122" s="41">
        <f t="shared" si="27"/>
        <v>6.6574033266408765</v>
      </c>
      <c r="G122" s="41">
        <f t="shared" si="27"/>
        <v>6.7036314964644834</v>
      </c>
      <c r="H122" s="41">
        <f t="shared" si="27"/>
        <v>6.9422982404403815</v>
      </c>
      <c r="I122" s="41">
        <f t="shared" si="27"/>
        <v>7.0848197552640286</v>
      </c>
      <c r="J122" s="31">
        <f t="shared" si="18"/>
        <v>2.0529442828230771E-2</v>
      </c>
      <c r="K122" s="41">
        <f t="shared" si="28"/>
        <v>0.14252151482364717</v>
      </c>
      <c r="L122" s="42"/>
    </row>
    <row r="123" spans="2:12" x14ac:dyDescent="0.25">
      <c r="B123" s="280"/>
      <c r="C123" s="287"/>
      <c r="D123" s="32" t="s">
        <v>55</v>
      </c>
      <c r="E123" s="79">
        <f t="shared" si="27"/>
        <v>3.4058673126093391</v>
      </c>
      <c r="F123" s="79">
        <f t="shared" si="27"/>
        <v>5.5463266039770689</v>
      </c>
      <c r="G123" s="79">
        <f t="shared" si="27"/>
        <v>6.9836884718317016</v>
      </c>
      <c r="H123" s="79">
        <f t="shared" si="27"/>
        <v>6.1834382739029801</v>
      </c>
      <c r="I123" s="79">
        <f t="shared" si="27"/>
        <v>6.1691319841323207</v>
      </c>
      <c r="J123" s="74">
        <f t="shared" si="18"/>
        <v>-2.3136464110976585E-3</v>
      </c>
      <c r="K123" s="79">
        <f t="shared" si="28"/>
        <v>-1.4306289770659397E-2</v>
      </c>
      <c r="L123" s="56"/>
    </row>
    <row r="124" spans="2:12" x14ac:dyDescent="0.25">
      <c r="B124" s="280"/>
      <c r="C124" s="288" t="s">
        <v>36</v>
      </c>
      <c r="D124" s="67" t="s">
        <v>45</v>
      </c>
      <c r="E124" s="69">
        <v>0.23260142704491399</v>
      </c>
      <c r="F124" s="69">
        <v>0.64850668439434189</v>
      </c>
      <c r="G124" s="69">
        <v>0.72567216985031291</v>
      </c>
      <c r="H124" s="69">
        <v>0.76010394107154011</v>
      </c>
      <c r="I124" s="69">
        <v>0.7490740715829608</v>
      </c>
      <c r="J124" s="69">
        <f t="shared" si="18"/>
        <v>-1.4511001578323857E-2</v>
      </c>
      <c r="K124" s="75">
        <f t="shared" ref="K124:K125" si="29">(I124-H124)*100</f>
        <v>-1.1029869488579314</v>
      </c>
      <c r="L124" s="69"/>
    </row>
    <row r="125" spans="2:12" x14ac:dyDescent="0.25">
      <c r="B125" s="280"/>
      <c r="C125" s="289"/>
      <c r="D125" s="15" t="s">
        <v>46</v>
      </c>
      <c r="E125" s="18">
        <v>0.26237001883318883</v>
      </c>
      <c r="F125" s="18">
        <v>0.74064276375027516</v>
      </c>
      <c r="G125" s="18">
        <v>0.78299710988998006</v>
      </c>
      <c r="H125" s="18">
        <v>0.79661756495496217</v>
      </c>
      <c r="I125" s="18">
        <v>0.78969811638701171</v>
      </c>
      <c r="J125" s="18">
        <f t="shared" si="18"/>
        <v>-8.6860356491658131E-3</v>
      </c>
      <c r="K125" s="44">
        <f t="shared" si="29"/>
        <v>-0.69194485679504592</v>
      </c>
      <c r="L125" s="18"/>
    </row>
    <row r="126" spans="2:12" x14ac:dyDescent="0.25">
      <c r="B126" s="280"/>
      <c r="C126" s="289"/>
      <c r="D126" s="19" t="s">
        <v>47</v>
      </c>
      <c r="E126" s="63">
        <v>0.15417694485812997</v>
      </c>
      <c r="F126" s="63">
        <v>0.58856763044200733</v>
      </c>
      <c r="G126" s="63">
        <v>0.6755994984773096</v>
      </c>
      <c r="H126" s="63">
        <v>0.70985263908695595</v>
      </c>
      <c r="I126" s="63">
        <v>0.71179858789377326</v>
      </c>
      <c r="J126" s="63">
        <f t="shared" si="18"/>
        <v>2.7413419344615164E-3</v>
      </c>
      <c r="K126" s="46">
        <f>(I126-H126)*100</f>
        <v>0.19459488068173103</v>
      </c>
      <c r="L126" s="63"/>
    </row>
    <row r="127" spans="2:12" x14ac:dyDescent="0.25">
      <c r="B127" s="280"/>
      <c r="C127" s="289"/>
      <c r="D127" s="19" t="s">
        <v>48</v>
      </c>
      <c r="E127" s="63">
        <v>0.22243448090704446</v>
      </c>
      <c r="F127" s="63">
        <v>0.52688873215069931</v>
      </c>
      <c r="G127" s="63">
        <v>0.52960526315789469</v>
      </c>
      <c r="H127" s="63">
        <v>0.59090233663954828</v>
      </c>
      <c r="I127" s="63">
        <v>0.59271331305229613</v>
      </c>
      <c r="J127" s="63">
        <f t="shared" si="18"/>
        <v>3.064764345063864E-3</v>
      </c>
      <c r="K127" s="46">
        <f t="shared" ref="K127:K134" si="30">(I127-H127)*100</f>
        <v>0.18109764127478556</v>
      </c>
      <c r="L127" s="63"/>
    </row>
    <row r="128" spans="2:12" x14ac:dyDescent="0.25">
      <c r="B128" s="280"/>
      <c r="C128" s="289"/>
      <c r="D128" s="19" t="s">
        <v>49</v>
      </c>
      <c r="E128" s="63">
        <v>0.18167446279341373</v>
      </c>
      <c r="F128" s="63">
        <v>0.47377688858962219</v>
      </c>
      <c r="G128" s="63">
        <v>0.64150240759344579</v>
      </c>
      <c r="H128" s="63">
        <v>0.86353785283305018</v>
      </c>
      <c r="I128" s="63">
        <v>0.64731608529544127</v>
      </c>
      <c r="J128" s="63">
        <f t="shared" si="18"/>
        <v>-0.2503906074623593</v>
      </c>
      <c r="K128" s="46">
        <f t="shared" si="30"/>
        <v>-21.62217675376089</v>
      </c>
      <c r="L128" s="63"/>
    </row>
    <row r="129" spans="2:12" x14ac:dyDescent="0.25">
      <c r="B129" s="280"/>
      <c r="C129" s="289"/>
      <c r="D129" s="19" t="s">
        <v>50</v>
      </c>
      <c r="E129" s="63">
        <v>0.26155548804305367</v>
      </c>
      <c r="F129" s="63">
        <v>0.5895444784498064</v>
      </c>
      <c r="G129" s="63">
        <v>0.7038175222226325</v>
      </c>
      <c r="H129" s="63">
        <v>0.75324686051467404</v>
      </c>
      <c r="I129" s="63">
        <v>0.75606348671644097</v>
      </c>
      <c r="J129" s="63">
        <f t="shared" si="18"/>
        <v>3.739313562943325E-3</v>
      </c>
      <c r="K129" s="46">
        <f t="shared" si="30"/>
        <v>0.28166262017669252</v>
      </c>
      <c r="L129" s="63"/>
    </row>
    <row r="130" spans="2:12" x14ac:dyDescent="0.25">
      <c r="B130" s="280"/>
      <c r="C130" s="289"/>
      <c r="D130" s="19" t="s">
        <v>51</v>
      </c>
      <c r="E130" s="63">
        <v>0.30936850234658114</v>
      </c>
      <c r="F130" s="63">
        <v>0.59226473842670024</v>
      </c>
      <c r="G130" s="63">
        <v>0.66728331791705209</v>
      </c>
      <c r="H130" s="63">
        <v>0.66193687441830085</v>
      </c>
      <c r="I130" s="63">
        <v>0.64449607184783231</v>
      </c>
      <c r="J130" s="63">
        <f t="shared" si="18"/>
        <v>-2.6348135667461081E-2</v>
      </c>
      <c r="K130" s="46">
        <f t="shared" si="30"/>
        <v>-1.7440802570468539</v>
      </c>
      <c r="L130" s="63"/>
    </row>
    <row r="131" spans="2:12" x14ac:dyDescent="0.25">
      <c r="B131" s="280"/>
      <c r="C131" s="289"/>
      <c r="D131" s="19" t="s">
        <v>52</v>
      </c>
      <c r="E131" s="63">
        <v>0.53112247923281353</v>
      </c>
      <c r="F131" s="63">
        <v>0.806175356373665</v>
      </c>
      <c r="G131" s="63">
        <v>0.7809878328495764</v>
      </c>
      <c r="H131" s="63">
        <v>0.80945852146602615</v>
      </c>
      <c r="I131" s="63">
        <v>0.81318176243577089</v>
      </c>
      <c r="J131" s="63">
        <f t="shared" si="18"/>
        <v>4.5996686315705748E-3</v>
      </c>
      <c r="K131" s="46">
        <f t="shared" si="30"/>
        <v>0.37232409697447455</v>
      </c>
      <c r="L131" s="63"/>
    </row>
    <row r="132" spans="2:12" x14ac:dyDescent="0.25">
      <c r="B132" s="280"/>
      <c r="C132" s="289"/>
      <c r="D132" s="19" t="s">
        <v>53</v>
      </c>
      <c r="E132" s="63">
        <v>0.30547666388840261</v>
      </c>
      <c r="F132" s="63">
        <v>0.54874580107688153</v>
      </c>
      <c r="G132" s="63">
        <v>0.57449239917330508</v>
      </c>
      <c r="H132" s="63">
        <v>0.59820127698629644</v>
      </c>
      <c r="I132" s="63">
        <v>0.62212749459165728</v>
      </c>
      <c r="J132" s="63">
        <f t="shared" si="18"/>
        <v>3.9996935021435753E-2</v>
      </c>
      <c r="K132" s="46">
        <f t="shared" si="30"/>
        <v>2.3926217605360844</v>
      </c>
      <c r="L132" s="63"/>
    </row>
    <row r="133" spans="2:12" x14ac:dyDescent="0.25">
      <c r="B133" s="280"/>
      <c r="C133" s="289"/>
      <c r="D133" s="19" t="s">
        <v>54</v>
      </c>
      <c r="E133" s="63">
        <v>0.24035478250748374</v>
      </c>
      <c r="F133" s="63">
        <v>0.70284738904609112</v>
      </c>
      <c r="G133" s="63">
        <v>0.78458686900865937</v>
      </c>
      <c r="H133" s="63">
        <v>0.84686132262126024</v>
      </c>
      <c r="I133" s="63">
        <v>0.81975446381117678</v>
      </c>
      <c r="J133" s="63">
        <f t="shared" si="18"/>
        <v>-3.2008615916216954E-2</v>
      </c>
      <c r="K133" s="46">
        <f t="shared" si="30"/>
        <v>-2.7106858810083456</v>
      </c>
      <c r="L133" s="22"/>
    </row>
    <row r="134" spans="2:12" x14ac:dyDescent="0.25">
      <c r="B134" s="280"/>
      <c r="C134" s="290"/>
      <c r="D134" s="23" t="s">
        <v>55</v>
      </c>
      <c r="E134" s="63">
        <v>0.16132472957439439</v>
      </c>
      <c r="F134" s="63">
        <v>0.48314338220145531</v>
      </c>
      <c r="G134" s="63">
        <v>0.7409378195417109</v>
      </c>
      <c r="H134" s="63">
        <v>0.6790193457565179</v>
      </c>
      <c r="I134" s="63">
        <v>0.65233828581991526</v>
      </c>
      <c r="J134" s="63">
        <f t="shared" si="18"/>
        <v>-3.9293519548955436E-2</v>
      </c>
      <c r="K134" s="46">
        <f t="shared" si="30"/>
        <v>-2.6681059936602636</v>
      </c>
      <c r="L134" s="47"/>
    </row>
    <row r="135" spans="2:12" x14ac:dyDescent="0.25">
      <c r="B135" s="280"/>
      <c r="C135" s="291" t="s">
        <v>39</v>
      </c>
      <c r="D135" s="67" t="s">
        <v>45</v>
      </c>
      <c r="E135" s="68">
        <v>56200.333333333336</v>
      </c>
      <c r="F135" s="68">
        <v>122307.66666666667</v>
      </c>
      <c r="G135" s="68">
        <v>125315</v>
      </c>
      <c r="H135" s="68">
        <v>126901.5</v>
      </c>
      <c r="I135" s="68">
        <v>125277</v>
      </c>
      <c r="J135" s="69">
        <f t="shared" si="18"/>
        <v>-1.2801267124502025E-2</v>
      </c>
      <c r="K135" s="68">
        <f t="shared" ref="K135:K136" si="31">I135-H135</f>
        <v>-1624.5</v>
      </c>
      <c r="L135" s="69">
        <f>I135/$I$135</f>
        <v>1</v>
      </c>
    </row>
    <row r="136" spans="2:12" x14ac:dyDescent="0.25">
      <c r="B136" s="280"/>
      <c r="C136" s="286"/>
      <c r="D136" s="26" t="s">
        <v>46</v>
      </c>
      <c r="E136" s="27">
        <v>19808</v>
      </c>
      <c r="F136" s="27">
        <v>43996</v>
      </c>
      <c r="G136" s="27">
        <v>45845.833333333336</v>
      </c>
      <c r="H136" s="27">
        <v>46352.666666666664</v>
      </c>
      <c r="I136" s="27">
        <v>44589</v>
      </c>
      <c r="J136" s="36">
        <f t="shared" si="18"/>
        <v>-3.8048871693825537E-2</v>
      </c>
      <c r="K136" s="27">
        <f t="shared" si="31"/>
        <v>-1763.6666666666642</v>
      </c>
      <c r="L136" s="38">
        <f t="shared" ref="L136:L145" si="32">I136/$I$135</f>
        <v>0.35592327402476115</v>
      </c>
    </row>
    <row r="137" spans="2:12" x14ac:dyDescent="0.25">
      <c r="B137" s="280"/>
      <c r="C137" s="286"/>
      <c r="D137" s="4" t="s">
        <v>47</v>
      </c>
      <c r="E137" s="29">
        <v>15589.833333333334</v>
      </c>
      <c r="F137" s="29">
        <v>37386.5</v>
      </c>
      <c r="G137" s="29">
        <v>37430.333333333336</v>
      </c>
      <c r="H137" s="29">
        <v>37564.666666666664</v>
      </c>
      <c r="I137" s="29">
        <v>37431.333333333336</v>
      </c>
      <c r="J137" s="76">
        <f>I137/H137-1</f>
        <v>-3.5494347525155678E-3</v>
      </c>
      <c r="K137" s="29">
        <f>I137-H137</f>
        <v>-133.33333333332848</v>
      </c>
      <c r="L137" s="77">
        <f t="shared" si="32"/>
        <v>0.29878855123712522</v>
      </c>
    </row>
    <row r="138" spans="2:12" x14ac:dyDescent="0.25">
      <c r="B138" s="280"/>
      <c r="C138" s="286"/>
      <c r="D138" s="4" t="s">
        <v>48</v>
      </c>
      <c r="E138" s="29">
        <v>535.33333333333337</v>
      </c>
      <c r="F138" s="29">
        <v>830</v>
      </c>
      <c r="G138" s="29">
        <v>912</v>
      </c>
      <c r="H138" s="29">
        <v>887.16666666666663</v>
      </c>
      <c r="I138" s="29">
        <v>915.33333333333337</v>
      </c>
      <c r="J138" s="76">
        <f t="shared" ref="J138:J145" si="33">I138/H138-1</f>
        <v>3.1749013714071017E-2</v>
      </c>
      <c r="K138" s="29">
        <f t="shared" ref="K138:K145" si="34">I138-H138</f>
        <v>28.166666666666742</v>
      </c>
      <c r="L138" s="77">
        <f t="shared" si="32"/>
        <v>7.3064755169211697E-3</v>
      </c>
    </row>
    <row r="139" spans="2:12" x14ac:dyDescent="0.25">
      <c r="B139" s="280"/>
      <c r="C139" s="286"/>
      <c r="D139" s="4" t="s">
        <v>49</v>
      </c>
      <c r="E139" s="29">
        <v>3652</v>
      </c>
      <c r="F139" s="29">
        <v>4562</v>
      </c>
      <c r="G139" s="29">
        <v>4466.666666666667</v>
      </c>
      <c r="H139" s="29">
        <v>4392</v>
      </c>
      <c r="I139" s="29">
        <v>4616</v>
      </c>
      <c r="J139" s="76">
        <f t="shared" si="33"/>
        <v>5.1001821493624755E-2</v>
      </c>
      <c r="K139" s="29">
        <f t="shared" si="34"/>
        <v>224</v>
      </c>
      <c r="L139" s="77">
        <f t="shared" si="32"/>
        <v>3.6846348491742301E-2</v>
      </c>
    </row>
    <row r="140" spans="2:12" x14ac:dyDescent="0.25">
      <c r="B140" s="280"/>
      <c r="C140" s="286"/>
      <c r="D140" s="4" t="s">
        <v>50</v>
      </c>
      <c r="E140" s="29">
        <v>6362.666666666667</v>
      </c>
      <c r="F140" s="29">
        <v>18301.666666666668</v>
      </c>
      <c r="G140" s="29">
        <v>19007.833333333332</v>
      </c>
      <c r="H140" s="29">
        <v>19956.666666666668</v>
      </c>
      <c r="I140" s="29">
        <v>19948</v>
      </c>
      <c r="J140" s="76">
        <f t="shared" si="33"/>
        <v>-4.342742608987038E-4</v>
      </c>
      <c r="K140" s="29">
        <f t="shared" si="34"/>
        <v>-8.6666666666678793</v>
      </c>
      <c r="L140" s="77">
        <f t="shared" si="32"/>
        <v>0.15923114378537162</v>
      </c>
    </row>
    <row r="141" spans="2:12" x14ac:dyDescent="0.25">
      <c r="B141" s="280"/>
      <c r="C141" s="286"/>
      <c r="D141" s="4" t="s">
        <v>51</v>
      </c>
      <c r="E141" s="29">
        <v>465</v>
      </c>
      <c r="F141" s="29">
        <v>644</v>
      </c>
      <c r="G141" s="29">
        <v>663</v>
      </c>
      <c r="H141" s="29">
        <v>673</v>
      </c>
      <c r="I141" s="29">
        <v>673</v>
      </c>
      <c r="J141" s="76">
        <f t="shared" si="33"/>
        <v>0</v>
      </c>
      <c r="K141" s="29">
        <f t="shared" si="34"/>
        <v>0</v>
      </c>
      <c r="L141" s="77">
        <f t="shared" si="32"/>
        <v>5.3720954365126883E-3</v>
      </c>
    </row>
    <row r="142" spans="2:12" x14ac:dyDescent="0.25">
      <c r="B142" s="280"/>
      <c r="C142" s="286"/>
      <c r="D142" s="4" t="s">
        <v>52</v>
      </c>
      <c r="E142" s="29">
        <v>2042.3333333333333</v>
      </c>
      <c r="F142" s="29">
        <v>4225.666666666667</v>
      </c>
      <c r="G142" s="29">
        <v>4791</v>
      </c>
      <c r="H142" s="29">
        <v>4797</v>
      </c>
      <c r="I142" s="29">
        <v>4820</v>
      </c>
      <c r="J142" s="76">
        <f t="shared" si="33"/>
        <v>4.794663331248783E-3</v>
      </c>
      <c r="K142" s="29">
        <f t="shared" si="34"/>
        <v>23</v>
      </c>
      <c r="L142" s="77">
        <f t="shared" si="32"/>
        <v>3.8474739976212716E-2</v>
      </c>
    </row>
    <row r="143" spans="2:12" x14ac:dyDescent="0.25">
      <c r="B143" s="280"/>
      <c r="C143" s="286"/>
      <c r="D143" s="4" t="s">
        <v>53</v>
      </c>
      <c r="E143" s="29">
        <v>2110</v>
      </c>
      <c r="F143" s="29">
        <v>2596.1666666666665</v>
      </c>
      <c r="G143" s="29">
        <v>2828</v>
      </c>
      <c r="H143" s="29">
        <v>2771.8333333333335</v>
      </c>
      <c r="I143" s="29">
        <v>2679</v>
      </c>
      <c r="J143" s="76">
        <f t="shared" si="33"/>
        <v>-3.349167217846194E-2</v>
      </c>
      <c r="K143" s="29">
        <f t="shared" si="34"/>
        <v>-92.833333333333485</v>
      </c>
      <c r="L143" s="77">
        <f t="shared" si="32"/>
        <v>2.1384611700471755E-2</v>
      </c>
    </row>
    <row r="144" spans="2:12" x14ac:dyDescent="0.25">
      <c r="B144" s="280"/>
      <c r="C144" s="286"/>
      <c r="D144" s="4" t="s">
        <v>54</v>
      </c>
      <c r="E144" s="29">
        <v>3033.5</v>
      </c>
      <c r="F144" s="29">
        <v>6412</v>
      </c>
      <c r="G144" s="29">
        <v>6296</v>
      </c>
      <c r="H144" s="29">
        <v>6415</v>
      </c>
      <c r="I144" s="29">
        <v>6497</v>
      </c>
      <c r="J144" s="40">
        <f t="shared" si="33"/>
        <v>1.278254091971931E-2</v>
      </c>
      <c r="K144" s="29">
        <f t="shared" si="34"/>
        <v>82</v>
      </c>
      <c r="L144" s="42">
        <f t="shared" si="32"/>
        <v>5.186107585590332E-2</v>
      </c>
    </row>
    <row r="145" spans="2:12" x14ac:dyDescent="0.25">
      <c r="B145" s="281"/>
      <c r="C145" s="287"/>
      <c r="D145" s="32" t="s">
        <v>55</v>
      </c>
      <c r="E145" s="73">
        <v>2601.6666666666665</v>
      </c>
      <c r="F145" s="73">
        <v>3353.6666666666665</v>
      </c>
      <c r="G145" s="73">
        <v>3074.3333333333335</v>
      </c>
      <c r="H145" s="73">
        <v>3091.5</v>
      </c>
      <c r="I145" s="73">
        <v>3108.3333333333335</v>
      </c>
      <c r="J145" s="65">
        <f t="shared" si="33"/>
        <v>5.4450374683272518E-3</v>
      </c>
      <c r="K145" s="73">
        <f t="shared" si="34"/>
        <v>16.833333333333485</v>
      </c>
      <c r="L145" s="56">
        <f t="shared" si="32"/>
        <v>2.4811683974978117E-2</v>
      </c>
    </row>
    <row r="146" spans="2:12" ht="6" customHeight="1" x14ac:dyDescent="0.25">
      <c r="B146" s="294"/>
      <c r="C146" s="294"/>
      <c r="D146" s="294"/>
      <c r="E146" s="294"/>
      <c r="F146" s="294"/>
      <c r="G146" s="294"/>
      <c r="H146" s="294"/>
      <c r="I146" s="294"/>
      <c r="J146" s="294"/>
      <c r="K146" s="294"/>
      <c r="L146" s="48"/>
    </row>
    <row r="147" spans="2:12" x14ac:dyDescent="0.25">
      <c r="B147" s="296" t="s">
        <v>57</v>
      </c>
      <c r="C147" s="296"/>
      <c r="D147" s="296"/>
      <c r="E147" s="296"/>
      <c r="F147" s="296"/>
      <c r="G147" s="296"/>
      <c r="H147" s="296"/>
      <c r="I147" s="296"/>
      <c r="J147" s="296"/>
      <c r="K147" s="296"/>
    </row>
    <row r="148" spans="2:12" x14ac:dyDescent="0.25">
      <c r="B148" s="64"/>
    </row>
    <row r="150" spans="2:12" ht="21.75" thickBot="1" x14ac:dyDescent="0.3">
      <c r="B150" s="278" t="s">
        <v>58</v>
      </c>
      <c r="C150" s="278"/>
      <c r="D150" s="278"/>
      <c r="E150" s="278"/>
      <c r="F150" s="278"/>
      <c r="G150" s="278"/>
      <c r="H150" s="278"/>
      <c r="I150" s="278"/>
      <c r="J150" s="278"/>
      <c r="K150" s="278"/>
      <c r="L150" s="12"/>
    </row>
    <row r="151" spans="2:12" ht="15.75" thickBot="1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x14ac:dyDescent="0.25">
      <c r="B152" s="4"/>
      <c r="C152" s="4"/>
      <c r="D152" s="4"/>
      <c r="E152" s="14">
        <v>2020</v>
      </c>
      <c r="F152" s="14">
        <v>2021</v>
      </c>
      <c r="G152" s="14">
        <v>2022</v>
      </c>
      <c r="H152" s="14">
        <v>2023</v>
      </c>
      <c r="I152" s="14">
        <v>2024</v>
      </c>
      <c r="J152" s="14" t="str">
        <f>CONCATENATE("var. ",RIGHT(I152,2),"/",RIGHT(H152,2))</f>
        <v>var. 24/23</v>
      </c>
      <c r="K152" s="14" t="str">
        <f>CONCATENATE("dif. ",RIGHT(I152,2),"/",RIGHT(H152,2))</f>
        <v>dif. 24/23</v>
      </c>
      <c r="L152" s="14" t="str">
        <f>CONCATENATE("cuota ",I152)</f>
        <v>cuota 2024</v>
      </c>
    </row>
    <row r="153" spans="2:12" x14ac:dyDescent="0.25">
      <c r="B153" s="279" t="s">
        <v>44</v>
      </c>
      <c r="C153" s="282" t="s">
        <v>8</v>
      </c>
      <c r="D153" s="67" t="s">
        <v>45</v>
      </c>
      <c r="E153" s="68">
        <v>1565303</v>
      </c>
      <c r="F153" s="68">
        <v>2335438</v>
      </c>
      <c r="G153" s="68">
        <v>4757683</v>
      </c>
      <c r="H153" s="68">
        <v>5188807</v>
      </c>
      <c r="I153" s="68">
        <v>5480280</v>
      </c>
      <c r="J153" s="69">
        <f>I153/H153-1</f>
        <v>5.6173413272068151E-2</v>
      </c>
      <c r="K153" s="68">
        <f>I153-H153</f>
        <v>291473</v>
      </c>
      <c r="L153" s="69">
        <f>I153/$I$153</f>
        <v>1</v>
      </c>
    </row>
    <row r="154" spans="2:12" x14ac:dyDescent="0.25">
      <c r="B154" s="280"/>
      <c r="C154" s="283"/>
      <c r="D154" s="15" t="s">
        <v>46</v>
      </c>
      <c r="E154" s="16">
        <v>550867</v>
      </c>
      <c r="F154" s="16">
        <v>881045</v>
      </c>
      <c r="G154" s="16">
        <v>1757049</v>
      </c>
      <c r="H154" s="16">
        <v>1888332</v>
      </c>
      <c r="I154" s="16">
        <v>1938898</v>
      </c>
      <c r="J154" s="18">
        <f t="shared" ref="J154" si="35">I154/H154-1</f>
        <v>2.677813011694985E-2</v>
      </c>
      <c r="K154" s="16">
        <f t="shared" ref="K154" si="36">I154-H154</f>
        <v>50566</v>
      </c>
      <c r="L154" s="18">
        <f t="shared" ref="L154:L163" si="37">I154/$I$153</f>
        <v>0.35379542651105417</v>
      </c>
    </row>
    <row r="155" spans="2:12" x14ac:dyDescent="0.25">
      <c r="B155" s="280"/>
      <c r="C155" s="283"/>
      <c r="D155" s="19" t="s">
        <v>47</v>
      </c>
      <c r="E155" s="20">
        <v>375345</v>
      </c>
      <c r="F155" s="20">
        <v>492258</v>
      </c>
      <c r="G155" s="20">
        <v>1243535</v>
      </c>
      <c r="H155" s="20">
        <v>1319978</v>
      </c>
      <c r="I155" s="20">
        <v>1387823</v>
      </c>
      <c r="J155" s="63">
        <f>I155/H155-1</f>
        <v>5.139858391579244E-2</v>
      </c>
      <c r="K155" s="20">
        <f>I155-H155</f>
        <v>67845</v>
      </c>
      <c r="L155" s="63">
        <f t="shared" si="37"/>
        <v>0.2532394330216704</v>
      </c>
    </row>
    <row r="156" spans="2:12" x14ac:dyDescent="0.25">
      <c r="B156" s="280"/>
      <c r="C156" s="283"/>
      <c r="D156" s="19" t="s">
        <v>48</v>
      </c>
      <c r="E156" s="20">
        <v>12633</v>
      </c>
      <c r="F156" s="20">
        <v>20161</v>
      </c>
      <c r="G156" s="20">
        <v>37751</v>
      </c>
      <c r="H156" s="20">
        <v>51166</v>
      </c>
      <c r="I156" s="20">
        <v>43737</v>
      </c>
      <c r="J156" s="63">
        <f t="shared" ref="J156:J218" si="38">I156/H156-1</f>
        <v>-0.14519407418989172</v>
      </c>
      <c r="K156" s="20">
        <f t="shared" ref="K156:K185" si="39">I156-H156</f>
        <v>-7429</v>
      </c>
      <c r="L156" s="63">
        <f t="shared" si="37"/>
        <v>7.9807966016334931E-3</v>
      </c>
    </row>
    <row r="157" spans="2:12" x14ac:dyDescent="0.25">
      <c r="B157" s="280"/>
      <c r="C157" s="283"/>
      <c r="D157" s="19" t="s">
        <v>49</v>
      </c>
      <c r="E157" s="20">
        <v>55313</v>
      </c>
      <c r="F157" s="20">
        <v>70304</v>
      </c>
      <c r="G157" s="20">
        <v>161080</v>
      </c>
      <c r="H157" s="20">
        <v>179837</v>
      </c>
      <c r="I157" s="20">
        <v>231856</v>
      </c>
      <c r="J157" s="63">
        <f t="shared" si="38"/>
        <v>0.28925638216829674</v>
      </c>
      <c r="K157" s="20">
        <f t="shared" si="39"/>
        <v>52019</v>
      </c>
      <c r="L157" s="63">
        <f t="shared" si="37"/>
        <v>4.2307327362835476E-2</v>
      </c>
    </row>
    <row r="158" spans="2:12" x14ac:dyDescent="0.25">
      <c r="B158" s="280"/>
      <c r="C158" s="283"/>
      <c r="D158" s="19" t="s">
        <v>50</v>
      </c>
      <c r="E158" s="20">
        <v>225835</v>
      </c>
      <c r="F158" s="20">
        <v>354204</v>
      </c>
      <c r="G158" s="20">
        <v>710225</v>
      </c>
      <c r="H158" s="20">
        <v>797848</v>
      </c>
      <c r="I158" s="20">
        <v>914356</v>
      </c>
      <c r="J158" s="63">
        <f t="shared" si="38"/>
        <v>0.14602781482187077</v>
      </c>
      <c r="K158" s="20">
        <f t="shared" si="39"/>
        <v>116508</v>
      </c>
      <c r="L158" s="63">
        <f t="shared" si="37"/>
        <v>0.16684475975680074</v>
      </c>
    </row>
    <row r="159" spans="2:12" x14ac:dyDescent="0.25">
      <c r="B159" s="280"/>
      <c r="C159" s="283"/>
      <c r="D159" s="19" t="s">
        <v>51</v>
      </c>
      <c r="E159" s="20">
        <v>24221</v>
      </c>
      <c r="F159" s="20">
        <v>33444</v>
      </c>
      <c r="G159" s="20">
        <v>51485</v>
      </c>
      <c r="H159" s="20">
        <v>58157</v>
      </c>
      <c r="I159" s="20">
        <v>57388</v>
      </c>
      <c r="J159" s="63">
        <f t="shared" si="38"/>
        <v>-1.3222827862510056E-2</v>
      </c>
      <c r="K159" s="20">
        <f t="shared" si="39"/>
        <v>-769</v>
      </c>
      <c r="L159" s="63">
        <f t="shared" si="37"/>
        <v>1.0471727721941215E-2</v>
      </c>
    </row>
    <row r="160" spans="2:12" x14ac:dyDescent="0.25">
      <c r="B160" s="280"/>
      <c r="C160" s="283"/>
      <c r="D160" s="19" t="s">
        <v>52</v>
      </c>
      <c r="E160" s="20">
        <v>77467</v>
      </c>
      <c r="F160" s="20">
        <v>107459</v>
      </c>
      <c r="G160" s="20">
        <v>198873</v>
      </c>
      <c r="H160" s="20">
        <v>252588</v>
      </c>
      <c r="I160" s="20">
        <v>239146</v>
      </c>
      <c r="J160" s="63">
        <f t="shared" si="38"/>
        <v>-5.3217096615832848E-2</v>
      </c>
      <c r="K160" s="20">
        <f t="shared" si="39"/>
        <v>-13442</v>
      </c>
      <c r="L160" s="63">
        <f t="shared" si="37"/>
        <v>4.3637551365988597E-2</v>
      </c>
    </row>
    <row r="161" spans="2:12" x14ac:dyDescent="0.25">
      <c r="B161" s="280"/>
      <c r="C161" s="283"/>
      <c r="D161" s="19" t="s">
        <v>53</v>
      </c>
      <c r="E161" s="20">
        <v>103516</v>
      </c>
      <c r="F161" s="20">
        <v>164258</v>
      </c>
      <c r="G161" s="20">
        <v>229131</v>
      </c>
      <c r="H161" s="20">
        <v>239109</v>
      </c>
      <c r="I161" s="20">
        <v>250871</v>
      </c>
      <c r="J161" s="63">
        <f t="shared" si="38"/>
        <v>4.9190954752853289E-2</v>
      </c>
      <c r="K161" s="20">
        <f t="shared" si="39"/>
        <v>11762</v>
      </c>
      <c r="L161" s="63">
        <f t="shared" si="37"/>
        <v>4.5777040589166977E-2</v>
      </c>
    </row>
    <row r="162" spans="2:12" x14ac:dyDescent="0.25">
      <c r="B162" s="280"/>
      <c r="C162" s="283"/>
      <c r="D162" s="19" t="s">
        <v>54</v>
      </c>
      <c r="E162" s="20">
        <v>96681</v>
      </c>
      <c r="F162" s="20">
        <v>140346</v>
      </c>
      <c r="G162" s="20">
        <v>257117</v>
      </c>
      <c r="H162" s="20">
        <v>278594</v>
      </c>
      <c r="I162" s="20">
        <v>287810</v>
      </c>
      <c r="J162" s="22">
        <f t="shared" si="38"/>
        <v>3.3080396562739978E-2</v>
      </c>
      <c r="K162" s="20">
        <f t="shared" si="39"/>
        <v>9216</v>
      </c>
      <c r="L162" s="22">
        <f t="shared" si="37"/>
        <v>5.2517389622428051E-2</v>
      </c>
    </row>
    <row r="163" spans="2:12" x14ac:dyDescent="0.25">
      <c r="B163" s="280"/>
      <c r="C163" s="284"/>
      <c r="D163" s="23" t="s">
        <v>55</v>
      </c>
      <c r="E163" s="71">
        <v>43425</v>
      </c>
      <c r="F163" s="71">
        <v>71959</v>
      </c>
      <c r="G163" s="71">
        <v>111437</v>
      </c>
      <c r="H163" s="71">
        <v>123198</v>
      </c>
      <c r="I163" s="71">
        <v>128395</v>
      </c>
      <c r="J163" s="47">
        <f t="shared" si="38"/>
        <v>4.2184126365687691E-2</v>
      </c>
      <c r="K163" s="71">
        <f t="shared" si="39"/>
        <v>5197</v>
      </c>
      <c r="L163" s="47">
        <f t="shared" si="37"/>
        <v>2.3428547446480836E-2</v>
      </c>
    </row>
    <row r="164" spans="2:12" x14ac:dyDescent="0.25">
      <c r="B164" s="280"/>
      <c r="C164" s="285" t="s">
        <v>18</v>
      </c>
      <c r="D164" s="67" t="s">
        <v>45</v>
      </c>
      <c r="E164" s="68">
        <v>1664028</v>
      </c>
      <c r="F164" s="68">
        <v>2347681</v>
      </c>
      <c r="G164" s="68">
        <v>4832844</v>
      </c>
      <c r="H164" s="68">
        <v>5281361</v>
      </c>
      <c r="I164" s="68">
        <v>5576793</v>
      </c>
      <c r="J164" s="69">
        <f>I164/H164-1</f>
        <v>5.5938611278418593E-2</v>
      </c>
      <c r="K164" s="68">
        <f>I164-H164</f>
        <v>295432</v>
      </c>
      <c r="L164" s="69">
        <f t="shared" ref="L164:L174" si="40">I164/$I$164</f>
        <v>1</v>
      </c>
    </row>
    <row r="165" spans="2:12" x14ac:dyDescent="0.25">
      <c r="B165" s="280"/>
      <c r="C165" s="286"/>
      <c r="D165" s="26" t="s">
        <v>46</v>
      </c>
      <c r="E165" s="27">
        <v>590539</v>
      </c>
      <c r="F165" s="27">
        <v>886032</v>
      </c>
      <c r="G165" s="27">
        <v>1785371</v>
      </c>
      <c r="H165" s="27">
        <v>1925016</v>
      </c>
      <c r="I165" s="27">
        <v>1977765</v>
      </c>
      <c r="J165" s="82">
        <f t="shared" ref="J165" si="41">I165/H165-1</f>
        <v>2.7401850166440145E-2</v>
      </c>
      <c r="K165" s="27">
        <f t="shared" ref="K165" si="42">I165-H165</f>
        <v>52749</v>
      </c>
      <c r="L165" s="38">
        <f t="shared" si="40"/>
        <v>0.35464199585675854</v>
      </c>
    </row>
    <row r="166" spans="2:12" x14ac:dyDescent="0.25">
      <c r="B166" s="280"/>
      <c r="C166" s="286"/>
      <c r="D166" s="4" t="s">
        <v>47</v>
      </c>
      <c r="E166" s="29">
        <v>404818</v>
      </c>
      <c r="F166" s="29">
        <v>494807</v>
      </c>
      <c r="G166" s="29">
        <v>1265143</v>
      </c>
      <c r="H166" s="29">
        <v>1346080</v>
      </c>
      <c r="I166" s="29">
        <v>1414435</v>
      </c>
      <c r="J166" s="83">
        <f>I166/H166-1</f>
        <v>5.0780785688814944E-2</v>
      </c>
      <c r="K166" s="29">
        <f>I166-H166</f>
        <v>68355</v>
      </c>
      <c r="L166" s="77">
        <f t="shared" si="40"/>
        <v>0.25362874325799795</v>
      </c>
    </row>
    <row r="167" spans="2:12" x14ac:dyDescent="0.25">
      <c r="B167" s="280"/>
      <c r="C167" s="286"/>
      <c r="D167" s="4" t="s">
        <v>48</v>
      </c>
      <c r="E167" s="29">
        <v>13335</v>
      </c>
      <c r="F167" s="29">
        <v>20284</v>
      </c>
      <c r="G167" s="29">
        <v>38233</v>
      </c>
      <c r="H167" s="29">
        <v>51566</v>
      </c>
      <c r="I167" s="29">
        <v>44327</v>
      </c>
      <c r="J167" s="83">
        <f t="shared" ref="J167:J174" si="43">I167/H167-1</f>
        <v>-0.14038319823139278</v>
      </c>
      <c r="K167" s="29">
        <f t="shared" ref="K167:K174" si="44">I167-H167</f>
        <v>-7239</v>
      </c>
      <c r="L167" s="77">
        <f t="shared" si="40"/>
        <v>7.948475046500739E-3</v>
      </c>
    </row>
    <row r="168" spans="2:12" x14ac:dyDescent="0.25">
      <c r="B168" s="280"/>
      <c r="C168" s="286"/>
      <c r="D168" s="4" t="s">
        <v>49</v>
      </c>
      <c r="E168" s="29">
        <v>57877</v>
      </c>
      <c r="F168" s="29">
        <v>71245</v>
      </c>
      <c r="G168" s="29">
        <v>164270</v>
      </c>
      <c r="H168" s="29">
        <v>183368</v>
      </c>
      <c r="I168" s="29">
        <v>234780</v>
      </c>
      <c r="J168" s="83">
        <f t="shared" si="43"/>
        <v>0.28037607434230627</v>
      </c>
      <c r="K168" s="29">
        <f t="shared" si="44"/>
        <v>51412</v>
      </c>
      <c r="L168" s="77">
        <f t="shared" si="40"/>
        <v>4.2099464692341999E-2</v>
      </c>
    </row>
    <row r="169" spans="2:12" x14ac:dyDescent="0.25">
      <c r="B169" s="280"/>
      <c r="C169" s="286"/>
      <c r="D169" s="4" t="s">
        <v>50</v>
      </c>
      <c r="E169" s="29">
        <v>240954</v>
      </c>
      <c r="F169" s="29">
        <v>355287</v>
      </c>
      <c r="G169" s="29">
        <v>720575</v>
      </c>
      <c r="H169" s="29">
        <v>811299</v>
      </c>
      <c r="I169" s="29">
        <v>928708</v>
      </c>
      <c r="J169" s="83">
        <f t="shared" si="43"/>
        <v>0.14471729904757669</v>
      </c>
      <c r="K169" s="29">
        <f t="shared" si="44"/>
        <v>117409</v>
      </c>
      <c r="L169" s="77">
        <f t="shared" si="40"/>
        <v>0.16653083591232451</v>
      </c>
    </row>
    <row r="170" spans="2:12" x14ac:dyDescent="0.25">
      <c r="B170" s="280"/>
      <c r="C170" s="286"/>
      <c r="D170" s="4" t="s">
        <v>51</v>
      </c>
      <c r="E170" s="29">
        <v>24525</v>
      </c>
      <c r="F170" s="29">
        <v>33497</v>
      </c>
      <c r="G170" s="29">
        <v>51855</v>
      </c>
      <c r="H170" s="29">
        <v>58492</v>
      </c>
      <c r="I170" s="29">
        <v>57716</v>
      </c>
      <c r="J170" s="83">
        <f t="shared" si="43"/>
        <v>-1.3266771524310994E-2</v>
      </c>
      <c r="K170" s="29">
        <f t="shared" si="44"/>
        <v>-776</v>
      </c>
      <c r="L170" s="77">
        <f t="shared" si="40"/>
        <v>1.0349317250972019E-2</v>
      </c>
    </row>
    <row r="171" spans="2:12" x14ac:dyDescent="0.25">
      <c r="B171" s="280"/>
      <c r="C171" s="286"/>
      <c r="D171" s="4" t="s">
        <v>52</v>
      </c>
      <c r="E171" s="29">
        <v>80970</v>
      </c>
      <c r="F171" s="29">
        <v>108554</v>
      </c>
      <c r="G171" s="29">
        <v>202302</v>
      </c>
      <c r="H171" s="29">
        <v>255835</v>
      </c>
      <c r="I171" s="29">
        <v>243005</v>
      </c>
      <c r="J171" s="83">
        <f t="shared" si="43"/>
        <v>-5.0149510426642174E-2</v>
      </c>
      <c r="K171" s="29">
        <f t="shared" si="44"/>
        <v>-12830</v>
      </c>
      <c r="L171" s="77">
        <f t="shared" si="40"/>
        <v>4.3574326678433285E-2</v>
      </c>
    </row>
    <row r="172" spans="2:12" x14ac:dyDescent="0.25">
      <c r="B172" s="280"/>
      <c r="C172" s="286"/>
      <c r="D172" s="4" t="s">
        <v>53</v>
      </c>
      <c r="E172" s="29">
        <v>104957</v>
      </c>
      <c r="F172" s="29">
        <v>164413</v>
      </c>
      <c r="G172" s="29">
        <v>230406</v>
      </c>
      <c r="H172" s="29">
        <v>240602</v>
      </c>
      <c r="I172" s="29">
        <v>252566</v>
      </c>
      <c r="J172" s="83">
        <f t="shared" si="43"/>
        <v>4.9725272441625501E-2</v>
      </c>
      <c r="K172" s="29">
        <f t="shared" si="44"/>
        <v>11964</v>
      </c>
      <c r="L172" s="77">
        <f t="shared" si="40"/>
        <v>4.5288752872842869E-2</v>
      </c>
    </row>
    <row r="173" spans="2:12" x14ac:dyDescent="0.25">
      <c r="B173" s="280"/>
      <c r="C173" s="286"/>
      <c r="D173" s="4" t="s">
        <v>54</v>
      </c>
      <c r="E173" s="29">
        <v>100783</v>
      </c>
      <c r="F173" s="29">
        <v>141329</v>
      </c>
      <c r="G173" s="29">
        <v>261644</v>
      </c>
      <c r="H173" s="29">
        <v>283635</v>
      </c>
      <c r="I173" s="29">
        <v>293116</v>
      </c>
      <c r="J173" s="31">
        <f t="shared" si="43"/>
        <v>3.3426763269695181E-2</v>
      </c>
      <c r="K173" s="29">
        <f t="shared" si="44"/>
        <v>9481</v>
      </c>
      <c r="L173" s="42">
        <f t="shared" si="40"/>
        <v>5.2559956950168317E-2</v>
      </c>
    </row>
    <row r="174" spans="2:12" x14ac:dyDescent="0.25">
      <c r="B174" s="280"/>
      <c r="C174" s="287"/>
      <c r="D174" s="32" t="s">
        <v>55</v>
      </c>
      <c r="E174" s="73">
        <v>45270</v>
      </c>
      <c r="F174" s="73">
        <v>72233</v>
      </c>
      <c r="G174" s="73">
        <v>113045</v>
      </c>
      <c r="H174" s="73">
        <v>125468</v>
      </c>
      <c r="I174" s="73">
        <v>130375</v>
      </c>
      <c r="J174" s="74">
        <f t="shared" si="43"/>
        <v>3.9109573755857996E-2</v>
      </c>
      <c r="K174" s="73">
        <f t="shared" si="44"/>
        <v>4907</v>
      </c>
      <c r="L174" s="56">
        <f t="shared" si="40"/>
        <v>2.3378131481659799E-2</v>
      </c>
    </row>
    <row r="175" spans="2:12" x14ac:dyDescent="0.25">
      <c r="B175" s="280"/>
      <c r="C175" s="282" t="s">
        <v>21</v>
      </c>
      <c r="D175" s="67" t="s">
        <v>45</v>
      </c>
      <c r="E175" s="68">
        <v>10243785</v>
      </c>
      <c r="F175" s="68">
        <v>13903380</v>
      </c>
      <c r="G175" s="68">
        <v>31405937</v>
      </c>
      <c r="H175" s="68">
        <v>34509923</v>
      </c>
      <c r="I175" s="68">
        <v>36076748</v>
      </c>
      <c r="J175" s="69">
        <f t="shared" si="38"/>
        <v>4.540215867766495E-2</v>
      </c>
      <c r="K175" s="68">
        <f t="shared" si="39"/>
        <v>1566825</v>
      </c>
      <c r="L175" s="69">
        <f>I175/$I$175</f>
        <v>1</v>
      </c>
    </row>
    <row r="176" spans="2:12" x14ac:dyDescent="0.25">
      <c r="B176" s="280"/>
      <c r="C176" s="283"/>
      <c r="D176" s="15" t="s">
        <v>46</v>
      </c>
      <c r="E176" s="16">
        <v>3913809</v>
      </c>
      <c r="F176" s="16">
        <v>5763674</v>
      </c>
      <c r="G176" s="16">
        <v>12632387</v>
      </c>
      <c r="H176" s="16">
        <v>13590517</v>
      </c>
      <c r="I176" s="16">
        <v>13839613</v>
      </c>
      <c r="J176" s="18">
        <f t="shared" si="38"/>
        <v>1.8328662551983843E-2</v>
      </c>
      <c r="K176" s="16">
        <f t="shared" si="39"/>
        <v>249096</v>
      </c>
      <c r="L176" s="18">
        <f t="shared" ref="L176:L185" si="45">I176/$I$175</f>
        <v>0.38361586803777326</v>
      </c>
    </row>
    <row r="177" spans="2:12" x14ac:dyDescent="0.25">
      <c r="B177" s="280"/>
      <c r="C177" s="283"/>
      <c r="D177" s="19" t="s">
        <v>47</v>
      </c>
      <c r="E177" s="20">
        <v>2858440</v>
      </c>
      <c r="F177" s="20">
        <v>3367162</v>
      </c>
      <c r="G177" s="20">
        <v>8865243</v>
      </c>
      <c r="H177" s="20">
        <v>9739308</v>
      </c>
      <c r="I177" s="20">
        <v>10014981</v>
      </c>
      <c r="J177" s="63">
        <f t="shared" si="38"/>
        <v>2.8305193757092395E-2</v>
      </c>
      <c r="K177" s="20">
        <f t="shared" si="39"/>
        <v>275673</v>
      </c>
      <c r="L177" s="63">
        <f t="shared" si="45"/>
        <v>0.2776020998344973</v>
      </c>
    </row>
    <row r="178" spans="2:12" x14ac:dyDescent="0.25">
      <c r="B178" s="280"/>
      <c r="C178" s="283"/>
      <c r="D178" s="19" t="s">
        <v>48</v>
      </c>
      <c r="E178" s="20">
        <v>65275</v>
      </c>
      <c r="F178" s="20">
        <v>98762</v>
      </c>
      <c r="G178" s="20">
        <v>168339</v>
      </c>
      <c r="H178" s="20">
        <v>182035</v>
      </c>
      <c r="I178" s="20">
        <v>194642</v>
      </c>
      <c r="J178" s="63">
        <f t="shared" si="38"/>
        <v>6.925591232455286E-2</v>
      </c>
      <c r="K178" s="20">
        <f t="shared" si="39"/>
        <v>12607</v>
      </c>
      <c r="L178" s="63">
        <f t="shared" si="45"/>
        <v>5.3952202121987274E-3</v>
      </c>
    </row>
    <row r="179" spans="2:12" x14ac:dyDescent="0.25">
      <c r="B179" s="280"/>
      <c r="C179" s="283"/>
      <c r="D179" s="19" t="s">
        <v>49</v>
      </c>
      <c r="E179" s="20">
        <v>295880</v>
      </c>
      <c r="F179" s="20">
        <v>419370</v>
      </c>
      <c r="G179" s="20">
        <v>1014697</v>
      </c>
      <c r="H179" s="20">
        <v>1034949</v>
      </c>
      <c r="I179" s="20">
        <v>1361415</v>
      </c>
      <c r="J179" s="63">
        <f t="shared" si="38"/>
        <v>0.31544163045715301</v>
      </c>
      <c r="K179" s="20">
        <f t="shared" si="39"/>
        <v>326466</v>
      </c>
      <c r="L179" s="63">
        <f t="shared" si="45"/>
        <v>3.7736633024683934E-2</v>
      </c>
    </row>
    <row r="180" spans="2:12" x14ac:dyDescent="0.25">
      <c r="B180" s="280"/>
      <c r="C180" s="283"/>
      <c r="D180" s="19" t="s">
        <v>50</v>
      </c>
      <c r="E180" s="20">
        <v>1546641</v>
      </c>
      <c r="F180" s="20">
        <v>1967362</v>
      </c>
      <c r="G180" s="20">
        <v>4352393</v>
      </c>
      <c r="H180" s="20">
        <v>5123327</v>
      </c>
      <c r="I180" s="20">
        <v>5751799</v>
      </c>
      <c r="J180" s="63">
        <f t="shared" si="38"/>
        <v>0.12266872678632468</v>
      </c>
      <c r="K180" s="20">
        <f t="shared" si="39"/>
        <v>628472</v>
      </c>
      <c r="L180" s="63">
        <f t="shared" si="45"/>
        <v>0.15943230249023554</v>
      </c>
    </row>
    <row r="181" spans="2:12" x14ac:dyDescent="0.25">
      <c r="B181" s="280"/>
      <c r="C181" s="283"/>
      <c r="D181" s="19" t="s">
        <v>51</v>
      </c>
      <c r="E181" s="20">
        <v>59047</v>
      </c>
      <c r="F181" s="20">
        <v>83402</v>
      </c>
      <c r="G181" s="20">
        <v>137757</v>
      </c>
      <c r="H181" s="20">
        <v>148334</v>
      </c>
      <c r="I181" s="20">
        <v>152300</v>
      </c>
      <c r="J181" s="63">
        <f t="shared" si="38"/>
        <v>2.6736958485579887E-2</v>
      </c>
      <c r="K181" s="20">
        <f t="shared" si="39"/>
        <v>3966</v>
      </c>
      <c r="L181" s="63">
        <f t="shared" si="45"/>
        <v>4.2215556679332626E-3</v>
      </c>
    </row>
    <row r="182" spans="2:12" x14ac:dyDescent="0.25">
      <c r="B182" s="280"/>
      <c r="C182" s="283"/>
      <c r="D182" s="19" t="s">
        <v>52</v>
      </c>
      <c r="E182" s="20">
        <v>442013</v>
      </c>
      <c r="F182" s="20">
        <v>749212</v>
      </c>
      <c r="G182" s="20">
        <v>1316064</v>
      </c>
      <c r="H182" s="20">
        <v>1447168</v>
      </c>
      <c r="I182" s="20">
        <v>1453294</v>
      </c>
      <c r="J182" s="63">
        <f t="shared" si="38"/>
        <v>4.2330952591544957E-3</v>
      </c>
      <c r="K182" s="20">
        <f t="shared" si="39"/>
        <v>6126</v>
      </c>
      <c r="L182" s="63">
        <f t="shared" si="45"/>
        <v>4.0283398049070274E-2</v>
      </c>
    </row>
    <row r="183" spans="2:12" x14ac:dyDescent="0.25">
      <c r="B183" s="280"/>
      <c r="C183" s="283"/>
      <c r="D183" s="19" t="s">
        <v>53</v>
      </c>
      <c r="E183" s="20">
        <v>216673</v>
      </c>
      <c r="F183" s="20">
        <v>359169</v>
      </c>
      <c r="G183" s="20">
        <v>543499</v>
      </c>
      <c r="H183" s="20">
        <v>576462</v>
      </c>
      <c r="I183" s="20">
        <v>584273</v>
      </c>
      <c r="J183" s="63">
        <f t="shared" si="38"/>
        <v>1.3549895743344642E-2</v>
      </c>
      <c r="K183" s="20">
        <f t="shared" si="39"/>
        <v>7811</v>
      </c>
      <c r="L183" s="63">
        <f t="shared" si="45"/>
        <v>1.6195279020160019E-2</v>
      </c>
    </row>
    <row r="184" spans="2:12" x14ac:dyDescent="0.25">
      <c r="B184" s="280"/>
      <c r="C184" s="283"/>
      <c r="D184" s="19" t="s">
        <v>54</v>
      </c>
      <c r="E184" s="20">
        <v>610766</v>
      </c>
      <c r="F184" s="20">
        <v>774989</v>
      </c>
      <c r="G184" s="20">
        <v>1753117</v>
      </c>
      <c r="H184" s="20">
        <v>1886738</v>
      </c>
      <c r="I184" s="20">
        <v>1988780</v>
      </c>
      <c r="J184" s="22">
        <f t="shared" si="38"/>
        <v>5.4083820859069931E-2</v>
      </c>
      <c r="K184" s="20">
        <f t="shared" si="39"/>
        <v>102042</v>
      </c>
      <c r="L184" s="22">
        <f t="shared" si="45"/>
        <v>5.512636560257593E-2</v>
      </c>
    </row>
    <row r="185" spans="2:12" x14ac:dyDescent="0.25">
      <c r="B185" s="280"/>
      <c r="C185" s="284"/>
      <c r="D185" s="23" t="s">
        <v>55</v>
      </c>
      <c r="E185" s="71">
        <v>235241</v>
      </c>
      <c r="F185" s="71">
        <v>320278</v>
      </c>
      <c r="G185" s="71">
        <v>622441</v>
      </c>
      <c r="H185" s="71">
        <v>781085</v>
      </c>
      <c r="I185" s="71">
        <v>735651</v>
      </c>
      <c r="J185" s="47">
        <f t="shared" si="38"/>
        <v>-5.8167805040424514E-2</v>
      </c>
      <c r="K185" s="71">
        <f t="shared" si="39"/>
        <v>-45434</v>
      </c>
      <c r="L185" s="47">
        <f t="shared" si="45"/>
        <v>2.0391278060871782E-2</v>
      </c>
    </row>
    <row r="186" spans="2:12" x14ac:dyDescent="0.25">
      <c r="B186" s="280"/>
      <c r="C186" s="285" t="s">
        <v>22</v>
      </c>
      <c r="D186" s="67" t="s">
        <v>45</v>
      </c>
      <c r="E186" s="75">
        <f t="shared" ref="E186:I187" si="46">E175/E153</f>
        <v>6.5442824807720932</v>
      </c>
      <c r="F186" s="75">
        <f t="shared" si="46"/>
        <v>5.9532216226677823</v>
      </c>
      <c r="G186" s="75">
        <f t="shared" si="46"/>
        <v>6.6010991064347921</v>
      </c>
      <c r="H186" s="75">
        <f t="shared" si="46"/>
        <v>6.6508395860551373</v>
      </c>
      <c r="I186" s="75">
        <f t="shared" si="46"/>
        <v>6.583011816914464</v>
      </c>
      <c r="J186" s="69">
        <f t="shared" si="38"/>
        <v>-1.0198376951218058E-2</v>
      </c>
      <c r="K186" s="75">
        <f t="shared" ref="K186:K187" si="47">(I186-H186)</f>
        <v>-6.7827769140673233E-2</v>
      </c>
      <c r="L186" s="69"/>
    </row>
    <row r="187" spans="2:12" x14ac:dyDescent="0.25">
      <c r="B187" s="280"/>
      <c r="C187" s="286"/>
      <c r="D187" s="26" t="s">
        <v>46</v>
      </c>
      <c r="E187" s="37">
        <f t="shared" si="46"/>
        <v>7.1048165891222386</v>
      </c>
      <c r="F187" s="37">
        <f t="shared" si="46"/>
        <v>6.5418610854156141</v>
      </c>
      <c r="G187" s="37">
        <f t="shared" si="46"/>
        <v>7.1895473603752658</v>
      </c>
      <c r="H187" s="37">
        <f t="shared" si="46"/>
        <v>7.1971014630901768</v>
      </c>
      <c r="I187" s="37">
        <f t="shared" si="46"/>
        <v>7.1378757417873455</v>
      </c>
      <c r="J187" s="82">
        <f t="shared" si="38"/>
        <v>-8.2291074547949927E-3</v>
      </c>
      <c r="K187" s="37">
        <f t="shared" si="47"/>
        <v>-5.9225721302831325E-2</v>
      </c>
      <c r="L187" s="38"/>
    </row>
    <row r="188" spans="2:12" x14ac:dyDescent="0.25">
      <c r="B188" s="280"/>
      <c r="C188" s="286"/>
      <c r="D188" s="4" t="s">
        <v>47</v>
      </c>
      <c r="E188" s="41">
        <f>E177/E155</f>
        <v>7.6155004062928775</v>
      </c>
      <c r="F188" s="41">
        <f>F177/F155</f>
        <v>6.8402382490482632</v>
      </c>
      <c r="G188" s="41">
        <f>G177/G155</f>
        <v>7.1290659289847085</v>
      </c>
      <c r="H188" s="41">
        <f>H177/H155</f>
        <v>7.378386609473794</v>
      </c>
      <c r="I188" s="41">
        <f>I177/I155</f>
        <v>7.2163244160098223</v>
      </c>
      <c r="J188" s="83">
        <f t="shared" si="38"/>
        <v>-2.1964448603965181E-2</v>
      </c>
      <c r="K188" s="41">
        <f>(I188-H188)</f>
        <v>-0.16206219346397166</v>
      </c>
      <c r="L188" s="77"/>
    </row>
    <row r="189" spans="2:12" x14ac:dyDescent="0.25">
      <c r="B189" s="280"/>
      <c r="C189" s="286"/>
      <c r="D189" s="4" t="s">
        <v>48</v>
      </c>
      <c r="E189" s="41">
        <f t="shared" ref="E189:I196" si="48">E178/E156</f>
        <v>5.1670228765930499</v>
      </c>
      <c r="F189" s="41">
        <f t="shared" si="48"/>
        <v>4.8986657407866669</v>
      </c>
      <c r="G189" s="41">
        <f t="shared" si="48"/>
        <v>4.4591931339567168</v>
      </c>
      <c r="H189" s="41">
        <f t="shared" si="48"/>
        <v>3.5577336512527848</v>
      </c>
      <c r="I189" s="41">
        <f t="shared" si="48"/>
        <v>4.4502823696184013</v>
      </c>
      <c r="J189" s="83">
        <f t="shared" si="38"/>
        <v>0.25087564327681555</v>
      </c>
      <c r="K189" s="41">
        <f t="shared" ref="K189:K196" si="49">(I189-H189)</f>
        <v>0.89254871836561644</v>
      </c>
      <c r="L189" s="77"/>
    </row>
    <row r="190" spans="2:12" x14ac:dyDescent="0.25">
      <c r="B190" s="280"/>
      <c r="C190" s="286"/>
      <c r="D190" s="4" t="s">
        <v>49</v>
      </c>
      <c r="E190" s="41">
        <f t="shared" si="48"/>
        <v>5.3491945835517871</v>
      </c>
      <c r="F190" s="41">
        <f t="shared" si="48"/>
        <v>5.9650944469731453</v>
      </c>
      <c r="G190" s="41">
        <f t="shared" si="48"/>
        <v>6.2993357337968714</v>
      </c>
      <c r="H190" s="41">
        <f t="shared" si="48"/>
        <v>5.7549280737556785</v>
      </c>
      <c r="I190" s="41">
        <f t="shared" si="48"/>
        <v>5.8718126768338967</v>
      </c>
      <c r="J190" s="83">
        <f t="shared" si="38"/>
        <v>2.0310349943598593E-2</v>
      </c>
      <c r="K190" s="41">
        <f t="shared" si="49"/>
        <v>0.11688460307821824</v>
      </c>
      <c r="L190" s="77"/>
    </row>
    <row r="191" spans="2:12" x14ac:dyDescent="0.25">
      <c r="B191" s="280"/>
      <c r="C191" s="286"/>
      <c r="D191" s="4" t="s">
        <v>50</v>
      </c>
      <c r="E191" s="41">
        <f t="shared" si="48"/>
        <v>6.8485442911860428</v>
      </c>
      <c r="F191" s="41">
        <f t="shared" si="48"/>
        <v>5.5543189800228117</v>
      </c>
      <c r="G191" s="41">
        <f t="shared" si="48"/>
        <v>6.1281889542046537</v>
      </c>
      <c r="H191" s="41">
        <f t="shared" si="48"/>
        <v>6.4214324031645127</v>
      </c>
      <c r="I191" s="41">
        <f t="shared" si="48"/>
        <v>6.2905465704823937</v>
      </c>
      <c r="J191" s="83">
        <f t="shared" si="38"/>
        <v>-2.0382653661139227E-2</v>
      </c>
      <c r="K191" s="41">
        <f t="shared" si="49"/>
        <v>-0.13088583268211895</v>
      </c>
      <c r="L191" s="77"/>
    </row>
    <row r="192" spans="2:12" x14ac:dyDescent="0.25">
      <c r="B192" s="280"/>
      <c r="C192" s="286"/>
      <c r="D192" s="4" t="s">
        <v>51</v>
      </c>
      <c r="E192" s="41">
        <f t="shared" si="48"/>
        <v>2.437843193922629</v>
      </c>
      <c r="F192" s="41">
        <f t="shared" si="48"/>
        <v>2.4937806482478173</v>
      </c>
      <c r="G192" s="41">
        <f t="shared" si="48"/>
        <v>2.6756725259784404</v>
      </c>
      <c r="H192" s="41">
        <f t="shared" si="48"/>
        <v>2.5505786061867015</v>
      </c>
      <c r="I192" s="41">
        <f t="shared" si="48"/>
        <v>2.6538649194953647</v>
      </c>
      <c r="J192" s="83">
        <f t="shared" si="38"/>
        <v>4.0495248042201615E-2</v>
      </c>
      <c r="K192" s="41">
        <f t="shared" si="49"/>
        <v>0.10328631330866322</v>
      </c>
      <c r="L192" s="77"/>
    </row>
    <row r="193" spans="2:12" x14ac:dyDescent="0.25">
      <c r="B193" s="280"/>
      <c r="C193" s="286"/>
      <c r="D193" s="4" t="s">
        <v>52</v>
      </c>
      <c r="E193" s="41">
        <f t="shared" si="48"/>
        <v>5.7058231246853497</v>
      </c>
      <c r="F193" s="41">
        <f t="shared" si="48"/>
        <v>6.9720730697289195</v>
      </c>
      <c r="G193" s="41">
        <f t="shared" si="48"/>
        <v>6.6176102336667117</v>
      </c>
      <c r="H193" s="41">
        <f t="shared" si="48"/>
        <v>5.729361648217651</v>
      </c>
      <c r="I193" s="41">
        <f t="shared" si="48"/>
        <v>6.0770157142498729</v>
      </c>
      <c r="J193" s="83">
        <f t="shared" si="38"/>
        <v>6.0679371870402621E-2</v>
      </c>
      <c r="K193" s="41">
        <f t="shared" si="49"/>
        <v>0.34765406603222182</v>
      </c>
      <c r="L193" s="77"/>
    </row>
    <row r="194" spans="2:12" x14ac:dyDescent="0.25">
      <c r="B194" s="280"/>
      <c r="C194" s="286"/>
      <c r="D194" s="4" t="s">
        <v>53</v>
      </c>
      <c r="E194" s="41">
        <f t="shared" si="48"/>
        <v>2.0931353607171839</v>
      </c>
      <c r="F194" s="41">
        <f t="shared" si="48"/>
        <v>2.1866149593931499</v>
      </c>
      <c r="G194" s="41">
        <f t="shared" si="48"/>
        <v>2.3720011696365835</v>
      </c>
      <c r="H194" s="41">
        <f t="shared" si="48"/>
        <v>2.410875374829053</v>
      </c>
      <c r="I194" s="41">
        <f t="shared" si="48"/>
        <v>2.328977841201255</v>
      </c>
      <c r="J194" s="83">
        <f t="shared" si="38"/>
        <v>-3.3970040294432513E-2</v>
      </c>
      <c r="K194" s="41">
        <f t="shared" si="49"/>
        <v>-8.1897533627798058E-2</v>
      </c>
      <c r="L194" s="77"/>
    </row>
    <row r="195" spans="2:12" x14ac:dyDescent="0.25">
      <c r="B195" s="280"/>
      <c r="C195" s="286"/>
      <c r="D195" s="4" t="s">
        <v>54</v>
      </c>
      <c r="E195" s="41">
        <f t="shared" si="48"/>
        <v>6.3173322576307651</v>
      </c>
      <c r="F195" s="41">
        <f t="shared" si="48"/>
        <v>5.5219885141008653</v>
      </c>
      <c r="G195" s="41">
        <f t="shared" si="48"/>
        <v>6.81836284648623</v>
      </c>
      <c r="H195" s="41">
        <f t="shared" si="48"/>
        <v>6.7723569064660403</v>
      </c>
      <c r="I195" s="41">
        <f t="shared" si="48"/>
        <v>6.910044821236232</v>
      </c>
      <c r="J195" s="31">
        <f t="shared" si="38"/>
        <v>2.0330871020505681E-2</v>
      </c>
      <c r="K195" s="41">
        <f t="shared" si="49"/>
        <v>0.13768791477019171</v>
      </c>
      <c r="L195" s="42"/>
    </row>
    <row r="196" spans="2:12" x14ac:dyDescent="0.25">
      <c r="B196" s="280"/>
      <c r="C196" s="287"/>
      <c r="D196" s="32" t="s">
        <v>55</v>
      </c>
      <c r="E196" s="79">
        <f t="shared" si="48"/>
        <v>5.4171790443293037</v>
      </c>
      <c r="F196" s="79">
        <f t="shared" si="48"/>
        <v>4.4508400617018022</v>
      </c>
      <c r="G196" s="79">
        <f t="shared" si="48"/>
        <v>5.585586474869209</v>
      </c>
      <c r="H196" s="79">
        <f t="shared" si="48"/>
        <v>6.340078572704102</v>
      </c>
      <c r="I196" s="79">
        <f t="shared" si="48"/>
        <v>5.7295922738424396</v>
      </c>
      <c r="J196" s="74">
        <f t="shared" si="38"/>
        <v>-9.6290020992797265E-2</v>
      </c>
      <c r="K196" s="79">
        <f t="shared" si="49"/>
        <v>-0.61048629886166239</v>
      </c>
      <c r="L196" s="56"/>
    </row>
    <row r="197" spans="2:12" x14ac:dyDescent="0.25">
      <c r="B197" s="280"/>
      <c r="C197" s="288" t="s">
        <v>36</v>
      </c>
      <c r="D197" s="67" t="s">
        <v>45</v>
      </c>
      <c r="E197" s="69">
        <v>0.42151592636549812</v>
      </c>
      <c r="F197" s="69">
        <v>0.46071549284573426</v>
      </c>
      <c r="G197" s="69">
        <v>0.69548218463868861</v>
      </c>
      <c r="H197" s="69">
        <v>0.75317428421984389</v>
      </c>
      <c r="I197" s="69">
        <v>0.77369971345652855</v>
      </c>
      <c r="J197" s="69">
        <f t="shared" si="38"/>
        <v>2.725189861991284E-2</v>
      </c>
      <c r="K197" s="75">
        <f>(I197-H197)*100</f>
        <v>2.0525429236684656</v>
      </c>
      <c r="L197" s="69"/>
    </row>
    <row r="198" spans="2:12" x14ac:dyDescent="0.25">
      <c r="B198" s="280"/>
      <c r="C198" s="289"/>
      <c r="D198" s="15" t="s">
        <v>46</v>
      </c>
      <c r="E198" s="18">
        <v>0.49563348888170433</v>
      </c>
      <c r="F198" s="18">
        <v>0.53007392392769836</v>
      </c>
      <c r="G198" s="18">
        <v>0.78235212112064911</v>
      </c>
      <c r="H198" s="18">
        <v>0.81120905005064936</v>
      </c>
      <c r="I198" s="18">
        <v>0.81280076010742186</v>
      </c>
      <c r="J198" s="18">
        <f t="shared" si="38"/>
        <v>1.9621453393217081E-3</v>
      </c>
      <c r="K198" s="44">
        <f t="shared" ref="K198" si="50">(I198-H198)*100</f>
        <v>0.15917100567724995</v>
      </c>
      <c r="L198" s="18"/>
    </row>
    <row r="199" spans="2:12" x14ac:dyDescent="0.25">
      <c r="B199" s="280"/>
      <c r="C199" s="289"/>
      <c r="D199" s="19" t="s">
        <v>47</v>
      </c>
      <c r="E199" s="63">
        <v>0.41641203353334449</v>
      </c>
      <c r="F199" s="63">
        <v>0.38237984856351559</v>
      </c>
      <c r="G199" s="63">
        <v>0.63514820255836268</v>
      </c>
      <c r="H199" s="63">
        <v>0.71202240207954559</v>
      </c>
      <c r="I199" s="63">
        <v>0.72327549742346608</v>
      </c>
      <c r="J199" s="63">
        <f t="shared" si="38"/>
        <v>1.5804411927285544E-2</v>
      </c>
      <c r="K199" s="46">
        <f>(I199-H199)*100</f>
        <v>1.1253095343920494</v>
      </c>
      <c r="L199" s="63"/>
    </row>
    <row r="200" spans="2:12" x14ac:dyDescent="0.25">
      <c r="B200" s="280"/>
      <c r="C200" s="289"/>
      <c r="D200" s="19" t="s">
        <v>48</v>
      </c>
      <c r="E200" s="63">
        <v>0.42174668708366447</v>
      </c>
      <c r="F200" s="63">
        <v>0.40408330264719122</v>
      </c>
      <c r="G200" s="63">
        <v>0.53778304538949095</v>
      </c>
      <c r="H200" s="63">
        <v>0.55454348826086564</v>
      </c>
      <c r="I200" s="63">
        <v>0.59082327086406716</v>
      </c>
      <c r="J200" s="63">
        <f t="shared" si="38"/>
        <v>6.5422790766113792E-2</v>
      </c>
      <c r="K200" s="46">
        <f t="shared" ref="K200:K207" si="51">(I200-H200)*100</f>
        <v>3.6279782603201527</v>
      </c>
      <c r="L200" s="63"/>
    </row>
    <row r="201" spans="2:12" x14ac:dyDescent="0.25">
      <c r="B201" s="280"/>
      <c r="C201" s="289"/>
      <c r="D201" s="19" t="s">
        <v>49</v>
      </c>
      <c r="E201" s="63">
        <v>0.31148476369141237</v>
      </c>
      <c r="F201" s="63">
        <v>0.28621210694206145</v>
      </c>
      <c r="G201" s="63">
        <v>0.60938004840462912</v>
      </c>
      <c r="H201" s="63">
        <v>0.6452598187198163</v>
      </c>
      <c r="I201" s="63">
        <v>0.84038066713662607</v>
      </c>
      <c r="J201" s="63">
        <f t="shared" si="38"/>
        <v>0.30239113416968366</v>
      </c>
      <c r="K201" s="46">
        <f t="shared" si="51"/>
        <v>19.512084841680977</v>
      </c>
      <c r="L201" s="63"/>
    </row>
    <row r="202" spans="2:12" x14ac:dyDescent="0.25">
      <c r="B202" s="280"/>
      <c r="C202" s="289"/>
      <c r="D202" s="19" t="s">
        <v>50</v>
      </c>
      <c r="E202" s="63">
        <v>0.48948502261743165</v>
      </c>
      <c r="F202" s="63">
        <v>0.48615455783025679</v>
      </c>
      <c r="G202" s="63">
        <v>0.6493275173640638</v>
      </c>
      <c r="H202" s="63">
        <v>0.73071425433679682</v>
      </c>
      <c r="I202" s="63">
        <v>0.78531451498170857</v>
      </c>
      <c r="J202" s="63">
        <f t="shared" si="38"/>
        <v>7.4721767532053285E-2</v>
      </c>
      <c r="K202" s="46">
        <f t="shared" si="51"/>
        <v>5.4600260644911742</v>
      </c>
      <c r="L202" s="63"/>
    </row>
    <row r="203" spans="2:12" x14ac:dyDescent="0.25">
      <c r="B203" s="280"/>
      <c r="C203" s="289"/>
      <c r="D203" s="19" t="s">
        <v>51</v>
      </c>
      <c r="E203" s="63">
        <v>0.5147906295498732</v>
      </c>
      <c r="F203" s="63">
        <v>0.42945341263098274</v>
      </c>
      <c r="G203" s="63">
        <v>0.57741590694750078</v>
      </c>
      <c r="H203" s="63">
        <v>0.61259601883208059</v>
      </c>
      <c r="I203" s="63">
        <v>0.6183064169082243</v>
      </c>
      <c r="J203" s="63">
        <f t="shared" si="38"/>
        <v>9.3216375892071213E-3</v>
      </c>
      <c r="K203" s="46">
        <f t="shared" si="51"/>
        <v>0.57103980761437079</v>
      </c>
      <c r="L203" s="63"/>
    </row>
    <row r="204" spans="2:12" x14ac:dyDescent="0.25">
      <c r="B204" s="280"/>
      <c r="C204" s="289"/>
      <c r="D204" s="19" t="s">
        <v>52</v>
      </c>
      <c r="E204" s="63">
        <v>0.60407891607923314</v>
      </c>
      <c r="F204" s="63">
        <v>0.70336128458075009</v>
      </c>
      <c r="G204" s="63">
        <v>0.8015089072176752</v>
      </c>
      <c r="H204" s="63">
        <v>0.82779844332469787</v>
      </c>
      <c r="I204" s="63">
        <v>0.82775664662909765</v>
      </c>
      <c r="J204" s="63">
        <f t="shared" si="38"/>
        <v>-5.0491391880846948E-5</v>
      </c>
      <c r="K204" s="46">
        <f t="shared" si="51"/>
        <v>-4.1796695600226919E-3</v>
      </c>
      <c r="L204" s="63"/>
    </row>
    <row r="205" spans="2:12" x14ac:dyDescent="0.25">
      <c r="B205" s="280"/>
      <c r="C205" s="289"/>
      <c r="D205" s="19" t="s">
        <v>53</v>
      </c>
      <c r="E205" s="63">
        <v>0.43917828766012645</v>
      </c>
      <c r="F205" s="63">
        <v>0.43287194104141685</v>
      </c>
      <c r="G205" s="63">
        <v>0.55540181632567553</v>
      </c>
      <c r="H205" s="63">
        <v>0.56942335787332776</v>
      </c>
      <c r="I205" s="63">
        <v>0.58812285219043858</v>
      </c>
      <c r="J205" s="63">
        <f t="shared" si="38"/>
        <v>3.283935240547442E-2</v>
      </c>
      <c r="K205" s="46">
        <f t="shared" si="51"/>
        <v>1.8699494317110821</v>
      </c>
      <c r="L205" s="63"/>
    </row>
    <row r="206" spans="2:12" x14ac:dyDescent="0.25">
      <c r="B206" s="280"/>
      <c r="C206" s="289"/>
      <c r="D206" s="19" t="s">
        <v>54</v>
      </c>
      <c r="E206" s="63">
        <v>0.49125694136118242</v>
      </c>
      <c r="F206" s="63">
        <v>0.48201408869433904</v>
      </c>
      <c r="G206" s="63">
        <v>0.74892677369097149</v>
      </c>
      <c r="H206" s="63">
        <v>0.81331329152256404</v>
      </c>
      <c r="I206" s="63">
        <v>0.84524916570756325</v>
      </c>
      <c r="J206" s="63">
        <f t="shared" si="38"/>
        <v>3.9266386665357089E-2</v>
      </c>
      <c r="K206" s="46">
        <f t="shared" si="51"/>
        <v>3.1935874184999213</v>
      </c>
      <c r="L206" s="22"/>
    </row>
    <row r="207" spans="2:12" x14ac:dyDescent="0.25">
      <c r="B207" s="280"/>
      <c r="C207" s="290"/>
      <c r="D207" s="23" t="s">
        <v>55</v>
      </c>
      <c r="E207" s="63">
        <v>0.36139382757206262</v>
      </c>
      <c r="F207" s="63">
        <v>0.30640431884692987</v>
      </c>
      <c r="G207" s="63">
        <v>0.53127749995092155</v>
      </c>
      <c r="H207" s="63">
        <v>0.69652045193105105</v>
      </c>
      <c r="I207" s="63">
        <v>0.64923634412435949</v>
      </c>
      <c r="J207" s="63">
        <f t="shared" si="38"/>
        <v>-6.788617286915255E-2</v>
      </c>
      <c r="K207" s="46">
        <f t="shared" si="51"/>
        <v>-4.7284107806691562</v>
      </c>
      <c r="L207" s="47"/>
    </row>
    <row r="208" spans="2:12" x14ac:dyDescent="0.25">
      <c r="B208" s="280"/>
      <c r="C208" s="291" t="s">
        <v>59</v>
      </c>
      <c r="D208" s="67" t="s">
        <v>45</v>
      </c>
      <c r="E208" s="68">
        <v>66601</v>
      </c>
      <c r="F208" s="68">
        <v>82456</v>
      </c>
      <c r="G208" s="68">
        <v>123696</v>
      </c>
      <c r="H208" s="68">
        <v>125536</v>
      </c>
      <c r="I208" s="68">
        <v>127400</v>
      </c>
      <c r="J208" s="69">
        <f t="shared" si="38"/>
        <v>1.4848330359418904E-2</v>
      </c>
      <c r="K208" s="68">
        <f t="shared" ref="K208:K209" si="52">I208-H208</f>
        <v>1864</v>
      </c>
      <c r="L208" s="69">
        <f t="shared" ref="L208:L218" si="53">I208/$I$208</f>
        <v>1</v>
      </c>
    </row>
    <row r="209" spans="2:12" x14ac:dyDescent="0.25">
      <c r="B209" s="280"/>
      <c r="C209" s="286"/>
      <c r="D209" s="26" t="s">
        <v>46</v>
      </c>
      <c r="E209" s="27">
        <v>23742</v>
      </c>
      <c r="F209" s="27">
        <v>29697</v>
      </c>
      <c r="G209" s="27">
        <v>44233</v>
      </c>
      <c r="H209" s="27">
        <v>45902</v>
      </c>
      <c r="I209" s="27">
        <v>46521</v>
      </c>
      <c r="J209" s="36">
        <f t="shared" si="38"/>
        <v>1.3485251187312031E-2</v>
      </c>
      <c r="K209" s="27">
        <f t="shared" si="52"/>
        <v>619</v>
      </c>
      <c r="L209" s="38">
        <f t="shared" si="53"/>
        <v>0.3651569858712716</v>
      </c>
    </row>
    <row r="210" spans="2:12" x14ac:dyDescent="0.25">
      <c r="B210" s="280"/>
      <c r="C210" s="286"/>
      <c r="D210" s="4" t="s">
        <v>47</v>
      </c>
      <c r="E210" s="29">
        <v>20336</v>
      </c>
      <c r="F210" s="29">
        <v>24064</v>
      </c>
      <c r="G210" s="29">
        <v>38225</v>
      </c>
      <c r="H210" s="29">
        <v>37475</v>
      </c>
      <c r="I210" s="29">
        <v>37833</v>
      </c>
      <c r="J210" s="76">
        <f t="shared" si="38"/>
        <v>9.55303535690466E-3</v>
      </c>
      <c r="K210" s="29">
        <f>I210-H210</f>
        <v>358</v>
      </c>
      <c r="L210" s="77">
        <f t="shared" si="53"/>
        <v>0.29696232339089484</v>
      </c>
    </row>
    <row r="211" spans="2:12" x14ac:dyDescent="0.25">
      <c r="B211" s="280"/>
      <c r="C211" s="286"/>
      <c r="D211" s="4" t="s">
        <v>48</v>
      </c>
      <c r="E211" s="29">
        <v>437</v>
      </c>
      <c r="F211" s="29">
        <v>669</v>
      </c>
      <c r="G211" s="29">
        <v>857</v>
      </c>
      <c r="H211" s="29">
        <v>900</v>
      </c>
      <c r="I211" s="29">
        <v>900</v>
      </c>
      <c r="J211" s="76">
        <f t="shared" si="38"/>
        <v>0</v>
      </c>
      <c r="K211" s="29">
        <f t="shared" ref="K211:K218" si="54">I211-H211</f>
        <v>0</v>
      </c>
      <c r="L211" s="77">
        <f t="shared" si="53"/>
        <v>7.0643642072213504E-3</v>
      </c>
    </row>
    <row r="212" spans="2:12" x14ac:dyDescent="0.25">
      <c r="B212" s="280"/>
      <c r="C212" s="286"/>
      <c r="D212" s="4" t="s">
        <v>49</v>
      </c>
      <c r="E212" s="29">
        <v>2900</v>
      </c>
      <c r="F212" s="29">
        <v>4012</v>
      </c>
      <c r="G212" s="29">
        <v>4562</v>
      </c>
      <c r="H212" s="29">
        <v>4395</v>
      </c>
      <c r="I212" s="29">
        <v>4427</v>
      </c>
      <c r="J212" s="76">
        <f t="shared" si="38"/>
        <v>7.2810011376565065E-3</v>
      </c>
      <c r="K212" s="29">
        <f t="shared" si="54"/>
        <v>32</v>
      </c>
      <c r="L212" s="77">
        <f t="shared" si="53"/>
        <v>3.4748822605965464E-2</v>
      </c>
    </row>
    <row r="213" spans="2:12" x14ac:dyDescent="0.25">
      <c r="B213" s="280"/>
      <c r="C213" s="286"/>
      <c r="D213" s="4" t="s">
        <v>50</v>
      </c>
      <c r="E213" s="29">
        <v>9244</v>
      </c>
      <c r="F213" s="29">
        <v>11050</v>
      </c>
      <c r="G213" s="29">
        <v>18364</v>
      </c>
      <c r="H213" s="29">
        <v>19209</v>
      </c>
      <c r="I213" s="29">
        <v>20011</v>
      </c>
      <c r="J213" s="76">
        <f t="shared" si="38"/>
        <v>4.175126242906968E-2</v>
      </c>
      <c r="K213" s="29">
        <f t="shared" si="54"/>
        <v>802</v>
      </c>
      <c r="L213" s="77">
        <f t="shared" si="53"/>
        <v>0.15707221350078493</v>
      </c>
    </row>
    <row r="214" spans="2:12" x14ac:dyDescent="0.25">
      <c r="B214" s="280"/>
      <c r="C214" s="286"/>
      <c r="D214" s="4" t="s">
        <v>51</v>
      </c>
      <c r="E214" s="29">
        <v>339</v>
      </c>
      <c r="F214" s="29">
        <v>532</v>
      </c>
      <c r="G214" s="29">
        <v>654</v>
      </c>
      <c r="H214" s="29">
        <v>663</v>
      </c>
      <c r="I214" s="29">
        <v>673</v>
      </c>
      <c r="J214" s="76">
        <f t="shared" si="38"/>
        <v>1.5082956259426794E-2</v>
      </c>
      <c r="K214" s="29">
        <f t="shared" si="54"/>
        <v>10</v>
      </c>
      <c r="L214" s="77">
        <f t="shared" si="53"/>
        <v>5.2825745682888543E-3</v>
      </c>
    </row>
    <row r="215" spans="2:12" x14ac:dyDescent="0.25">
      <c r="B215" s="280"/>
      <c r="C215" s="286"/>
      <c r="D215" s="4" t="s">
        <v>52</v>
      </c>
      <c r="E215" s="29">
        <v>2132</v>
      </c>
      <c r="F215" s="29">
        <v>2908</v>
      </c>
      <c r="G215" s="29">
        <v>4497</v>
      </c>
      <c r="H215" s="29">
        <v>4790</v>
      </c>
      <c r="I215" s="29">
        <v>4797</v>
      </c>
      <c r="J215" s="76">
        <f t="shared" si="38"/>
        <v>1.4613778705636626E-3</v>
      </c>
      <c r="K215" s="29">
        <f t="shared" si="54"/>
        <v>7</v>
      </c>
      <c r="L215" s="77">
        <f t="shared" si="53"/>
        <v>3.7653061224489796E-2</v>
      </c>
    </row>
    <row r="216" spans="2:12" x14ac:dyDescent="0.25">
      <c r="B216" s="280"/>
      <c r="C216" s="286"/>
      <c r="D216" s="4" t="s">
        <v>53</v>
      </c>
      <c r="E216" s="29">
        <v>1526</v>
      </c>
      <c r="F216" s="29">
        <v>2270</v>
      </c>
      <c r="G216" s="29">
        <v>2680</v>
      </c>
      <c r="H216" s="29">
        <v>2774</v>
      </c>
      <c r="I216" s="29">
        <v>2714</v>
      </c>
      <c r="J216" s="76">
        <f t="shared" si="38"/>
        <v>-2.1629416005767843E-2</v>
      </c>
      <c r="K216" s="29">
        <f t="shared" si="54"/>
        <v>-60</v>
      </c>
      <c r="L216" s="77">
        <f t="shared" si="53"/>
        <v>2.1302982731554159E-2</v>
      </c>
    </row>
    <row r="217" spans="2:12" x14ac:dyDescent="0.25">
      <c r="B217" s="280"/>
      <c r="C217" s="286"/>
      <c r="D217" s="4" t="s">
        <v>54</v>
      </c>
      <c r="E217" s="29">
        <v>3786</v>
      </c>
      <c r="F217" s="29">
        <v>4393</v>
      </c>
      <c r="G217" s="29">
        <v>6413</v>
      </c>
      <c r="H217" s="29">
        <v>6356</v>
      </c>
      <c r="I217" s="29">
        <v>6429</v>
      </c>
      <c r="J217" s="40">
        <f t="shared" si="38"/>
        <v>1.1485210824417891E-2</v>
      </c>
      <c r="K217" s="29">
        <f t="shared" si="54"/>
        <v>73</v>
      </c>
      <c r="L217" s="42">
        <f t="shared" si="53"/>
        <v>5.0463108320251179E-2</v>
      </c>
    </row>
    <row r="218" spans="2:12" x14ac:dyDescent="0.25">
      <c r="B218" s="281"/>
      <c r="C218" s="287"/>
      <c r="D218" s="32" t="s">
        <v>55</v>
      </c>
      <c r="E218" s="73">
        <v>2158</v>
      </c>
      <c r="F218" s="73">
        <v>2862</v>
      </c>
      <c r="G218" s="73">
        <v>3212</v>
      </c>
      <c r="H218" s="73">
        <v>3072</v>
      </c>
      <c r="I218" s="73">
        <v>3096</v>
      </c>
      <c r="J218" s="65">
        <f t="shared" si="38"/>
        <v>7.8125E-3</v>
      </c>
      <c r="K218" s="73">
        <f t="shared" si="54"/>
        <v>24</v>
      </c>
      <c r="L218" s="56">
        <f t="shared" si="53"/>
        <v>2.4301412872841443E-2</v>
      </c>
    </row>
    <row r="219" spans="2:12" x14ac:dyDescent="0.25">
      <c r="B219" s="294"/>
      <c r="C219" s="294"/>
      <c r="D219" s="294"/>
      <c r="E219" s="294"/>
      <c r="F219" s="294"/>
      <c r="G219" s="294"/>
      <c r="H219" s="294"/>
      <c r="I219" s="294"/>
      <c r="J219" s="294"/>
      <c r="K219" s="294"/>
      <c r="L219" s="48"/>
    </row>
    <row r="220" spans="2:12" x14ac:dyDescent="0.25">
      <c r="B220" s="296" t="s">
        <v>57</v>
      </c>
      <c r="C220" s="296"/>
      <c r="D220" s="296"/>
      <c r="E220" s="296"/>
      <c r="F220" s="296"/>
      <c r="G220" s="296"/>
      <c r="H220" s="296"/>
      <c r="I220" s="296"/>
      <c r="J220" s="296"/>
      <c r="K220" s="296"/>
    </row>
  </sheetData>
  <mergeCells count="30">
    <mergeCell ref="B219:K219"/>
    <mergeCell ref="B220:K220"/>
    <mergeCell ref="B146:K146"/>
    <mergeCell ref="B147:K147"/>
    <mergeCell ref="B150:K150"/>
    <mergeCell ref="B153:B218"/>
    <mergeCell ref="C153:C163"/>
    <mergeCell ref="C164:C174"/>
    <mergeCell ref="C175:C185"/>
    <mergeCell ref="C186:C196"/>
    <mergeCell ref="C197:C207"/>
    <mergeCell ref="C208:C218"/>
    <mergeCell ref="B73:K73"/>
    <mergeCell ref="B74:K74"/>
    <mergeCell ref="B77:K77"/>
    <mergeCell ref="B80:B145"/>
    <mergeCell ref="C80:C90"/>
    <mergeCell ref="C91:C101"/>
    <mergeCell ref="C102:C112"/>
    <mergeCell ref="C113:C123"/>
    <mergeCell ref="C124:C134"/>
    <mergeCell ref="C135:C145"/>
    <mergeCell ref="D1:L2"/>
    <mergeCell ref="B7:B72"/>
    <mergeCell ref="C7:C17"/>
    <mergeCell ref="C18:C28"/>
    <mergeCell ref="C29:C39"/>
    <mergeCell ref="C40:C50"/>
    <mergeCell ref="C51:C61"/>
    <mergeCell ref="C62:C7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7F3B4-E1CE-4E25-97B3-F882456D8ACD}">
  <sheetPr>
    <tabColor rgb="FF336600"/>
  </sheetPr>
  <dimension ref="A3:A23"/>
  <sheetViews>
    <sheetView showGridLines="0" workbookViewId="0"/>
  </sheetViews>
  <sheetFormatPr baseColWidth="10" defaultRowHeight="15" x14ac:dyDescent="0.25"/>
  <sheetData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F8B94-F5A9-4598-A4FD-014945C08528}">
  <sheetPr>
    <tabColor rgb="FF92D050"/>
  </sheetPr>
  <dimension ref="B1:W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10" width="10.7109375" customWidth="1"/>
    <col min="11" max="11" width="12" customWidth="1"/>
    <col min="12" max="12" width="10.7109375" customWidth="1"/>
    <col min="13" max="18" width="12.28515625" customWidth="1"/>
    <col min="19" max="19" width="10.7109375" customWidth="1"/>
    <col min="20" max="20" width="13" customWidth="1"/>
    <col min="21" max="21" width="10.7109375" customWidth="1"/>
    <col min="24" max="24" width="14.42578125" customWidth="1"/>
    <col min="25" max="26" width="7.85546875" customWidth="1"/>
    <col min="27" max="27" width="8.140625" customWidth="1"/>
    <col min="28" max="28" width="9" customWidth="1"/>
    <col min="29" max="30" width="9.42578125" customWidth="1"/>
  </cols>
  <sheetData>
    <row r="1" spans="2:23" ht="42.75" customHeight="1" x14ac:dyDescent="0.25"/>
    <row r="3" spans="2:23" ht="30.75" customHeight="1" thickBot="1" x14ac:dyDescent="0.3">
      <c r="B3" s="84" t="str">
        <f>CONCATENATE("Plazas alojativas en funcionamiento Tenerife y municipios")</f>
        <v>Plazas alojativas en funcionamiento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</row>
    <row r="4" spans="2:23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  <c r="W4" s="86"/>
    </row>
    <row r="5" spans="2:23" ht="15.75" thickBot="1" x14ac:dyDescent="0.3">
      <c r="B5" s="87"/>
      <c r="C5" s="301" t="s">
        <v>60</v>
      </c>
      <c r="D5" s="301"/>
      <c r="E5" s="301"/>
      <c r="F5" s="301"/>
      <c r="G5" s="301"/>
      <c r="H5" s="301"/>
      <c r="I5" s="88"/>
      <c r="J5" s="88"/>
      <c r="K5" s="88"/>
      <c r="L5" s="88"/>
      <c r="M5" s="89"/>
      <c r="N5" s="302" t="s">
        <v>61</v>
      </c>
      <c r="O5" s="302"/>
      <c r="P5" s="302"/>
      <c r="Q5" s="302"/>
      <c r="R5" s="302"/>
      <c r="S5" s="88"/>
      <c r="T5" s="88"/>
      <c r="U5" s="88"/>
      <c r="V5" s="88"/>
      <c r="W5" s="89"/>
    </row>
    <row r="6" spans="2:23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CONCATENATE("var. ",RIGHT(H6,2),"/",RIGHT(D6,2))</f>
        <v>var. 24/20</v>
      </c>
      <c r="K6" s="91" t="str">
        <f>CONCATENATE("dif. ",RIGHT(H6,2),"/",RIGHT(G6,2))</f>
        <v>dif. 24/23</v>
      </c>
      <c r="L6" s="91" t="str">
        <f>CONCATENATE("dif. ",RIGHT(H6,2),"/",RIGHT(D6,2))</f>
        <v>dif. 24/20</v>
      </c>
      <c r="M6" s="14" t="str">
        <f>CONCATENATE("cuota/ total isla ",RIGHT(H6,2))</f>
        <v>cuota/ total isla 24</v>
      </c>
      <c r="N6" s="92" t="s">
        <v>224</v>
      </c>
      <c r="O6" s="92" t="s">
        <v>225</v>
      </c>
      <c r="P6" s="92" t="s">
        <v>226</v>
      </c>
      <c r="Q6" s="92" t="s">
        <v>227</v>
      </c>
      <c r="R6" s="92" t="s">
        <v>228</v>
      </c>
      <c r="S6" s="91" t="str">
        <f>CONCATENATE("var. ",RIGHT(R6,2),"/",RIGHT(Q6,2))</f>
        <v>var. 25/24</v>
      </c>
      <c r="T6" s="91" t="str">
        <f>CONCATENATE("var. ",RIGHT(R6,2),"/",RIGHT(N6,2))</f>
        <v>var. 25/21</v>
      </c>
      <c r="U6" s="91" t="str">
        <f>CONCATENATE("dif. ",RIGHT(R6,2),"/",RIGHT(Q6,2))</f>
        <v>dif. 25/24</v>
      </c>
      <c r="V6" s="91" t="str">
        <f>CONCATENATE("dif. ",RIGHT(R6,2),"/",RIGHT(N6,2))</f>
        <v>dif. 25/21</v>
      </c>
      <c r="W6" s="89" t="str">
        <f>CONCATENATE("cuota/ total isla ",RIGHT(R6,2))</f>
        <v>cuota/ total isla 25</v>
      </c>
    </row>
    <row r="7" spans="2:23" x14ac:dyDescent="0.25">
      <c r="B7" s="93" t="s">
        <v>45</v>
      </c>
      <c r="C7" s="94">
        <v>132144</v>
      </c>
      <c r="D7" s="94">
        <v>66601</v>
      </c>
      <c r="E7" s="94">
        <v>82456</v>
      </c>
      <c r="F7" s="94">
        <v>123696</v>
      </c>
      <c r="G7" s="94">
        <v>125536</v>
      </c>
      <c r="H7" s="94">
        <v>127400</v>
      </c>
      <c r="I7" s="95">
        <f t="shared" ref="I7:I52" si="0">IFERROR(H7/G7-1,"-")</f>
        <v>1.4848330359418904E-2</v>
      </c>
      <c r="J7" s="95">
        <f t="shared" ref="J7:J52" si="1">IFERROR(H7/D7-1,"-")</f>
        <v>0.91288419092806405</v>
      </c>
      <c r="K7" s="94">
        <f t="shared" ref="K7:K52" si="2">IFERROR(H7-G7,"-")</f>
        <v>1864</v>
      </c>
      <c r="L7" s="94">
        <f t="shared" ref="L7:L52" si="3">IFERROR(H7-D7,"-")</f>
        <v>60799</v>
      </c>
      <c r="M7" s="95">
        <f>H7/H7</f>
        <v>1</v>
      </c>
      <c r="N7" s="94">
        <v>75767</v>
      </c>
      <c r="O7" s="94">
        <v>124698</v>
      </c>
      <c r="P7" s="94">
        <v>124223</v>
      </c>
      <c r="Q7" s="94">
        <v>125992</v>
      </c>
      <c r="R7" s="94">
        <v>123702</v>
      </c>
      <c r="S7" s="95">
        <f t="shared" ref="S7:S52" si="4">IFERROR(R7/Q7-1,"-")</f>
        <v>-1.8175757190932784E-2</v>
      </c>
      <c r="T7" s="95">
        <f t="shared" ref="T7:T52" si="5">IFERROR(R7/N7-1,"-")</f>
        <v>0.63266329668589227</v>
      </c>
      <c r="U7" s="94">
        <f t="shared" ref="U7:U52" si="6">IFERROR(R7-Q7,"-")</f>
        <v>-2290</v>
      </c>
      <c r="V7" s="94">
        <f t="shared" ref="V7:V52" si="7">IFERROR(R7-N7,"-")</f>
        <v>47935</v>
      </c>
      <c r="W7" s="95">
        <f>R7/R7</f>
        <v>1</v>
      </c>
    </row>
    <row r="8" spans="2:23" x14ac:dyDescent="0.25">
      <c r="B8" s="96" t="s">
        <v>62</v>
      </c>
      <c r="C8" s="97">
        <v>88579</v>
      </c>
      <c r="D8" s="97">
        <v>44487</v>
      </c>
      <c r="E8" s="97">
        <v>56791</v>
      </c>
      <c r="F8" s="97">
        <v>89503</v>
      </c>
      <c r="G8" s="97">
        <v>89318</v>
      </c>
      <c r="H8" s="97">
        <v>91567</v>
      </c>
      <c r="I8" s="98">
        <f t="shared" si="0"/>
        <v>2.5179695022280013E-2</v>
      </c>
      <c r="J8" s="98">
        <f t="shared" si="1"/>
        <v>1.0582866904938522</v>
      </c>
      <c r="K8" s="97">
        <f t="shared" si="2"/>
        <v>2249</v>
      </c>
      <c r="L8" s="97">
        <f t="shared" si="3"/>
        <v>47080</v>
      </c>
      <c r="M8" s="98">
        <f>H8/H7</f>
        <v>0.71873626373626376</v>
      </c>
      <c r="N8" s="97">
        <v>50376</v>
      </c>
      <c r="O8" s="97">
        <v>90035</v>
      </c>
      <c r="P8" s="97">
        <v>88140</v>
      </c>
      <c r="Q8" s="97">
        <v>90425</v>
      </c>
      <c r="R8" s="97">
        <v>87684</v>
      </c>
      <c r="S8" s="98">
        <f t="shared" si="4"/>
        <v>-3.0312413602432975E-2</v>
      </c>
      <c r="T8" s="98">
        <f t="shared" si="5"/>
        <v>0.74059075750357306</v>
      </c>
      <c r="U8" s="97">
        <f t="shared" si="6"/>
        <v>-2741</v>
      </c>
      <c r="V8" s="97">
        <f t="shared" si="7"/>
        <v>37308</v>
      </c>
      <c r="W8" s="98">
        <f>R8/R7</f>
        <v>0.70883251685502258</v>
      </c>
    </row>
    <row r="9" spans="2:23" x14ac:dyDescent="0.25">
      <c r="B9" s="99" t="s">
        <v>63</v>
      </c>
      <c r="C9" s="53">
        <v>69015</v>
      </c>
      <c r="D9" s="53">
        <v>34865</v>
      </c>
      <c r="E9" s="53">
        <v>45244</v>
      </c>
      <c r="F9" s="53">
        <v>71471</v>
      </c>
      <c r="G9" s="53">
        <v>72829</v>
      </c>
      <c r="H9" s="53">
        <v>74916</v>
      </c>
      <c r="I9" s="100">
        <f t="shared" si="0"/>
        <v>2.8656167186148274E-2</v>
      </c>
      <c r="J9" s="100">
        <f t="shared" si="1"/>
        <v>1.1487451599024809</v>
      </c>
      <c r="K9" s="53">
        <f t="shared" si="2"/>
        <v>2087</v>
      </c>
      <c r="L9" s="53">
        <f t="shared" si="3"/>
        <v>40051</v>
      </c>
      <c r="M9" s="100">
        <f>H9/H7</f>
        <v>0.58803767660910522</v>
      </c>
      <c r="N9" s="53">
        <v>41725</v>
      </c>
      <c r="O9" s="53">
        <v>71922</v>
      </c>
      <c r="P9" s="53">
        <v>72243</v>
      </c>
      <c r="Q9" s="53">
        <v>74240</v>
      </c>
      <c r="R9" s="53">
        <v>72139</v>
      </c>
      <c r="S9" s="100">
        <f t="shared" si="4"/>
        <v>-2.8300107758620685E-2</v>
      </c>
      <c r="T9" s="100">
        <f t="shared" si="5"/>
        <v>0.72891551827441581</v>
      </c>
      <c r="U9" s="53">
        <f t="shared" si="6"/>
        <v>-2101</v>
      </c>
      <c r="V9" s="53">
        <f t="shared" si="7"/>
        <v>30414</v>
      </c>
      <c r="W9" s="100">
        <f>R9/R7</f>
        <v>0.58316761248807614</v>
      </c>
    </row>
    <row r="10" spans="2:23" x14ac:dyDescent="0.25">
      <c r="B10" s="99" t="s">
        <v>64</v>
      </c>
      <c r="C10" s="53">
        <v>19564</v>
      </c>
      <c r="D10" s="53">
        <v>9622</v>
      </c>
      <c r="E10" s="53">
        <v>11547</v>
      </c>
      <c r="F10" s="53">
        <v>18032</v>
      </c>
      <c r="G10" s="53">
        <v>16489</v>
      </c>
      <c r="H10" s="53">
        <v>16651</v>
      </c>
      <c r="I10" s="100">
        <f t="shared" si="0"/>
        <v>9.8247316392747752E-3</v>
      </c>
      <c r="J10" s="100">
        <f t="shared" si="1"/>
        <v>0.73051340677613807</v>
      </c>
      <c r="K10" s="53">
        <f t="shared" si="2"/>
        <v>162</v>
      </c>
      <c r="L10" s="53">
        <f t="shared" si="3"/>
        <v>7029</v>
      </c>
      <c r="M10" s="100">
        <f>H10/H7</f>
        <v>0.13069858712715857</v>
      </c>
      <c r="N10" s="53">
        <v>8651</v>
      </c>
      <c r="O10" s="53">
        <v>18113</v>
      </c>
      <c r="P10" s="53">
        <v>15897</v>
      </c>
      <c r="Q10" s="53">
        <v>16185</v>
      </c>
      <c r="R10" s="53">
        <v>15545</v>
      </c>
      <c r="S10" s="100">
        <f t="shared" si="4"/>
        <v>-3.9542786530738283E-2</v>
      </c>
      <c r="T10" s="100">
        <f t="shared" si="5"/>
        <v>0.79690209224367115</v>
      </c>
      <c r="U10" s="53">
        <f t="shared" si="6"/>
        <v>-640</v>
      </c>
      <c r="V10" s="53">
        <f t="shared" si="7"/>
        <v>6894</v>
      </c>
      <c r="W10" s="100">
        <f>R10/R7</f>
        <v>0.12566490436694638</v>
      </c>
    </row>
    <row r="11" spans="2:23" x14ac:dyDescent="0.25">
      <c r="B11" s="96" t="s">
        <v>65</v>
      </c>
      <c r="C11" s="97">
        <v>43565</v>
      </c>
      <c r="D11" s="97">
        <v>22114</v>
      </c>
      <c r="E11" s="97">
        <v>25665</v>
      </c>
      <c r="F11" s="97">
        <v>34193</v>
      </c>
      <c r="G11" s="97">
        <v>36218</v>
      </c>
      <c r="H11" s="97">
        <v>35833</v>
      </c>
      <c r="I11" s="98">
        <f t="shared" si="0"/>
        <v>-1.0630073444143795E-2</v>
      </c>
      <c r="J11" s="98">
        <f t="shared" si="1"/>
        <v>0.62037623225106264</v>
      </c>
      <c r="K11" s="97">
        <f t="shared" si="2"/>
        <v>-385</v>
      </c>
      <c r="L11" s="97">
        <f t="shared" si="3"/>
        <v>13719</v>
      </c>
      <c r="M11" s="98">
        <f>H11/H7</f>
        <v>0.28126373626373624</v>
      </c>
      <c r="N11" s="97">
        <v>25391</v>
      </c>
      <c r="O11" s="97">
        <v>34663</v>
      </c>
      <c r="P11" s="97">
        <v>36083</v>
      </c>
      <c r="Q11" s="97">
        <v>35567</v>
      </c>
      <c r="R11" s="97">
        <v>36018</v>
      </c>
      <c r="S11" s="98">
        <f t="shared" si="4"/>
        <v>1.2680293530519915E-2</v>
      </c>
      <c r="T11" s="98">
        <f t="shared" si="5"/>
        <v>0.41853412626521203</v>
      </c>
      <c r="U11" s="97">
        <f t="shared" si="6"/>
        <v>451</v>
      </c>
      <c r="V11" s="97">
        <f t="shared" si="7"/>
        <v>10627</v>
      </c>
      <c r="W11" s="98">
        <f>R11/R7</f>
        <v>0.29116748314497742</v>
      </c>
    </row>
    <row r="12" spans="2:23" x14ac:dyDescent="0.25">
      <c r="B12" s="93" t="s">
        <v>46</v>
      </c>
      <c r="C12" s="101">
        <v>46648</v>
      </c>
      <c r="D12" s="101">
        <v>23742</v>
      </c>
      <c r="E12" s="101">
        <v>29697</v>
      </c>
      <c r="F12" s="101">
        <v>44233</v>
      </c>
      <c r="G12" s="101">
        <v>45902</v>
      </c>
      <c r="H12" s="101">
        <v>46521</v>
      </c>
      <c r="I12" s="102">
        <f t="shared" si="0"/>
        <v>1.3485251187312031E-2</v>
      </c>
      <c r="J12" s="102">
        <f t="shared" si="1"/>
        <v>0.95943896891584535</v>
      </c>
      <c r="K12" s="101">
        <f t="shared" si="2"/>
        <v>619</v>
      </c>
      <c r="L12" s="101">
        <f t="shared" si="3"/>
        <v>22779</v>
      </c>
      <c r="M12" s="95">
        <f>H12/H12</f>
        <v>1</v>
      </c>
      <c r="N12" s="101">
        <v>30111</v>
      </c>
      <c r="O12" s="101">
        <v>44921</v>
      </c>
      <c r="P12" s="101">
        <v>45920</v>
      </c>
      <c r="Q12" s="101">
        <v>46039</v>
      </c>
      <c r="R12" s="101">
        <v>43954</v>
      </c>
      <c r="S12" s="102">
        <f t="shared" si="4"/>
        <v>-4.5287690870783437E-2</v>
      </c>
      <c r="T12" s="102">
        <f t="shared" si="5"/>
        <v>0.45973232373551198</v>
      </c>
      <c r="U12" s="101">
        <f t="shared" si="6"/>
        <v>-2085</v>
      </c>
      <c r="V12" s="101">
        <f t="shared" si="7"/>
        <v>13843</v>
      </c>
      <c r="W12" s="95">
        <f>R12/R12</f>
        <v>1</v>
      </c>
    </row>
    <row r="13" spans="2:23" x14ac:dyDescent="0.25">
      <c r="B13" s="96" t="s">
        <v>62</v>
      </c>
      <c r="C13" s="97">
        <v>34050</v>
      </c>
      <c r="D13" s="97">
        <v>17566</v>
      </c>
      <c r="E13" s="97">
        <v>23340</v>
      </c>
      <c r="F13" s="97">
        <v>34827</v>
      </c>
      <c r="G13" s="97">
        <v>34946</v>
      </c>
      <c r="H13" s="97">
        <v>35191</v>
      </c>
      <c r="I13" s="98">
        <f t="shared" si="0"/>
        <v>7.0108166886053702E-3</v>
      </c>
      <c r="J13" s="98">
        <f t="shared" si="1"/>
        <v>1.003358761243311</v>
      </c>
      <c r="K13" s="97">
        <f t="shared" si="2"/>
        <v>245</v>
      </c>
      <c r="L13" s="97">
        <f t="shared" si="3"/>
        <v>17625</v>
      </c>
      <c r="M13" s="98">
        <f>H13/H12</f>
        <v>0.75645407450398749</v>
      </c>
      <c r="N13" s="97">
        <v>22844</v>
      </c>
      <c r="O13" s="97">
        <v>35166</v>
      </c>
      <c r="P13" s="97">
        <v>34910</v>
      </c>
      <c r="Q13" s="97">
        <v>34652</v>
      </c>
      <c r="R13" s="97">
        <v>32335</v>
      </c>
      <c r="S13" s="98">
        <f t="shared" si="4"/>
        <v>-6.6864827426988294E-2</v>
      </c>
      <c r="T13" s="98">
        <f t="shared" si="5"/>
        <v>0.41547014533356674</v>
      </c>
      <c r="U13" s="97">
        <f t="shared" si="6"/>
        <v>-2317</v>
      </c>
      <c r="V13" s="97">
        <f t="shared" si="7"/>
        <v>9491</v>
      </c>
      <c r="W13" s="98">
        <f>R13/R12</f>
        <v>0.73565545797879606</v>
      </c>
    </row>
    <row r="14" spans="2:23" x14ac:dyDescent="0.25">
      <c r="B14" s="99" t="s">
        <v>63</v>
      </c>
      <c r="C14" s="53">
        <v>27660</v>
      </c>
      <c r="D14" s="53">
        <v>14847</v>
      </c>
      <c r="E14" s="53">
        <v>20181</v>
      </c>
      <c r="F14" s="53">
        <v>29820</v>
      </c>
      <c r="G14" s="53">
        <v>30493</v>
      </c>
      <c r="H14" s="53">
        <v>31141</v>
      </c>
      <c r="I14" s="100">
        <f t="shared" si="0"/>
        <v>2.1250778867281106E-2</v>
      </c>
      <c r="J14" s="100">
        <f t="shared" si="1"/>
        <v>1.0974607664848119</v>
      </c>
      <c r="K14" s="53">
        <f t="shared" si="2"/>
        <v>648</v>
      </c>
      <c r="L14" s="53">
        <f t="shared" si="3"/>
        <v>16294</v>
      </c>
      <c r="M14" s="100">
        <f>H14/H12</f>
        <v>0.66939661658175875</v>
      </c>
      <c r="N14" s="53">
        <v>20914</v>
      </c>
      <c r="O14" s="53">
        <v>30154</v>
      </c>
      <c r="P14" s="53">
        <v>30585</v>
      </c>
      <c r="Q14" s="53">
        <v>30875</v>
      </c>
      <c r="R14" s="53">
        <v>28330</v>
      </c>
      <c r="S14" s="100">
        <f t="shared" si="4"/>
        <v>-8.2429149797570878E-2</v>
      </c>
      <c r="T14" s="100">
        <f t="shared" si="5"/>
        <v>0.35459500812852629</v>
      </c>
      <c r="U14" s="53">
        <f t="shared" si="6"/>
        <v>-2545</v>
      </c>
      <c r="V14" s="53">
        <f t="shared" si="7"/>
        <v>7416</v>
      </c>
      <c r="W14" s="100">
        <f>R14/R12</f>
        <v>0.64453747099240111</v>
      </c>
    </row>
    <row r="15" spans="2:23" x14ac:dyDescent="0.25">
      <c r="B15" s="99" t="s">
        <v>64</v>
      </c>
      <c r="C15" s="53">
        <v>6390</v>
      </c>
      <c r="D15" s="53">
        <v>2720</v>
      </c>
      <c r="E15" s="53">
        <v>3159</v>
      </c>
      <c r="F15" s="53">
        <v>5006</v>
      </c>
      <c r="G15" s="53">
        <v>4453</v>
      </c>
      <c r="H15" s="53">
        <v>4050</v>
      </c>
      <c r="I15" s="100">
        <f t="shared" si="0"/>
        <v>-9.0500785986975085E-2</v>
      </c>
      <c r="J15" s="100">
        <f t="shared" si="1"/>
        <v>0.48897058823529416</v>
      </c>
      <c r="K15" s="53">
        <f t="shared" si="2"/>
        <v>-403</v>
      </c>
      <c r="L15" s="53">
        <f t="shared" si="3"/>
        <v>1330</v>
      </c>
      <c r="M15" s="100">
        <f>H15/H12</f>
        <v>8.7057457922228673E-2</v>
      </c>
      <c r="N15" s="53">
        <v>1930</v>
      </c>
      <c r="O15" s="53">
        <v>5012</v>
      </c>
      <c r="P15" s="53">
        <v>4325</v>
      </c>
      <c r="Q15" s="53">
        <v>3777</v>
      </c>
      <c r="R15" s="53">
        <v>4005</v>
      </c>
      <c r="S15" s="100">
        <f t="shared" si="4"/>
        <v>6.0365369340746655E-2</v>
      </c>
      <c r="T15" s="100">
        <f t="shared" si="5"/>
        <v>1.0751295336787563</v>
      </c>
      <c r="U15" s="53">
        <f t="shared" si="6"/>
        <v>228</v>
      </c>
      <c r="V15" s="53">
        <f t="shared" si="7"/>
        <v>2075</v>
      </c>
      <c r="W15" s="100">
        <f>R15/R12</f>
        <v>9.1117986986394867E-2</v>
      </c>
    </row>
    <row r="16" spans="2:23" x14ac:dyDescent="0.25">
      <c r="B16" s="96" t="s">
        <v>65</v>
      </c>
      <c r="C16" s="97">
        <v>12598</v>
      </c>
      <c r="D16" s="97">
        <v>6176</v>
      </c>
      <c r="E16" s="97">
        <v>6357</v>
      </c>
      <c r="F16" s="97">
        <v>9406</v>
      </c>
      <c r="G16" s="97">
        <v>10956</v>
      </c>
      <c r="H16" s="97">
        <v>11330</v>
      </c>
      <c r="I16" s="98">
        <f t="shared" si="0"/>
        <v>3.4136546184738936E-2</v>
      </c>
      <c r="J16" s="98">
        <f t="shared" si="1"/>
        <v>0.83452072538860111</v>
      </c>
      <c r="K16" s="97">
        <f t="shared" si="2"/>
        <v>374</v>
      </c>
      <c r="L16" s="97">
        <f t="shared" si="3"/>
        <v>5154</v>
      </c>
      <c r="M16" s="98">
        <f>H16/H12</f>
        <v>0.24354592549601256</v>
      </c>
      <c r="N16" s="97">
        <v>7267</v>
      </c>
      <c r="O16" s="97">
        <v>9755</v>
      </c>
      <c r="P16" s="97">
        <v>11010</v>
      </c>
      <c r="Q16" s="97">
        <v>11387</v>
      </c>
      <c r="R16" s="97">
        <v>11619</v>
      </c>
      <c r="S16" s="98">
        <f t="shared" si="4"/>
        <v>2.0374110828137448E-2</v>
      </c>
      <c r="T16" s="98">
        <f t="shared" si="5"/>
        <v>0.59887161139397271</v>
      </c>
      <c r="U16" s="97">
        <f t="shared" si="6"/>
        <v>232</v>
      </c>
      <c r="V16" s="97">
        <f t="shared" si="7"/>
        <v>4352</v>
      </c>
      <c r="W16" s="98">
        <f>R16/R12</f>
        <v>0.264344542021204</v>
      </c>
    </row>
    <row r="17" spans="2:23" x14ac:dyDescent="0.25">
      <c r="B17" s="93" t="s">
        <v>51</v>
      </c>
      <c r="C17" s="101">
        <v>713</v>
      </c>
      <c r="D17" s="101">
        <v>339</v>
      </c>
      <c r="E17" s="101">
        <v>532</v>
      </c>
      <c r="F17" s="101">
        <v>654</v>
      </c>
      <c r="G17" s="101">
        <v>663</v>
      </c>
      <c r="H17" s="101">
        <v>673</v>
      </c>
      <c r="I17" s="102">
        <f t="shared" si="0"/>
        <v>1.5082956259426794E-2</v>
      </c>
      <c r="J17" s="102">
        <f t="shared" si="1"/>
        <v>0.98525073746312675</v>
      </c>
      <c r="K17" s="101">
        <f t="shared" si="2"/>
        <v>10</v>
      </c>
      <c r="L17" s="101">
        <f t="shared" si="3"/>
        <v>334</v>
      </c>
      <c r="M17" s="95">
        <f>H17/H17</f>
        <v>1</v>
      </c>
      <c r="N17" s="101">
        <v>465</v>
      </c>
      <c r="O17" s="101">
        <v>663</v>
      </c>
      <c r="P17" s="101">
        <v>663</v>
      </c>
      <c r="Q17" s="101">
        <v>673</v>
      </c>
      <c r="R17" s="101">
        <v>673</v>
      </c>
      <c r="S17" s="102">
        <f t="shared" si="4"/>
        <v>0</v>
      </c>
      <c r="T17" s="102">
        <f t="shared" si="5"/>
        <v>0.44731182795698921</v>
      </c>
      <c r="U17" s="101">
        <f t="shared" si="6"/>
        <v>0</v>
      </c>
      <c r="V17" s="101">
        <f t="shared" si="7"/>
        <v>208</v>
      </c>
      <c r="W17" s="95">
        <f>R17/R17</f>
        <v>1</v>
      </c>
    </row>
    <row r="18" spans="2:23" x14ac:dyDescent="0.25">
      <c r="B18" s="96" t="s">
        <v>62</v>
      </c>
      <c r="C18" s="97">
        <v>713</v>
      </c>
      <c r="D18" s="97">
        <v>339</v>
      </c>
      <c r="E18" s="97">
        <v>532</v>
      </c>
      <c r="F18" s="97">
        <v>654</v>
      </c>
      <c r="G18" s="97">
        <v>663</v>
      </c>
      <c r="H18" s="97">
        <v>673</v>
      </c>
      <c r="I18" s="98">
        <f t="shared" si="0"/>
        <v>1.5082956259426794E-2</v>
      </c>
      <c r="J18" s="98">
        <f t="shared" si="1"/>
        <v>0.98525073746312675</v>
      </c>
      <c r="K18" s="97">
        <f t="shared" si="2"/>
        <v>10</v>
      </c>
      <c r="L18" s="97">
        <f t="shared" si="3"/>
        <v>334</v>
      </c>
      <c r="M18" s="98">
        <f>H18/H17</f>
        <v>1</v>
      </c>
      <c r="N18" s="97">
        <v>465</v>
      </c>
      <c r="O18" s="97">
        <v>663</v>
      </c>
      <c r="P18" s="97">
        <v>663</v>
      </c>
      <c r="Q18" s="97">
        <v>673</v>
      </c>
      <c r="R18" s="97">
        <v>673</v>
      </c>
      <c r="S18" s="98">
        <f t="shared" si="4"/>
        <v>0</v>
      </c>
      <c r="T18" s="98">
        <f t="shared" si="5"/>
        <v>0.44731182795698921</v>
      </c>
      <c r="U18" s="97">
        <f t="shared" si="6"/>
        <v>0</v>
      </c>
      <c r="V18" s="97">
        <f t="shared" si="7"/>
        <v>208</v>
      </c>
      <c r="W18" s="98">
        <f>R18/R17</f>
        <v>1</v>
      </c>
    </row>
    <row r="19" spans="2:23" x14ac:dyDescent="0.25">
      <c r="B19" s="99" t="s">
        <v>63</v>
      </c>
      <c r="C19" s="53">
        <v>555</v>
      </c>
      <c r="D19" s="53">
        <v>0</v>
      </c>
      <c r="E19" s="53">
        <v>0</v>
      </c>
      <c r="F19" s="53">
        <v>600</v>
      </c>
      <c r="G19" s="53">
        <v>600</v>
      </c>
      <c r="H19" s="53">
        <v>600</v>
      </c>
      <c r="I19" s="100">
        <f t="shared" si="0"/>
        <v>0</v>
      </c>
      <c r="J19" s="100" t="str">
        <f t="shared" si="1"/>
        <v>-</v>
      </c>
      <c r="K19" s="53">
        <f t="shared" si="2"/>
        <v>0</v>
      </c>
      <c r="L19" s="53">
        <f t="shared" si="3"/>
        <v>600</v>
      </c>
      <c r="M19" s="100">
        <f>H19/H17</f>
        <v>0.89153046062407137</v>
      </c>
      <c r="N19" s="53">
        <v>0</v>
      </c>
      <c r="O19" s="53">
        <v>600</v>
      </c>
      <c r="P19" s="53">
        <v>600</v>
      </c>
      <c r="Q19" s="53">
        <v>600</v>
      </c>
      <c r="R19" s="53">
        <v>600</v>
      </c>
      <c r="S19" s="100">
        <f t="shared" si="4"/>
        <v>0</v>
      </c>
      <c r="T19" s="100" t="str">
        <f t="shared" si="5"/>
        <v>-</v>
      </c>
      <c r="U19" s="53">
        <f t="shared" si="6"/>
        <v>0</v>
      </c>
      <c r="V19" s="53">
        <f t="shared" si="7"/>
        <v>600</v>
      </c>
      <c r="W19" s="100">
        <f>R19/R17</f>
        <v>0.89153046062407137</v>
      </c>
    </row>
    <row r="20" spans="2:23" x14ac:dyDescent="0.25">
      <c r="B20" s="99" t="s">
        <v>64</v>
      </c>
      <c r="C20" s="53">
        <v>158</v>
      </c>
      <c r="D20" s="53">
        <v>0</v>
      </c>
      <c r="E20" s="53">
        <v>0</v>
      </c>
      <c r="F20" s="53">
        <v>54</v>
      </c>
      <c r="G20" s="53">
        <v>63</v>
      </c>
      <c r="H20" s="53">
        <v>73</v>
      </c>
      <c r="I20" s="100">
        <f t="shared" si="0"/>
        <v>0.15873015873015883</v>
      </c>
      <c r="J20" s="100" t="str">
        <f t="shared" si="1"/>
        <v>-</v>
      </c>
      <c r="K20" s="53">
        <f t="shared" si="2"/>
        <v>10</v>
      </c>
      <c r="L20" s="53">
        <f t="shared" si="3"/>
        <v>73</v>
      </c>
      <c r="M20" s="100">
        <f>H20/H17</f>
        <v>0.10846953937592868</v>
      </c>
      <c r="N20" s="53">
        <v>0</v>
      </c>
      <c r="O20" s="53">
        <v>63</v>
      </c>
      <c r="P20" s="53">
        <v>63</v>
      </c>
      <c r="Q20" s="53">
        <v>73</v>
      </c>
      <c r="R20" s="53">
        <v>73</v>
      </c>
      <c r="S20" s="100">
        <f t="shared" si="4"/>
        <v>0</v>
      </c>
      <c r="T20" s="100" t="str">
        <f t="shared" si="5"/>
        <v>-</v>
      </c>
      <c r="U20" s="53">
        <f t="shared" si="6"/>
        <v>0</v>
      </c>
      <c r="V20" s="53">
        <f t="shared" si="7"/>
        <v>73</v>
      </c>
      <c r="W20" s="100">
        <f>R20/R17</f>
        <v>0.10846953937592868</v>
      </c>
    </row>
    <row r="21" spans="2:23" x14ac:dyDescent="0.25">
      <c r="B21" s="96" t="s">
        <v>65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8" t="str">
        <f t="shared" si="0"/>
        <v>-</v>
      </c>
      <c r="J21" s="98" t="str">
        <f t="shared" si="1"/>
        <v>-</v>
      </c>
      <c r="K21" s="97">
        <f t="shared" si="2"/>
        <v>0</v>
      </c>
      <c r="L21" s="97">
        <f t="shared" si="3"/>
        <v>0</v>
      </c>
      <c r="M21" s="98">
        <f>H21/H17</f>
        <v>0</v>
      </c>
      <c r="N21" s="97" t="s">
        <v>229</v>
      </c>
      <c r="O21" s="97" t="s">
        <v>229</v>
      </c>
      <c r="P21" s="97" t="s">
        <v>229</v>
      </c>
      <c r="Q21" s="97" t="s">
        <v>229</v>
      </c>
      <c r="R21" s="97" t="s">
        <v>229</v>
      </c>
      <c r="S21" s="98" t="str">
        <f t="shared" si="4"/>
        <v>-</v>
      </c>
      <c r="T21" s="98" t="str">
        <f t="shared" si="5"/>
        <v>-</v>
      </c>
      <c r="U21" s="97" t="str">
        <f t="shared" si="6"/>
        <v>-</v>
      </c>
      <c r="V21" s="97" t="str">
        <f t="shared" si="7"/>
        <v>-</v>
      </c>
      <c r="W21" s="98" t="e">
        <f>R21/R17</f>
        <v>#VALUE!</v>
      </c>
    </row>
    <row r="22" spans="2:23" x14ac:dyDescent="0.25">
      <c r="B22" s="93" t="s">
        <v>48</v>
      </c>
      <c r="C22" s="101">
        <v>1127</v>
      </c>
      <c r="D22" s="101">
        <v>437</v>
      </c>
      <c r="E22" s="101">
        <v>669</v>
      </c>
      <c r="F22" s="101">
        <v>857</v>
      </c>
      <c r="G22" s="101">
        <v>900</v>
      </c>
      <c r="H22" s="101">
        <v>900</v>
      </c>
      <c r="I22" s="102">
        <f t="shared" si="0"/>
        <v>0</v>
      </c>
      <c r="J22" s="102">
        <f t="shared" si="1"/>
        <v>1.0594965675057209</v>
      </c>
      <c r="K22" s="101">
        <f t="shared" si="2"/>
        <v>0</v>
      </c>
      <c r="L22" s="101">
        <f t="shared" si="3"/>
        <v>463</v>
      </c>
      <c r="M22" s="102">
        <f>H22/H22</f>
        <v>1</v>
      </c>
      <c r="N22" s="101">
        <v>802</v>
      </c>
      <c r="O22" s="101">
        <v>844</v>
      </c>
      <c r="P22" s="101">
        <v>912</v>
      </c>
      <c r="Q22" s="101">
        <v>763</v>
      </c>
      <c r="R22" s="101">
        <v>916</v>
      </c>
      <c r="S22" s="102">
        <f t="shared" si="4"/>
        <v>0.20052424639580613</v>
      </c>
      <c r="T22" s="102">
        <f t="shared" si="5"/>
        <v>0.14214463840398994</v>
      </c>
      <c r="U22" s="101">
        <f t="shared" si="6"/>
        <v>153</v>
      </c>
      <c r="V22" s="101">
        <f t="shared" si="7"/>
        <v>114</v>
      </c>
      <c r="W22" s="102">
        <f>R22/R22</f>
        <v>1</v>
      </c>
    </row>
    <row r="23" spans="2:23" x14ac:dyDescent="0.25">
      <c r="B23" s="96" t="s">
        <v>62</v>
      </c>
      <c r="C23" s="97">
        <v>917</v>
      </c>
      <c r="D23" s="97">
        <v>386</v>
      </c>
      <c r="E23" s="97">
        <v>669</v>
      </c>
      <c r="F23" s="97">
        <v>855</v>
      </c>
      <c r="G23" s="97">
        <v>886</v>
      </c>
      <c r="H23" s="97">
        <v>886</v>
      </c>
      <c r="I23" s="98">
        <f t="shared" si="0"/>
        <v>0</v>
      </c>
      <c r="J23" s="98">
        <f t="shared" si="1"/>
        <v>1.295336787564767</v>
      </c>
      <c r="K23" s="97">
        <f t="shared" si="2"/>
        <v>0</v>
      </c>
      <c r="L23" s="97">
        <f t="shared" si="3"/>
        <v>500</v>
      </c>
      <c r="M23" s="98">
        <f>H23/H22</f>
        <v>0.98444444444444446</v>
      </c>
      <c r="N23" s="97">
        <v>802</v>
      </c>
      <c r="O23" s="97">
        <v>844</v>
      </c>
      <c r="P23" s="97">
        <v>898</v>
      </c>
      <c r="Q23" s="97">
        <v>749</v>
      </c>
      <c r="R23" s="97">
        <v>898</v>
      </c>
      <c r="S23" s="98">
        <f t="shared" si="4"/>
        <v>0.19893190921228299</v>
      </c>
      <c r="T23" s="98">
        <f t="shared" si="5"/>
        <v>0.1197007481296759</v>
      </c>
      <c r="U23" s="97">
        <f t="shared" si="6"/>
        <v>149</v>
      </c>
      <c r="V23" s="97">
        <f t="shared" si="7"/>
        <v>96</v>
      </c>
      <c r="W23" s="98">
        <f>R23/R22</f>
        <v>0.98034934497816595</v>
      </c>
    </row>
    <row r="24" spans="2:23" x14ac:dyDescent="0.25">
      <c r="B24" s="96" t="s">
        <v>65</v>
      </c>
      <c r="C24" s="97">
        <v>210</v>
      </c>
      <c r="D24" s="97">
        <v>51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0"/>
        <v>-</v>
      </c>
      <c r="J24" s="98">
        <f t="shared" si="1"/>
        <v>-1</v>
      </c>
      <c r="K24" s="97">
        <f t="shared" si="2"/>
        <v>0</v>
      </c>
      <c r="L24" s="97">
        <f t="shared" si="3"/>
        <v>-51</v>
      </c>
      <c r="M24" s="98">
        <f>H24/H22</f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8" t="str">
        <f t="shared" si="4"/>
        <v>-</v>
      </c>
      <c r="T24" s="98" t="str">
        <f t="shared" si="5"/>
        <v>-</v>
      </c>
      <c r="U24" s="97">
        <f t="shared" si="6"/>
        <v>0</v>
      </c>
      <c r="V24" s="97">
        <f t="shared" si="7"/>
        <v>0</v>
      </c>
      <c r="W24" s="98">
        <f>R24/R22</f>
        <v>0</v>
      </c>
    </row>
    <row r="25" spans="2:23" x14ac:dyDescent="0.25">
      <c r="B25" s="93" t="s">
        <v>49</v>
      </c>
      <c r="C25" s="101">
        <v>4070</v>
      </c>
      <c r="D25" s="101">
        <v>2900</v>
      </c>
      <c r="E25" s="101">
        <v>4012</v>
      </c>
      <c r="F25" s="101">
        <v>4562</v>
      </c>
      <c r="G25" s="101">
        <v>4395</v>
      </c>
      <c r="H25" s="101">
        <v>4427</v>
      </c>
      <c r="I25" s="102">
        <f t="shared" si="0"/>
        <v>7.2810011376565065E-3</v>
      </c>
      <c r="J25" s="102">
        <f t="shared" si="1"/>
        <v>0.52655172413793094</v>
      </c>
      <c r="K25" s="101">
        <f t="shared" si="2"/>
        <v>32</v>
      </c>
      <c r="L25" s="101">
        <f t="shared" si="3"/>
        <v>1527</v>
      </c>
      <c r="M25" s="95">
        <f>H25/H25</f>
        <v>1</v>
      </c>
      <c r="N25" s="101">
        <v>3652</v>
      </c>
      <c r="O25" s="101">
        <v>4562</v>
      </c>
      <c r="P25" s="101">
        <v>4276</v>
      </c>
      <c r="Q25" s="101">
        <v>4307</v>
      </c>
      <c r="R25" s="101">
        <v>4616</v>
      </c>
      <c r="S25" s="102">
        <f t="shared" si="4"/>
        <v>7.1743673090318039E-2</v>
      </c>
      <c r="T25" s="102">
        <f t="shared" si="5"/>
        <v>0.2639649507119386</v>
      </c>
      <c r="U25" s="101">
        <f t="shared" si="6"/>
        <v>309</v>
      </c>
      <c r="V25" s="101">
        <f t="shared" si="7"/>
        <v>964</v>
      </c>
      <c r="W25" s="95">
        <f>R25/R25</f>
        <v>1</v>
      </c>
    </row>
    <row r="26" spans="2:23" x14ac:dyDescent="0.25">
      <c r="B26" s="96" t="s">
        <v>62</v>
      </c>
      <c r="C26" s="97">
        <v>4004</v>
      </c>
      <c r="D26" s="97">
        <v>2534</v>
      </c>
      <c r="E26" s="97">
        <v>3312</v>
      </c>
      <c r="F26" s="97">
        <v>3862</v>
      </c>
      <c r="G26" s="97">
        <v>3695</v>
      </c>
      <c r="H26" s="97">
        <v>3727</v>
      </c>
      <c r="I26" s="98">
        <f t="shared" si="0"/>
        <v>8.6603518267929225E-3</v>
      </c>
      <c r="J26" s="98">
        <f t="shared" si="1"/>
        <v>0.47079715864246241</v>
      </c>
      <c r="K26" s="97">
        <f t="shared" si="2"/>
        <v>32</v>
      </c>
      <c r="L26" s="97">
        <f t="shared" si="3"/>
        <v>1193</v>
      </c>
      <c r="M26" s="98">
        <f>H26/H25</f>
        <v>0.8418793765529704</v>
      </c>
      <c r="N26" s="97">
        <v>2952</v>
      </c>
      <c r="O26" s="97">
        <v>3862</v>
      </c>
      <c r="P26" s="97">
        <v>3576</v>
      </c>
      <c r="Q26" s="97">
        <v>3607</v>
      </c>
      <c r="R26" s="97">
        <v>3916</v>
      </c>
      <c r="S26" s="98">
        <f t="shared" si="4"/>
        <v>8.5666759079567445E-2</v>
      </c>
      <c r="T26" s="98">
        <f t="shared" si="5"/>
        <v>0.32655826558265577</v>
      </c>
      <c r="U26" s="97">
        <f t="shared" si="6"/>
        <v>309</v>
      </c>
      <c r="V26" s="97">
        <f t="shared" si="7"/>
        <v>964</v>
      </c>
      <c r="W26" s="98">
        <f>R26/R25</f>
        <v>0.84835355285961866</v>
      </c>
    </row>
    <row r="27" spans="2:23" x14ac:dyDescent="0.25">
      <c r="B27" s="99" t="s">
        <v>63</v>
      </c>
      <c r="C27" s="53">
        <v>3576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0"/>
        <v>-</v>
      </c>
      <c r="J27" s="100" t="str">
        <f t="shared" si="1"/>
        <v>-</v>
      </c>
      <c r="K27" s="53">
        <f t="shared" si="2"/>
        <v>0</v>
      </c>
      <c r="L27" s="53">
        <f t="shared" si="3"/>
        <v>0</v>
      </c>
      <c r="M27" s="100">
        <f>H27/H25</f>
        <v>0</v>
      </c>
      <c r="N27" s="53">
        <v>2952</v>
      </c>
      <c r="O27" s="53">
        <v>0</v>
      </c>
      <c r="P27" s="53">
        <v>3576</v>
      </c>
      <c r="Q27" s="53">
        <v>0</v>
      </c>
      <c r="R27" s="53">
        <v>0</v>
      </c>
      <c r="S27" s="100" t="str">
        <f t="shared" si="4"/>
        <v>-</v>
      </c>
      <c r="T27" s="100">
        <f t="shared" si="5"/>
        <v>-1</v>
      </c>
      <c r="U27" s="53">
        <f t="shared" si="6"/>
        <v>0</v>
      </c>
      <c r="V27" s="53">
        <f t="shared" si="7"/>
        <v>-2952</v>
      </c>
      <c r="W27" s="100">
        <f>R27/R25</f>
        <v>0</v>
      </c>
    </row>
    <row r="28" spans="2:23" x14ac:dyDescent="0.25">
      <c r="B28" s="99" t="s">
        <v>64</v>
      </c>
      <c r="C28" s="53">
        <v>428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0"/>
        <v>-</v>
      </c>
      <c r="J28" s="100" t="str">
        <f t="shared" si="1"/>
        <v>-</v>
      </c>
      <c r="K28" s="53">
        <f t="shared" si="2"/>
        <v>0</v>
      </c>
      <c r="L28" s="53">
        <f t="shared" si="3"/>
        <v>0</v>
      </c>
      <c r="M28" s="100">
        <f>H28/H25</f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100" t="str">
        <f t="shared" si="4"/>
        <v>-</v>
      </c>
      <c r="T28" s="100" t="str">
        <f t="shared" si="5"/>
        <v>-</v>
      </c>
      <c r="U28" s="53">
        <f t="shared" si="6"/>
        <v>0</v>
      </c>
      <c r="V28" s="53">
        <f t="shared" si="7"/>
        <v>0</v>
      </c>
      <c r="W28" s="100">
        <f>R28/R25</f>
        <v>0</v>
      </c>
    </row>
    <row r="29" spans="2:23" x14ac:dyDescent="0.25">
      <c r="B29" s="93" t="s">
        <v>50</v>
      </c>
      <c r="C29" s="101">
        <v>21340</v>
      </c>
      <c r="D29" s="101">
        <v>9244</v>
      </c>
      <c r="E29" s="101">
        <v>11050</v>
      </c>
      <c r="F29" s="101">
        <v>18364</v>
      </c>
      <c r="G29" s="101">
        <v>19209</v>
      </c>
      <c r="H29" s="101">
        <v>20011</v>
      </c>
      <c r="I29" s="102">
        <f t="shared" si="0"/>
        <v>4.175126242906968E-2</v>
      </c>
      <c r="J29" s="102">
        <f t="shared" si="1"/>
        <v>1.1647555170921677</v>
      </c>
      <c r="K29" s="101">
        <f t="shared" si="2"/>
        <v>802</v>
      </c>
      <c r="L29" s="101">
        <f t="shared" si="3"/>
        <v>10767</v>
      </c>
      <c r="M29" s="95">
        <f>H29/H29</f>
        <v>1</v>
      </c>
      <c r="N29" s="101">
        <v>9306</v>
      </c>
      <c r="O29" s="101">
        <v>18373</v>
      </c>
      <c r="P29" s="101">
        <v>18698</v>
      </c>
      <c r="Q29" s="101">
        <v>20140</v>
      </c>
      <c r="R29" s="101">
        <v>19634</v>
      </c>
      <c r="S29" s="102">
        <f t="shared" si="4"/>
        <v>-2.5124131082423062E-2</v>
      </c>
      <c r="T29" s="102">
        <f t="shared" si="5"/>
        <v>1.1098216204599183</v>
      </c>
      <c r="U29" s="101">
        <f t="shared" si="6"/>
        <v>-506</v>
      </c>
      <c r="V29" s="101">
        <f t="shared" si="7"/>
        <v>10328</v>
      </c>
      <c r="W29" s="95">
        <f>R29/R29</f>
        <v>1</v>
      </c>
    </row>
    <row r="30" spans="2:23" x14ac:dyDescent="0.25">
      <c r="B30" s="96" t="s">
        <v>62</v>
      </c>
      <c r="C30" s="97">
        <v>16096</v>
      </c>
      <c r="D30" s="97">
        <v>6499</v>
      </c>
      <c r="E30" s="97">
        <v>8111</v>
      </c>
      <c r="F30" s="97">
        <v>14162</v>
      </c>
      <c r="G30" s="97">
        <v>14862</v>
      </c>
      <c r="H30" s="97">
        <v>15621</v>
      </c>
      <c r="I30" s="98">
        <f t="shared" si="0"/>
        <v>5.106984255147351E-2</v>
      </c>
      <c r="J30" s="98">
        <f t="shared" si="1"/>
        <v>1.4036005539313741</v>
      </c>
      <c r="K30" s="97">
        <f t="shared" si="2"/>
        <v>759</v>
      </c>
      <c r="L30" s="97">
        <f t="shared" si="3"/>
        <v>9122</v>
      </c>
      <c r="M30" s="98">
        <f>H30/H29</f>
        <v>0.78062065863774921</v>
      </c>
      <c r="N30" s="97">
        <v>6478</v>
      </c>
      <c r="O30" s="97">
        <v>14288</v>
      </c>
      <c r="P30" s="97">
        <v>14351</v>
      </c>
      <c r="Q30" s="97">
        <v>15777</v>
      </c>
      <c r="R30" s="97">
        <v>15181</v>
      </c>
      <c r="S30" s="98">
        <f t="shared" si="4"/>
        <v>-3.7776510109653327E-2</v>
      </c>
      <c r="T30" s="98">
        <f t="shared" si="5"/>
        <v>1.3434702068539672</v>
      </c>
      <c r="U30" s="97">
        <f t="shared" si="6"/>
        <v>-596</v>
      </c>
      <c r="V30" s="97">
        <f t="shared" si="7"/>
        <v>8703</v>
      </c>
      <c r="W30" s="98">
        <f>R30/R29</f>
        <v>0.77319955179790156</v>
      </c>
    </row>
    <row r="31" spans="2:23" x14ac:dyDescent="0.25">
      <c r="B31" s="99" t="s">
        <v>63</v>
      </c>
      <c r="C31" s="53">
        <v>12913</v>
      </c>
      <c r="D31" s="53">
        <v>5381</v>
      </c>
      <c r="E31" s="53">
        <v>6550</v>
      </c>
      <c r="F31" s="53">
        <v>12095</v>
      </c>
      <c r="G31" s="53">
        <v>12793</v>
      </c>
      <c r="H31" s="53">
        <v>13518</v>
      </c>
      <c r="I31" s="100">
        <f t="shared" si="0"/>
        <v>5.66716172907058E-2</v>
      </c>
      <c r="J31" s="100">
        <f t="shared" si="1"/>
        <v>1.5121724586508085</v>
      </c>
      <c r="K31" s="53">
        <f t="shared" si="2"/>
        <v>725</v>
      </c>
      <c r="L31" s="53">
        <f t="shared" si="3"/>
        <v>8137</v>
      </c>
      <c r="M31" s="100">
        <f>H31/H29</f>
        <v>0.67552845934735894</v>
      </c>
      <c r="N31" s="53">
        <v>5214</v>
      </c>
      <c r="O31" s="53">
        <v>12383</v>
      </c>
      <c r="P31" s="53">
        <v>12252</v>
      </c>
      <c r="Q31" s="53">
        <v>13674</v>
      </c>
      <c r="R31" s="53">
        <v>13072</v>
      </c>
      <c r="S31" s="100">
        <f t="shared" si="4"/>
        <v>-4.4025157232704393E-2</v>
      </c>
      <c r="T31" s="100">
        <f t="shared" si="5"/>
        <v>1.5070962792481781</v>
      </c>
      <c r="U31" s="53">
        <f t="shared" si="6"/>
        <v>-602</v>
      </c>
      <c r="V31" s="53">
        <f t="shared" si="7"/>
        <v>7858</v>
      </c>
      <c r="W31" s="100">
        <f>R31/R29</f>
        <v>0.66578384435163496</v>
      </c>
    </row>
    <row r="32" spans="2:23" x14ac:dyDescent="0.25">
      <c r="B32" s="99" t="s">
        <v>64</v>
      </c>
      <c r="C32" s="53">
        <v>3183</v>
      </c>
      <c r="D32" s="53">
        <v>1118</v>
      </c>
      <c r="E32" s="53">
        <v>1561</v>
      </c>
      <c r="F32" s="53">
        <v>2067</v>
      </c>
      <c r="G32" s="53">
        <v>2069</v>
      </c>
      <c r="H32" s="53">
        <v>2103</v>
      </c>
      <c r="I32" s="100">
        <f t="shared" si="0"/>
        <v>1.6433059449009191E-2</v>
      </c>
      <c r="J32" s="100">
        <f t="shared" si="1"/>
        <v>0.88103756708407865</v>
      </c>
      <c r="K32" s="53">
        <f t="shared" si="2"/>
        <v>34</v>
      </c>
      <c r="L32" s="53">
        <f t="shared" si="3"/>
        <v>985</v>
      </c>
      <c r="M32" s="100">
        <f>H32/H29</f>
        <v>0.10509219929039028</v>
      </c>
      <c r="N32" s="53">
        <v>1264</v>
      </c>
      <c r="O32" s="53">
        <v>1905</v>
      </c>
      <c r="P32" s="53">
        <v>2099</v>
      </c>
      <c r="Q32" s="53">
        <v>2103</v>
      </c>
      <c r="R32" s="53">
        <v>2109</v>
      </c>
      <c r="S32" s="100">
        <f t="shared" si="4"/>
        <v>2.8530670470756636E-3</v>
      </c>
      <c r="T32" s="100">
        <f t="shared" si="5"/>
        <v>0.668512658227848</v>
      </c>
      <c r="U32" s="53">
        <f t="shared" si="6"/>
        <v>6</v>
      </c>
      <c r="V32" s="53">
        <f t="shared" si="7"/>
        <v>845</v>
      </c>
      <c r="W32" s="100">
        <f>R32/R29</f>
        <v>0.10741570744626668</v>
      </c>
    </row>
    <row r="33" spans="2:23" x14ac:dyDescent="0.25">
      <c r="B33" s="96" t="s">
        <v>65</v>
      </c>
      <c r="C33" s="97">
        <v>5245</v>
      </c>
      <c r="D33" s="97">
        <v>2745</v>
      </c>
      <c r="E33" s="97">
        <v>2940</v>
      </c>
      <c r="F33" s="97">
        <v>4202</v>
      </c>
      <c r="G33" s="97">
        <v>4347</v>
      </c>
      <c r="H33" s="97">
        <v>4390</v>
      </c>
      <c r="I33" s="98">
        <f t="shared" si="0"/>
        <v>9.8918794570967972E-3</v>
      </c>
      <c r="J33" s="98">
        <f t="shared" si="1"/>
        <v>0.59927140255009115</v>
      </c>
      <c r="K33" s="97">
        <f t="shared" si="2"/>
        <v>43</v>
      </c>
      <c r="L33" s="97">
        <f t="shared" si="3"/>
        <v>1645</v>
      </c>
      <c r="M33" s="98">
        <f>H33/H29</f>
        <v>0.21937934136225076</v>
      </c>
      <c r="N33" s="97">
        <v>2828</v>
      </c>
      <c r="O33" s="97">
        <v>4085</v>
      </c>
      <c r="P33" s="97">
        <v>4347</v>
      </c>
      <c r="Q33" s="97">
        <v>4363</v>
      </c>
      <c r="R33" s="97">
        <v>4453</v>
      </c>
      <c r="S33" s="98">
        <f t="shared" si="4"/>
        <v>2.0628008251203367E-2</v>
      </c>
      <c r="T33" s="98">
        <f t="shared" si="5"/>
        <v>0.57461103253182455</v>
      </c>
      <c r="U33" s="97">
        <f t="shared" si="6"/>
        <v>90</v>
      </c>
      <c r="V33" s="97">
        <f t="shared" si="7"/>
        <v>1625</v>
      </c>
      <c r="W33" s="98">
        <f>R33/R29</f>
        <v>0.22680044820209841</v>
      </c>
    </row>
    <row r="34" spans="2:23" x14ac:dyDescent="0.25">
      <c r="B34" s="93" t="s">
        <v>51</v>
      </c>
      <c r="C34" s="101">
        <v>713</v>
      </c>
      <c r="D34" s="101">
        <v>339</v>
      </c>
      <c r="E34" s="101">
        <v>532</v>
      </c>
      <c r="F34" s="101">
        <v>654</v>
      </c>
      <c r="G34" s="101">
        <v>663</v>
      </c>
      <c r="H34" s="101">
        <v>673</v>
      </c>
      <c r="I34" s="102">
        <f t="shared" si="0"/>
        <v>1.5082956259426794E-2</v>
      </c>
      <c r="J34" s="102">
        <f t="shared" si="1"/>
        <v>0.98525073746312675</v>
      </c>
      <c r="K34" s="101">
        <f t="shared" si="2"/>
        <v>10</v>
      </c>
      <c r="L34" s="101">
        <f t="shared" si="3"/>
        <v>334</v>
      </c>
      <c r="M34" s="95">
        <f>H34/H34</f>
        <v>1</v>
      </c>
      <c r="N34" s="101">
        <v>465</v>
      </c>
      <c r="O34" s="101">
        <v>663</v>
      </c>
      <c r="P34" s="101">
        <v>663</v>
      </c>
      <c r="Q34" s="101">
        <v>673</v>
      </c>
      <c r="R34" s="101">
        <v>673</v>
      </c>
      <c r="S34" s="102">
        <f t="shared" si="4"/>
        <v>0</v>
      </c>
      <c r="T34" s="102">
        <f t="shared" si="5"/>
        <v>0.44731182795698921</v>
      </c>
      <c r="U34" s="101">
        <f t="shared" si="6"/>
        <v>0</v>
      </c>
      <c r="V34" s="101">
        <f t="shared" si="7"/>
        <v>208</v>
      </c>
      <c r="W34" s="95">
        <f>R34/R34</f>
        <v>1</v>
      </c>
    </row>
    <row r="35" spans="2:23" x14ac:dyDescent="0.25">
      <c r="B35" s="96" t="s">
        <v>62</v>
      </c>
      <c r="C35" s="97">
        <v>713</v>
      </c>
      <c r="D35" s="97">
        <v>339</v>
      </c>
      <c r="E35" s="97">
        <v>532</v>
      </c>
      <c r="F35" s="97">
        <v>654</v>
      </c>
      <c r="G35" s="97">
        <v>663</v>
      </c>
      <c r="H35" s="97">
        <v>673</v>
      </c>
      <c r="I35" s="98">
        <f t="shared" si="0"/>
        <v>1.5082956259426794E-2</v>
      </c>
      <c r="J35" s="98">
        <f t="shared" si="1"/>
        <v>0.98525073746312675</v>
      </c>
      <c r="K35" s="97">
        <f t="shared" si="2"/>
        <v>10</v>
      </c>
      <c r="L35" s="97">
        <f t="shared" si="3"/>
        <v>334</v>
      </c>
      <c r="M35" s="98">
        <f>H35/H34</f>
        <v>1</v>
      </c>
      <c r="N35" s="97">
        <v>465</v>
      </c>
      <c r="O35" s="97">
        <v>663</v>
      </c>
      <c r="P35" s="97">
        <v>663</v>
      </c>
      <c r="Q35" s="97">
        <v>673</v>
      </c>
      <c r="R35" s="97">
        <v>673</v>
      </c>
      <c r="S35" s="98">
        <f t="shared" si="4"/>
        <v>0</v>
      </c>
      <c r="T35" s="98">
        <f t="shared" si="5"/>
        <v>0.44731182795698921</v>
      </c>
      <c r="U35" s="97">
        <f t="shared" si="6"/>
        <v>0</v>
      </c>
      <c r="V35" s="97">
        <f t="shared" si="7"/>
        <v>208</v>
      </c>
      <c r="W35" s="98">
        <f>R35/R34</f>
        <v>1</v>
      </c>
    </row>
    <row r="36" spans="2:23" x14ac:dyDescent="0.25">
      <c r="B36" s="93" t="s">
        <v>52</v>
      </c>
      <c r="C36" s="101">
        <v>4124</v>
      </c>
      <c r="D36" s="101">
        <v>2132</v>
      </c>
      <c r="E36" s="101">
        <v>2908</v>
      </c>
      <c r="F36" s="101">
        <v>4497</v>
      </c>
      <c r="G36" s="101">
        <v>4790</v>
      </c>
      <c r="H36" s="101">
        <v>4797</v>
      </c>
      <c r="I36" s="102">
        <f t="shared" si="0"/>
        <v>1.4613778705636626E-3</v>
      </c>
      <c r="J36" s="102">
        <f t="shared" si="1"/>
        <v>1.25</v>
      </c>
      <c r="K36" s="101">
        <f t="shared" si="2"/>
        <v>7</v>
      </c>
      <c r="L36" s="101">
        <f t="shared" si="3"/>
        <v>2665</v>
      </c>
      <c r="M36" s="102">
        <f>H36/H36</f>
        <v>1</v>
      </c>
      <c r="N36" s="101">
        <v>2934</v>
      </c>
      <c r="O36" s="101">
        <v>4097</v>
      </c>
      <c r="P36" s="101">
        <v>4791</v>
      </c>
      <c r="Q36" s="101">
        <v>4797</v>
      </c>
      <c r="R36" s="101">
        <v>4605</v>
      </c>
      <c r="S36" s="102">
        <f t="shared" si="4"/>
        <v>-4.0025015634771788E-2</v>
      </c>
      <c r="T36" s="102">
        <f t="shared" si="5"/>
        <v>0.56952965235173814</v>
      </c>
      <c r="U36" s="101">
        <f t="shared" si="6"/>
        <v>-192</v>
      </c>
      <c r="V36" s="101">
        <f t="shared" si="7"/>
        <v>1671</v>
      </c>
      <c r="W36" s="102">
        <f>R36/R36</f>
        <v>1</v>
      </c>
    </row>
    <row r="37" spans="2:23" x14ac:dyDescent="0.25">
      <c r="B37" s="96" t="s">
        <v>62</v>
      </c>
      <c r="C37" s="97">
        <v>1801</v>
      </c>
      <c r="D37" s="97">
        <v>1559</v>
      </c>
      <c r="E37" s="97">
        <v>2545</v>
      </c>
      <c r="F37" s="97">
        <v>3640</v>
      </c>
      <c r="G37" s="97">
        <v>3915</v>
      </c>
      <c r="H37" s="97">
        <v>3915</v>
      </c>
      <c r="I37" s="98">
        <f t="shared" si="0"/>
        <v>0</v>
      </c>
      <c r="J37" s="98">
        <f t="shared" si="1"/>
        <v>1.511225144323284</v>
      </c>
      <c r="K37" s="97">
        <f t="shared" si="2"/>
        <v>0</v>
      </c>
      <c r="L37" s="97">
        <f t="shared" si="3"/>
        <v>2356</v>
      </c>
      <c r="M37" s="98">
        <f>H37/H36</f>
        <v>0.81613508442776739</v>
      </c>
      <c r="N37" s="97">
        <v>2672</v>
      </c>
      <c r="O37" s="97">
        <v>3253</v>
      </c>
      <c r="P37" s="97">
        <v>3915</v>
      </c>
      <c r="Q37" s="97">
        <v>3915</v>
      </c>
      <c r="R37" s="97">
        <v>3723</v>
      </c>
      <c r="S37" s="98">
        <f t="shared" si="4"/>
        <v>-4.9042145593869768E-2</v>
      </c>
      <c r="T37" s="98">
        <f t="shared" si="5"/>
        <v>0.39333832335329344</v>
      </c>
      <c r="U37" s="97">
        <f t="shared" si="6"/>
        <v>-192</v>
      </c>
      <c r="V37" s="97">
        <f t="shared" si="7"/>
        <v>1051</v>
      </c>
      <c r="W37" s="98">
        <f>R37/R36</f>
        <v>0.80846905537459279</v>
      </c>
    </row>
    <row r="38" spans="2:23" x14ac:dyDescent="0.25">
      <c r="B38" s="96" t="s">
        <v>65</v>
      </c>
      <c r="C38" s="97">
        <v>2323</v>
      </c>
      <c r="D38" s="97">
        <v>573</v>
      </c>
      <c r="E38" s="97">
        <v>363</v>
      </c>
      <c r="F38" s="97">
        <v>857</v>
      </c>
      <c r="G38" s="97">
        <v>875</v>
      </c>
      <c r="H38" s="97">
        <v>882</v>
      </c>
      <c r="I38" s="98">
        <f t="shared" si="0"/>
        <v>8.0000000000000071E-3</v>
      </c>
      <c r="J38" s="98">
        <f t="shared" si="1"/>
        <v>0.53926701570680624</v>
      </c>
      <c r="K38" s="97">
        <f t="shared" si="2"/>
        <v>7</v>
      </c>
      <c r="L38" s="97">
        <f t="shared" si="3"/>
        <v>309</v>
      </c>
      <c r="M38" s="98">
        <f>H38/H36</f>
        <v>0.18386491557223264</v>
      </c>
      <c r="N38" s="97">
        <v>262</v>
      </c>
      <c r="O38" s="97">
        <v>844</v>
      </c>
      <c r="P38" s="97">
        <v>876</v>
      </c>
      <c r="Q38" s="97">
        <v>882</v>
      </c>
      <c r="R38" s="97">
        <v>882</v>
      </c>
      <c r="S38" s="98">
        <f t="shared" si="4"/>
        <v>0</v>
      </c>
      <c r="T38" s="98">
        <f t="shared" si="5"/>
        <v>2.3664122137404582</v>
      </c>
      <c r="U38" s="97">
        <f t="shared" si="6"/>
        <v>0</v>
      </c>
      <c r="V38" s="97">
        <f t="shared" si="7"/>
        <v>620</v>
      </c>
      <c r="W38" s="98">
        <f>R38/R36</f>
        <v>0.19153094462540718</v>
      </c>
    </row>
    <row r="39" spans="2:23" x14ac:dyDescent="0.25">
      <c r="B39" s="93" t="s">
        <v>53</v>
      </c>
      <c r="C39" s="101">
        <v>2690</v>
      </c>
      <c r="D39" s="101">
        <v>1526</v>
      </c>
      <c r="E39" s="101">
        <v>2270</v>
      </c>
      <c r="F39" s="101">
        <v>2680</v>
      </c>
      <c r="G39" s="101">
        <v>2774</v>
      </c>
      <c r="H39" s="101">
        <v>2714</v>
      </c>
      <c r="I39" s="102">
        <f t="shared" si="0"/>
        <v>-2.1629416005767843E-2</v>
      </c>
      <c r="J39" s="102">
        <f t="shared" si="1"/>
        <v>0.77850589777195278</v>
      </c>
      <c r="K39" s="101">
        <f t="shared" si="2"/>
        <v>-60</v>
      </c>
      <c r="L39" s="101">
        <f t="shared" si="3"/>
        <v>1188</v>
      </c>
      <c r="M39" s="95">
        <f>H39/H39</f>
        <v>1</v>
      </c>
      <c r="N39" s="101">
        <v>2378</v>
      </c>
      <c r="O39" s="101">
        <v>2710</v>
      </c>
      <c r="P39" s="101">
        <v>2739</v>
      </c>
      <c r="Q39" s="101">
        <v>2773</v>
      </c>
      <c r="R39" s="101">
        <v>2679</v>
      </c>
      <c r="S39" s="102">
        <f t="shared" si="4"/>
        <v>-3.3898305084745783E-2</v>
      </c>
      <c r="T39" s="102">
        <f t="shared" si="5"/>
        <v>0.12657695542472669</v>
      </c>
      <c r="U39" s="101">
        <f t="shared" si="6"/>
        <v>-94</v>
      </c>
      <c r="V39" s="101">
        <f t="shared" si="7"/>
        <v>301</v>
      </c>
      <c r="W39" s="95">
        <f>R39/R39</f>
        <v>1</v>
      </c>
    </row>
    <row r="40" spans="2:23" x14ac:dyDescent="0.25">
      <c r="B40" s="96" t="s">
        <v>62</v>
      </c>
      <c r="C40" s="97">
        <v>2690</v>
      </c>
      <c r="D40" s="97">
        <v>1526</v>
      </c>
      <c r="E40" s="97">
        <v>2270</v>
      </c>
      <c r="F40" s="97">
        <v>2680</v>
      </c>
      <c r="G40" s="97">
        <v>2774</v>
      </c>
      <c r="H40" s="97">
        <v>2714</v>
      </c>
      <c r="I40" s="98">
        <f t="shared" si="0"/>
        <v>-2.1629416005767843E-2</v>
      </c>
      <c r="J40" s="98">
        <f t="shared" si="1"/>
        <v>0.77850589777195278</v>
      </c>
      <c r="K40" s="97">
        <f t="shared" si="2"/>
        <v>-60</v>
      </c>
      <c r="L40" s="97">
        <f t="shared" si="3"/>
        <v>1188</v>
      </c>
      <c r="M40" s="98">
        <f>H40/H39</f>
        <v>1</v>
      </c>
      <c r="N40" s="97">
        <v>2378</v>
      </c>
      <c r="O40" s="97">
        <v>2710</v>
      </c>
      <c r="P40" s="97">
        <v>2739</v>
      </c>
      <c r="Q40" s="97">
        <v>2773</v>
      </c>
      <c r="R40" s="97">
        <v>2679</v>
      </c>
      <c r="S40" s="98">
        <f t="shared" si="4"/>
        <v>-3.3898305084745783E-2</v>
      </c>
      <c r="T40" s="98">
        <f t="shared" si="5"/>
        <v>0.12657695542472669</v>
      </c>
      <c r="U40" s="97">
        <f t="shared" si="6"/>
        <v>-94</v>
      </c>
      <c r="V40" s="97">
        <f t="shared" si="7"/>
        <v>301</v>
      </c>
      <c r="W40" s="98">
        <f>R40/R39</f>
        <v>1</v>
      </c>
    </row>
    <row r="41" spans="2:23" x14ac:dyDescent="0.25">
      <c r="B41" s="99" t="s">
        <v>63</v>
      </c>
      <c r="C41" s="53">
        <v>1381</v>
      </c>
      <c r="D41" s="53">
        <v>846</v>
      </c>
      <c r="E41" s="53">
        <v>1514</v>
      </c>
      <c r="F41" s="53">
        <v>1660</v>
      </c>
      <c r="G41" s="53">
        <v>1674</v>
      </c>
      <c r="H41" s="53">
        <v>1711</v>
      </c>
      <c r="I41" s="100">
        <f t="shared" si="0"/>
        <v>2.2102747909199527E-2</v>
      </c>
      <c r="J41" s="100">
        <f t="shared" si="1"/>
        <v>1.0224586288416075</v>
      </c>
      <c r="K41" s="53">
        <f t="shared" si="2"/>
        <v>37</v>
      </c>
      <c r="L41" s="53">
        <f t="shared" si="3"/>
        <v>865</v>
      </c>
      <c r="M41" s="100">
        <f>H41/H39</f>
        <v>0.63043478260869568</v>
      </c>
      <c r="N41" s="53">
        <v>1658</v>
      </c>
      <c r="O41" s="53">
        <v>1674</v>
      </c>
      <c r="P41" s="53">
        <v>1674</v>
      </c>
      <c r="Q41" s="53">
        <v>1681</v>
      </c>
      <c r="R41" s="53">
        <v>1847</v>
      </c>
      <c r="S41" s="100">
        <f t="shared" si="4"/>
        <v>9.8750743604997027E-2</v>
      </c>
      <c r="T41" s="100">
        <f t="shared" si="5"/>
        <v>0.11399276236429423</v>
      </c>
      <c r="U41" s="53">
        <f t="shared" si="6"/>
        <v>166</v>
      </c>
      <c r="V41" s="53">
        <f t="shared" si="7"/>
        <v>189</v>
      </c>
      <c r="W41" s="100">
        <f>R41/R39</f>
        <v>0.68943635684957072</v>
      </c>
    </row>
    <row r="42" spans="2:23" x14ac:dyDescent="0.25">
      <c r="B42" s="99" t="s">
        <v>64</v>
      </c>
      <c r="C42" s="53">
        <v>1309</v>
      </c>
      <c r="D42" s="53">
        <v>680</v>
      </c>
      <c r="E42" s="53">
        <v>756</v>
      </c>
      <c r="F42" s="53">
        <v>1020</v>
      </c>
      <c r="G42" s="53">
        <v>1100</v>
      </c>
      <c r="H42" s="53">
        <v>1003</v>
      </c>
      <c r="I42" s="100">
        <f t="shared" si="0"/>
        <v>-8.8181818181818139E-2</v>
      </c>
      <c r="J42" s="100">
        <f t="shared" si="1"/>
        <v>0.47500000000000009</v>
      </c>
      <c r="K42" s="53">
        <f t="shared" si="2"/>
        <v>-97</v>
      </c>
      <c r="L42" s="53">
        <f t="shared" si="3"/>
        <v>323</v>
      </c>
      <c r="M42" s="100">
        <f>H42/H39</f>
        <v>0.36956521739130432</v>
      </c>
      <c r="N42" s="53">
        <v>720</v>
      </c>
      <c r="O42" s="53">
        <v>1036</v>
      </c>
      <c r="P42" s="53">
        <v>1065</v>
      </c>
      <c r="Q42" s="53">
        <v>1092</v>
      </c>
      <c r="R42" s="53">
        <v>832</v>
      </c>
      <c r="S42" s="100">
        <f t="shared" si="4"/>
        <v>-0.23809523809523814</v>
      </c>
      <c r="T42" s="100">
        <f t="shared" si="5"/>
        <v>0.15555555555555545</v>
      </c>
      <c r="U42" s="53">
        <f t="shared" si="6"/>
        <v>-260</v>
      </c>
      <c r="V42" s="53">
        <f t="shared" si="7"/>
        <v>112</v>
      </c>
      <c r="W42" s="100">
        <f>R42/R39</f>
        <v>0.31056364315042928</v>
      </c>
    </row>
    <row r="43" spans="2:23" x14ac:dyDescent="0.25">
      <c r="B43" s="93" t="s">
        <v>54</v>
      </c>
      <c r="C43" s="101">
        <v>6890</v>
      </c>
      <c r="D43" s="101">
        <v>3786</v>
      </c>
      <c r="E43" s="101">
        <v>4393</v>
      </c>
      <c r="F43" s="101">
        <v>6413</v>
      </c>
      <c r="G43" s="101">
        <v>6356</v>
      </c>
      <c r="H43" s="101">
        <v>6429</v>
      </c>
      <c r="I43" s="102">
        <f t="shared" si="0"/>
        <v>1.1485210824417891E-2</v>
      </c>
      <c r="J43" s="102">
        <f t="shared" si="1"/>
        <v>0.69809825673534065</v>
      </c>
      <c r="K43" s="101">
        <f t="shared" si="2"/>
        <v>73</v>
      </c>
      <c r="L43" s="101">
        <f t="shared" si="3"/>
        <v>2643</v>
      </c>
      <c r="M43" s="95">
        <f>H43/H43</f>
        <v>1</v>
      </c>
      <c r="N43" s="101">
        <v>3065</v>
      </c>
      <c r="O43" s="101">
        <v>6412</v>
      </c>
      <c r="P43" s="101">
        <v>6177</v>
      </c>
      <c r="Q43" s="101">
        <v>6415</v>
      </c>
      <c r="R43" s="101">
        <v>6497</v>
      </c>
      <c r="S43" s="102">
        <f t="shared" si="4"/>
        <v>1.278254091971931E-2</v>
      </c>
      <c r="T43" s="102">
        <f t="shared" si="5"/>
        <v>1.1197389885807505</v>
      </c>
      <c r="U43" s="101">
        <f t="shared" si="6"/>
        <v>82</v>
      </c>
      <c r="V43" s="101">
        <f t="shared" si="7"/>
        <v>3432</v>
      </c>
      <c r="W43" s="95">
        <f>R43/R43</f>
        <v>1</v>
      </c>
    </row>
    <row r="44" spans="2:23" x14ac:dyDescent="0.25">
      <c r="B44" s="96" t="s">
        <v>62</v>
      </c>
      <c r="C44" s="97">
        <v>4440</v>
      </c>
      <c r="D44" s="97">
        <v>2472</v>
      </c>
      <c r="E44" s="97">
        <v>2822</v>
      </c>
      <c r="F44" s="97">
        <v>4753</v>
      </c>
      <c r="G44" s="97">
        <v>4696</v>
      </c>
      <c r="H44" s="97">
        <v>4755</v>
      </c>
      <c r="I44" s="98">
        <f t="shared" si="0"/>
        <v>1.2563884156729044E-2</v>
      </c>
      <c r="J44" s="98">
        <f t="shared" si="1"/>
        <v>0.92354368932038833</v>
      </c>
      <c r="K44" s="97">
        <f t="shared" si="2"/>
        <v>59</v>
      </c>
      <c r="L44" s="97">
        <f t="shared" si="3"/>
        <v>2283</v>
      </c>
      <c r="M44" s="98">
        <f>H44/H43</f>
        <v>0.73961735884274382</v>
      </c>
      <c r="N44" s="97">
        <v>1583</v>
      </c>
      <c r="O44" s="97">
        <v>4752</v>
      </c>
      <c r="P44" s="97">
        <v>4517</v>
      </c>
      <c r="Q44" s="97">
        <v>4755</v>
      </c>
      <c r="R44" s="97">
        <v>4755</v>
      </c>
      <c r="S44" s="98">
        <f t="shared" si="4"/>
        <v>0</v>
      </c>
      <c r="T44" s="98">
        <f t="shared" si="5"/>
        <v>2.003790271636134</v>
      </c>
      <c r="U44" s="97">
        <f t="shared" si="6"/>
        <v>0</v>
      </c>
      <c r="V44" s="97">
        <f t="shared" si="7"/>
        <v>3172</v>
      </c>
      <c r="W44" s="98">
        <f>R44/R43</f>
        <v>0.73187625057718952</v>
      </c>
    </row>
    <row r="45" spans="2:23" x14ac:dyDescent="0.25">
      <c r="B45" s="99" t="s">
        <v>63</v>
      </c>
      <c r="C45" s="53">
        <v>3379</v>
      </c>
      <c r="D45" s="53">
        <v>0</v>
      </c>
      <c r="E45" s="53">
        <v>2173</v>
      </c>
      <c r="F45" s="53">
        <v>3692</v>
      </c>
      <c r="G45" s="53">
        <v>3635</v>
      </c>
      <c r="H45" s="53">
        <v>3694</v>
      </c>
      <c r="I45" s="100">
        <f t="shared" si="0"/>
        <v>1.6231086657496618E-2</v>
      </c>
      <c r="J45" s="100" t="str">
        <f t="shared" si="1"/>
        <v>-</v>
      </c>
      <c r="K45" s="53">
        <f t="shared" si="2"/>
        <v>59</v>
      </c>
      <c r="L45" s="53">
        <f t="shared" si="3"/>
        <v>3694</v>
      </c>
      <c r="M45" s="100">
        <f>H45/H43</f>
        <v>0.57458391662778041</v>
      </c>
      <c r="N45" s="53">
        <v>0</v>
      </c>
      <c r="O45" s="53">
        <v>3691</v>
      </c>
      <c r="P45" s="53">
        <v>3456</v>
      </c>
      <c r="Q45" s="53">
        <v>3694</v>
      </c>
      <c r="R45" s="53">
        <v>3694</v>
      </c>
      <c r="S45" s="100">
        <f t="shared" si="4"/>
        <v>0</v>
      </c>
      <c r="T45" s="100" t="str">
        <f t="shared" si="5"/>
        <v>-</v>
      </c>
      <c r="U45" s="53">
        <f t="shared" si="6"/>
        <v>0</v>
      </c>
      <c r="V45" s="53">
        <f t="shared" si="7"/>
        <v>3694</v>
      </c>
      <c r="W45" s="100">
        <f>R45/R43</f>
        <v>0.56857010928120666</v>
      </c>
    </row>
    <row r="46" spans="2:23" x14ac:dyDescent="0.25">
      <c r="B46" s="99" t="s">
        <v>64</v>
      </c>
      <c r="C46" s="53">
        <v>1061</v>
      </c>
      <c r="D46" s="53">
        <v>0</v>
      </c>
      <c r="E46" s="53">
        <v>649</v>
      </c>
      <c r="F46" s="53">
        <v>1061</v>
      </c>
      <c r="G46" s="53">
        <v>1061</v>
      </c>
      <c r="H46" s="53">
        <v>1061</v>
      </c>
      <c r="I46" s="100">
        <f t="shared" si="0"/>
        <v>0</v>
      </c>
      <c r="J46" s="100" t="str">
        <f t="shared" si="1"/>
        <v>-</v>
      </c>
      <c r="K46" s="53">
        <f t="shared" si="2"/>
        <v>0</v>
      </c>
      <c r="L46" s="53">
        <f t="shared" si="3"/>
        <v>1061</v>
      </c>
      <c r="M46" s="100">
        <f>H46/H43</f>
        <v>0.16503344221496344</v>
      </c>
      <c r="N46" s="53">
        <v>0</v>
      </c>
      <c r="O46" s="53">
        <v>1061</v>
      </c>
      <c r="P46" s="53">
        <v>1061</v>
      </c>
      <c r="Q46" s="53">
        <v>1061</v>
      </c>
      <c r="R46" s="53">
        <v>1061</v>
      </c>
      <c r="S46" s="100">
        <f t="shared" si="4"/>
        <v>0</v>
      </c>
      <c r="T46" s="100" t="str">
        <f t="shared" si="5"/>
        <v>-</v>
      </c>
      <c r="U46" s="53">
        <f t="shared" si="6"/>
        <v>0</v>
      </c>
      <c r="V46" s="53">
        <f t="shared" si="7"/>
        <v>1061</v>
      </c>
      <c r="W46" s="100">
        <f>R46/R43</f>
        <v>0.16330614129598275</v>
      </c>
    </row>
    <row r="47" spans="2:23" x14ac:dyDescent="0.25">
      <c r="B47" s="96" t="s">
        <v>65</v>
      </c>
      <c r="C47" s="97">
        <v>2450</v>
      </c>
      <c r="D47" s="97">
        <v>1314</v>
      </c>
      <c r="E47" s="97">
        <v>1571</v>
      </c>
      <c r="F47" s="97">
        <v>1660</v>
      </c>
      <c r="G47" s="97">
        <v>1660</v>
      </c>
      <c r="H47" s="97">
        <v>1674</v>
      </c>
      <c r="I47" s="98">
        <f t="shared" si="0"/>
        <v>8.4337349397589634E-3</v>
      </c>
      <c r="J47" s="98">
        <f t="shared" si="1"/>
        <v>0.27397260273972601</v>
      </c>
      <c r="K47" s="97">
        <f t="shared" si="2"/>
        <v>14</v>
      </c>
      <c r="L47" s="97">
        <f t="shared" si="3"/>
        <v>360</v>
      </c>
      <c r="M47" s="98">
        <f>H47/H43</f>
        <v>0.26038264115725618</v>
      </c>
      <c r="N47" s="97">
        <v>1482</v>
      </c>
      <c r="O47" s="97">
        <v>1660</v>
      </c>
      <c r="P47" s="97">
        <v>1660</v>
      </c>
      <c r="Q47" s="97">
        <v>1660</v>
      </c>
      <c r="R47" s="97">
        <v>1742</v>
      </c>
      <c r="S47" s="98">
        <f t="shared" si="4"/>
        <v>4.9397590361445864E-2</v>
      </c>
      <c r="T47" s="98">
        <f t="shared" si="5"/>
        <v>0.17543859649122817</v>
      </c>
      <c r="U47" s="97">
        <f t="shared" si="6"/>
        <v>82</v>
      </c>
      <c r="V47" s="97">
        <f t="shared" si="7"/>
        <v>260</v>
      </c>
      <c r="W47" s="98">
        <f>R47/R43</f>
        <v>0.26812374942281053</v>
      </c>
    </row>
    <row r="48" spans="2:23" x14ac:dyDescent="0.25">
      <c r="B48" s="93" t="s">
        <v>55</v>
      </c>
      <c r="C48" s="101">
        <v>3382</v>
      </c>
      <c r="D48" s="101">
        <v>2158</v>
      </c>
      <c r="E48" s="101">
        <v>2862</v>
      </c>
      <c r="F48" s="101">
        <v>3212</v>
      </c>
      <c r="G48" s="101">
        <v>3072</v>
      </c>
      <c r="H48" s="101">
        <v>3096</v>
      </c>
      <c r="I48" s="102">
        <f t="shared" si="0"/>
        <v>7.8125E-3</v>
      </c>
      <c r="J48" s="102">
        <f t="shared" si="1"/>
        <v>0.43466172381835033</v>
      </c>
      <c r="K48" s="101">
        <f t="shared" si="2"/>
        <v>24</v>
      </c>
      <c r="L48" s="101">
        <f t="shared" si="3"/>
        <v>938</v>
      </c>
      <c r="M48" s="95">
        <f>H48/H48</f>
        <v>1</v>
      </c>
      <c r="N48" s="101">
        <v>2781</v>
      </c>
      <c r="O48" s="101">
        <v>3075</v>
      </c>
      <c r="P48" s="101">
        <v>3041</v>
      </c>
      <c r="Q48" s="101">
        <v>3085</v>
      </c>
      <c r="R48" s="101">
        <v>3113</v>
      </c>
      <c r="S48" s="102">
        <f t="shared" si="4"/>
        <v>9.0761750405186081E-3</v>
      </c>
      <c r="T48" s="102">
        <f t="shared" si="5"/>
        <v>0.11938151743976988</v>
      </c>
      <c r="U48" s="101">
        <f t="shared" si="6"/>
        <v>28</v>
      </c>
      <c r="V48" s="101">
        <f t="shared" si="7"/>
        <v>332</v>
      </c>
      <c r="W48" s="95">
        <f>R48/R48</f>
        <v>1</v>
      </c>
    </row>
    <row r="49" spans="2:23" x14ac:dyDescent="0.25">
      <c r="B49" s="96" t="s">
        <v>62</v>
      </c>
      <c r="C49" s="97">
        <v>3115</v>
      </c>
      <c r="D49" s="97">
        <v>2065</v>
      </c>
      <c r="E49" s="97">
        <v>2789</v>
      </c>
      <c r="F49" s="97">
        <v>3008</v>
      </c>
      <c r="G49" s="97">
        <v>2663</v>
      </c>
      <c r="H49" s="97">
        <v>2710</v>
      </c>
      <c r="I49" s="98">
        <f t="shared" si="0"/>
        <v>1.764926774314679E-2</v>
      </c>
      <c r="J49" s="98">
        <f t="shared" si="1"/>
        <v>0.3123486682808716</v>
      </c>
      <c r="K49" s="97">
        <f t="shared" si="2"/>
        <v>47</v>
      </c>
      <c r="L49" s="97">
        <f t="shared" si="3"/>
        <v>645</v>
      </c>
      <c r="M49" s="98">
        <f>H49/H48</f>
        <v>0.87532299741602071</v>
      </c>
      <c r="N49" s="97">
        <v>2751</v>
      </c>
      <c r="O49" s="97">
        <v>2871</v>
      </c>
      <c r="P49" s="97">
        <v>2627</v>
      </c>
      <c r="Q49" s="97">
        <v>2697</v>
      </c>
      <c r="R49" s="97">
        <v>2725</v>
      </c>
      <c r="S49" s="98">
        <f t="shared" si="4"/>
        <v>1.0381905821282844E-2</v>
      </c>
      <c r="T49" s="98">
        <f t="shared" si="5"/>
        <v>-9.4511086877498984E-3</v>
      </c>
      <c r="U49" s="97">
        <f t="shared" si="6"/>
        <v>28</v>
      </c>
      <c r="V49" s="97">
        <f t="shared" si="7"/>
        <v>-26</v>
      </c>
      <c r="W49" s="98">
        <f>R49/R48</f>
        <v>0.87536138772887895</v>
      </c>
    </row>
    <row r="50" spans="2:23" x14ac:dyDescent="0.25">
      <c r="B50" s="99" t="s">
        <v>63</v>
      </c>
      <c r="C50" s="53">
        <v>2465</v>
      </c>
      <c r="D50" s="53">
        <v>1643</v>
      </c>
      <c r="E50" s="53">
        <v>2193</v>
      </c>
      <c r="F50" s="53">
        <v>2189</v>
      </c>
      <c r="G50" s="53">
        <v>2050</v>
      </c>
      <c r="H50" s="53">
        <v>2053</v>
      </c>
      <c r="I50" s="100">
        <f t="shared" si="0"/>
        <v>1.4634146341463428E-3</v>
      </c>
      <c r="J50" s="100">
        <f t="shared" si="1"/>
        <v>0.24954351795496055</v>
      </c>
      <c r="K50" s="53">
        <f t="shared" si="2"/>
        <v>3</v>
      </c>
      <c r="L50" s="53">
        <f t="shared" si="3"/>
        <v>410</v>
      </c>
      <c r="M50" s="100">
        <f>H50/H48</f>
        <v>0.66311369509043927</v>
      </c>
      <c r="N50" s="53">
        <v>2165</v>
      </c>
      <c r="O50" s="53">
        <v>2047</v>
      </c>
      <c r="P50" s="53">
        <v>2013</v>
      </c>
      <c r="Q50" s="53">
        <v>2053</v>
      </c>
      <c r="R50" s="53">
        <v>2053</v>
      </c>
      <c r="S50" s="100">
        <f t="shared" si="4"/>
        <v>0</v>
      </c>
      <c r="T50" s="100">
        <f t="shared" si="5"/>
        <v>-5.1732101616628223E-2</v>
      </c>
      <c r="U50" s="53">
        <f t="shared" si="6"/>
        <v>0</v>
      </c>
      <c r="V50" s="53">
        <f t="shared" si="7"/>
        <v>-112</v>
      </c>
      <c r="W50" s="100">
        <f>R50/R48</f>
        <v>0.65949245101188569</v>
      </c>
    </row>
    <row r="51" spans="2:23" x14ac:dyDescent="0.25">
      <c r="B51" s="99" t="s">
        <v>64</v>
      </c>
      <c r="C51" s="53">
        <v>650</v>
      </c>
      <c r="D51" s="53">
        <v>422</v>
      </c>
      <c r="E51" s="53">
        <v>596</v>
      </c>
      <c r="F51" s="53">
        <v>819</v>
      </c>
      <c r="G51" s="53">
        <v>613</v>
      </c>
      <c r="H51" s="53">
        <v>657</v>
      </c>
      <c r="I51" s="100">
        <f t="shared" si="0"/>
        <v>7.1778140293637938E-2</v>
      </c>
      <c r="J51" s="100">
        <f t="shared" si="1"/>
        <v>0.55687203791469186</v>
      </c>
      <c r="K51" s="53">
        <f t="shared" si="2"/>
        <v>44</v>
      </c>
      <c r="L51" s="53">
        <f t="shared" si="3"/>
        <v>235</v>
      </c>
      <c r="M51" s="100">
        <f>H51/H48</f>
        <v>0.21220930232558138</v>
      </c>
      <c r="N51" s="53">
        <v>586</v>
      </c>
      <c r="O51" s="53">
        <v>824</v>
      </c>
      <c r="P51" s="53">
        <v>614</v>
      </c>
      <c r="Q51" s="53">
        <v>644</v>
      </c>
      <c r="R51" s="53">
        <v>672</v>
      </c>
      <c r="S51" s="100">
        <f t="shared" si="4"/>
        <v>4.3478260869565188E-2</v>
      </c>
      <c r="T51" s="100">
        <f t="shared" si="5"/>
        <v>0.14675767918088733</v>
      </c>
      <c r="U51" s="53">
        <f t="shared" si="6"/>
        <v>28</v>
      </c>
      <c r="V51" s="53">
        <f t="shared" si="7"/>
        <v>86</v>
      </c>
      <c r="W51" s="100">
        <f>R51/R48</f>
        <v>0.21586893671699325</v>
      </c>
    </row>
    <row r="52" spans="2:23" x14ac:dyDescent="0.25">
      <c r="B52" s="96" t="s">
        <v>65</v>
      </c>
      <c r="C52" s="97">
        <v>333</v>
      </c>
      <c r="D52" s="97">
        <v>460</v>
      </c>
      <c r="E52" s="97">
        <v>774</v>
      </c>
      <c r="F52" s="97">
        <v>904</v>
      </c>
      <c r="G52" s="97">
        <v>1110</v>
      </c>
      <c r="H52" s="97">
        <v>1086</v>
      </c>
      <c r="I52" s="98">
        <f t="shared" si="0"/>
        <v>-2.1621621621621623E-2</v>
      </c>
      <c r="J52" s="98">
        <f t="shared" si="1"/>
        <v>1.3608695652173912</v>
      </c>
      <c r="K52" s="97">
        <f t="shared" si="2"/>
        <v>-24</v>
      </c>
      <c r="L52" s="97">
        <f t="shared" si="3"/>
        <v>626</v>
      </c>
      <c r="M52" s="98">
        <f>H52/H48</f>
        <v>0.35077519379844962</v>
      </c>
      <c r="N52" s="97">
        <v>730</v>
      </c>
      <c r="O52" s="97">
        <v>904</v>
      </c>
      <c r="P52" s="97">
        <v>1114</v>
      </c>
      <c r="Q52" s="97">
        <v>1088</v>
      </c>
      <c r="R52" s="97">
        <v>1088</v>
      </c>
      <c r="S52" s="98">
        <f t="shared" si="4"/>
        <v>0</v>
      </c>
      <c r="T52" s="98">
        <f t="shared" si="5"/>
        <v>0.49041095890410968</v>
      </c>
      <c r="U52" s="97">
        <f t="shared" si="6"/>
        <v>0</v>
      </c>
      <c r="V52" s="97">
        <f t="shared" si="7"/>
        <v>358</v>
      </c>
      <c r="W52" s="98">
        <f>R52/R48</f>
        <v>0.3495020880179891</v>
      </c>
    </row>
    <row r="53" spans="2:23" ht="6.9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6"/>
      <c r="K53" s="104"/>
      <c r="L53" s="106"/>
      <c r="M53" s="106"/>
      <c r="N53" s="104"/>
      <c r="O53" s="104"/>
      <c r="P53" s="104"/>
      <c r="Q53" s="104"/>
      <c r="R53" s="106"/>
      <c r="S53" s="106"/>
      <c r="T53" s="106"/>
      <c r="U53" s="106"/>
      <c r="V53" s="106"/>
    </row>
    <row r="54" spans="2:23" ht="15" customHeight="1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</row>
  </sheetData>
  <mergeCells count="2">
    <mergeCell ref="C5:H5"/>
    <mergeCell ref="N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AF1A2-ACA4-431F-8FBD-ACF83736EAC5}">
  <sheetPr>
    <tabColor rgb="FF92D050"/>
  </sheetPr>
  <dimension ref="B1:S54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5.7109375" customWidth="1"/>
    <col min="3" max="8" width="9.85546875" customWidth="1"/>
    <col min="9" max="9" width="10.7109375" customWidth="1"/>
    <col min="10" max="10" width="9.28515625" customWidth="1"/>
    <col min="11" max="11" width="12.28515625" customWidth="1"/>
    <col min="12" max="16" width="11.5703125" customWidth="1"/>
    <col min="17" max="17" width="10.7109375" customWidth="1"/>
    <col min="18" max="18" width="9.85546875" customWidth="1"/>
    <col min="20" max="20" width="14.42578125" customWidth="1"/>
    <col min="21" max="22" width="7.85546875" customWidth="1"/>
    <col min="23" max="23" width="8.140625" customWidth="1"/>
    <col min="24" max="24" width="9" customWidth="1"/>
    <col min="25" max="26" width="9.42578125" customWidth="1"/>
  </cols>
  <sheetData>
    <row r="1" spans="2:19" ht="42.75" customHeight="1" x14ac:dyDescent="0.25"/>
    <row r="3" spans="2:19" ht="30.75" customHeight="1" thickBot="1" x14ac:dyDescent="0.3">
      <c r="B3" s="84" t="str">
        <f>CONCATENATE("Establecimientos alojativos en funcionamiento en Tenerife y municipios")</f>
        <v>Establecimientos alojativos en funcionamiento en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2:19" ht="6.95" customHeight="1" x14ac:dyDescent="0.25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5"/>
      <c r="P4" s="86"/>
      <c r="Q4" s="86"/>
      <c r="R4" s="86"/>
      <c r="S4" s="86"/>
    </row>
    <row r="5" spans="2:19" ht="15.75" thickBot="1" x14ac:dyDescent="0.3">
      <c r="B5" s="87"/>
      <c r="C5" s="301" t="s">
        <v>66</v>
      </c>
      <c r="D5" s="301"/>
      <c r="E5" s="301"/>
      <c r="F5" s="301"/>
      <c r="G5" s="301"/>
      <c r="H5" s="301"/>
      <c r="I5" s="88"/>
      <c r="J5" s="88"/>
      <c r="K5" s="89"/>
      <c r="L5" s="302" t="s">
        <v>67</v>
      </c>
      <c r="M5" s="302"/>
      <c r="N5" s="302"/>
      <c r="O5" s="302"/>
      <c r="P5" s="302"/>
      <c r="Q5" s="88"/>
      <c r="R5" s="88"/>
      <c r="S5" s="89"/>
    </row>
    <row r="6" spans="2:19" ht="59.25" customHeight="1" x14ac:dyDescent="0.25">
      <c r="B6" s="90"/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91" t="str">
        <f>CONCATENATE("var. ",RIGHT(H6,2),"/",RIGHT(G6,2))</f>
        <v>var. 24/23</v>
      </c>
      <c r="J6" s="91" t="str">
        <f>CONCATENATE("dif. ",RIGHT(H6,2),"/",RIGHT(G6,2))</f>
        <v>dif. 24/23</v>
      </c>
      <c r="K6" s="14" t="str">
        <f>CONCATENATE("cuota/ total isla ",RIGHT(H6,2))</f>
        <v>cuota/ total isla 24</v>
      </c>
      <c r="L6" s="92" t="s">
        <v>224</v>
      </c>
      <c r="M6" s="92" t="s">
        <v>225</v>
      </c>
      <c r="N6" s="92" t="s">
        <v>226</v>
      </c>
      <c r="O6" s="92" t="s">
        <v>227</v>
      </c>
      <c r="P6" s="92" t="s">
        <v>228</v>
      </c>
      <c r="Q6" s="91" t="str">
        <f>CONCATENATE("var. ",RIGHT(P6,2),"/",RIGHT(O6,2))</f>
        <v>var. 25/24</v>
      </c>
      <c r="R6" s="91" t="str">
        <f>CONCATENATE("dif. ",RIGHT(P6,2),"/",RIGHT(O6,2))</f>
        <v>dif. 25/24</v>
      </c>
      <c r="S6" s="89" t="str">
        <f>CONCATENATE("cuota/ total isla ",RIGHT(P6,2))</f>
        <v>cuota/ total isla 25</v>
      </c>
    </row>
    <row r="7" spans="2:19" x14ac:dyDescent="0.25">
      <c r="B7" s="93" t="s">
        <v>45</v>
      </c>
      <c r="C7" s="94">
        <v>388</v>
      </c>
      <c r="D7" s="94">
        <v>173</v>
      </c>
      <c r="E7" s="94">
        <v>195</v>
      </c>
      <c r="F7" s="94">
        <v>293</v>
      </c>
      <c r="G7" s="94">
        <v>308</v>
      </c>
      <c r="H7" s="94">
        <v>321</v>
      </c>
      <c r="I7" s="95">
        <f>IFERROR(H7/G7-1,"-")</f>
        <v>4.2207792207792139E-2</v>
      </c>
      <c r="J7" s="94">
        <f>IFERROR(H7-G7,"-")</f>
        <v>13</v>
      </c>
      <c r="K7" s="95">
        <f>H7/H7</f>
        <v>1</v>
      </c>
      <c r="L7" s="94">
        <v>179</v>
      </c>
      <c r="M7" s="94">
        <v>294</v>
      </c>
      <c r="N7" s="94">
        <v>302</v>
      </c>
      <c r="O7" s="94">
        <v>318</v>
      </c>
      <c r="P7" s="94">
        <v>320</v>
      </c>
      <c r="Q7" s="95">
        <f t="shared" ref="Q7:Q52" si="0">IFERROR(P7/O7-1,"-")</f>
        <v>6.2893081761006275E-3</v>
      </c>
      <c r="R7" s="94">
        <f t="shared" ref="R7:R52" si="1">IFERROR(P7-O7,"-")</f>
        <v>2</v>
      </c>
      <c r="S7" s="95">
        <f>P7/P7</f>
        <v>1</v>
      </c>
    </row>
    <row r="8" spans="2:19" x14ac:dyDescent="0.25">
      <c r="B8" s="96" t="s">
        <v>62</v>
      </c>
      <c r="C8" s="97">
        <v>230</v>
      </c>
      <c r="D8" s="97">
        <v>104</v>
      </c>
      <c r="E8" s="97">
        <v>124</v>
      </c>
      <c r="F8" s="97">
        <v>194</v>
      </c>
      <c r="G8" s="97">
        <v>199</v>
      </c>
      <c r="H8" s="97">
        <v>210</v>
      </c>
      <c r="I8" s="98">
        <f t="shared" ref="I8:I52" si="2">IFERROR(H8/G8-1,"-")</f>
        <v>5.5276381909547645E-2</v>
      </c>
      <c r="J8" s="97">
        <f t="shared" ref="J8:J52" si="3">IFERROR(H8-G8,"-")</f>
        <v>11</v>
      </c>
      <c r="K8" s="98">
        <f>H8/H7</f>
        <v>0.65420560747663548</v>
      </c>
      <c r="L8" s="97">
        <v>112</v>
      </c>
      <c r="M8" s="97">
        <v>195</v>
      </c>
      <c r="N8" s="97">
        <v>194</v>
      </c>
      <c r="O8" s="97">
        <v>207</v>
      </c>
      <c r="P8" s="97">
        <v>207</v>
      </c>
      <c r="Q8" s="98">
        <f t="shared" si="0"/>
        <v>0</v>
      </c>
      <c r="R8" s="97">
        <f t="shared" si="1"/>
        <v>0</v>
      </c>
      <c r="S8" s="98">
        <f>P8/P7</f>
        <v>0.64687499999999998</v>
      </c>
    </row>
    <row r="9" spans="2:19" x14ac:dyDescent="0.25">
      <c r="B9" s="99" t="s">
        <v>63</v>
      </c>
      <c r="C9" s="53">
        <v>124</v>
      </c>
      <c r="D9" s="53">
        <v>63</v>
      </c>
      <c r="E9" s="53">
        <v>84</v>
      </c>
      <c r="F9" s="53">
        <v>128</v>
      </c>
      <c r="G9" s="53">
        <v>131</v>
      </c>
      <c r="H9" s="53">
        <v>136</v>
      </c>
      <c r="I9" s="100">
        <f t="shared" si="2"/>
        <v>3.8167938931297662E-2</v>
      </c>
      <c r="J9" s="53">
        <f t="shared" si="3"/>
        <v>5</v>
      </c>
      <c r="K9" s="100">
        <f>H9/H7</f>
        <v>0.42367601246105918</v>
      </c>
      <c r="L9" s="53">
        <v>76</v>
      </c>
      <c r="M9" s="53">
        <v>129</v>
      </c>
      <c r="N9" s="53">
        <v>129</v>
      </c>
      <c r="O9" s="53">
        <v>135</v>
      </c>
      <c r="P9" s="53">
        <v>133</v>
      </c>
      <c r="Q9" s="100">
        <f t="shared" si="0"/>
        <v>-1.4814814814814836E-2</v>
      </c>
      <c r="R9" s="53">
        <f t="shared" si="1"/>
        <v>-2</v>
      </c>
      <c r="S9" s="100">
        <f>P9/P7</f>
        <v>0.41562500000000002</v>
      </c>
    </row>
    <row r="10" spans="2:19" x14ac:dyDescent="0.25">
      <c r="B10" s="99" t="s">
        <v>64</v>
      </c>
      <c r="C10" s="53">
        <v>107</v>
      </c>
      <c r="D10" s="53">
        <v>41</v>
      </c>
      <c r="E10" s="53">
        <v>40</v>
      </c>
      <c r="F10" s="53">
        <v>65</v>
      </c>
      <c r="G10" s="53">
        <v>68</v>
      </c>
      <c r="H10" s="53">
        <v>74</v>
      </c>
      <c r="I10" s="100">
        <f t="shared" si="2"/>
        <v>8.8235294117646967E-2</v>
      </c>
      <c r="J10" s="53">
        <f t="shared" si="3"/>
        <v>6</v>
      </c>
      <c r="K10" s="100">
        <f>H10/H7</f>
        <v>0.23052959501557632</v>
      </c>
      <c r="L10" s="53">
        <v>36</v>
      </c>
      <c r="M10" s="53">
        <v>66</v>
      </c>
      <c r="N10" s="53">
        <v>65</v>
      </c>
      <c r="O10" s="53">
        <v>72</v>
      </c>
      <c r="P10" s="53">
        <v>74</v>
      </c>
      <c r="Q10" s="100">
        <f t="shared" si="0"/>
        <v>2.7777777777777679E-2</v>
      </c>
      <c r="R10" s="53">
        <f t="shared" si="1"/>
        <v>2</v>
      </c>
      <c r="S10" s="100">
        <f>P10/P7</f>
        <v>0.23125000000000001</v>
      </c>
    </row>
    <row r="11" spans="2:19" x14ac:dyDescent="0.25">
      <c r="B11" s="96" t="s">
        <v>65</v>
      </c>
      <c r="C11" s="97">
        <v>158</v>
      </c>
      <c r="D11" s="97">
        <v>70</v>
      </c>
      <c r="E11" s="97">
        <v>71</v>
      </c>
      <c r="F11" s="97">
        <v>100</v>
      </c>
      <c r="G11" s="97">
        <v>109</v>
      </c>
      <c r="H11" s="97">
        <v>111</v>
      </c>
      <c r="I11" s="98">
        <f t="shared" si="2"/>
        <v>1.8348623853210899E-2</v>
      </c>
      <c r="J11" s="97">
        <f t="shared" si="3"/>
        <v>2</v>
      </c>
      <c r="K11" s="98">
        <f>H11/H7</f>
        <v>0.34579439252336447</v>
      </c>
      <c r="L11" s="97">
        <v>67</v>
      </c>
      <c r="M11" s="97">
        <v>99</v>
      </c>
      <c r="N11" s="97">
        <v>108</v>
      </c>
      <c r="O11" s="97">
        <v>111</v>
      </c>
      <c r="P11" s="97">
        <v>113</v>
      </c>
      <c r="Q11" s="98">
        <f t="shared" si="0"/>
        <v>1.8018018018018056E-2</v>
      </c>
      <c r="R11" s="97">
        <f t="shared" si="1"/>
        <v>2</v>
      </c>
      <c r="S11" s="98">
        <f>P11/P7</f>
        <v>0.35312500000000002</v>
      </c>
    </row>
    <row r="12" spans="2:19" x14ac:dyDescent="0.25">
      <c r="B12" s="93" t="s">
        <v>46</v>
      </c>
      <c r="C12" s="101">
        <v>100</v>
      </c>
      <c r="D12" s="101">
        <v>49</v>
      </c>
      <c r="E12" s="101">
        <v>57</v>
      </c>
      <c r="F12" s="101">
        <v>84</v>
      </c>
      <c r="G12" s="101">
        <v>90</v>
      </c>
      <c r="H12" s="101">
        <v>94</v>
      </c>
      <c r="I12" s="102">
        <f t="shared" si="2"/>
        <v>4.4444444444444509E-2</v>
      </c>
      <c r="J12" s="101">
        <f t="shared" si="3"/>
        <v>4</v>
      </c>
      <c r="K12" s="95">
        <f>H12/H12</f>
        <v>1</v>
      </c>
      <c r="L12" s="101">
        <v>56</v>
      </c>
      <c r="M12" s="101">
        <v>85</v>
      </c>
      <c r="N12" s="101">
        <v>90</v>
      </c>
      <c r="O12" s="101">
        <v>93</v>
      </c>
      <c r="P12" s="101">
        <v>90</v>
      </c>
      <c r="Q12" s="102">
        <f t="shared" si="0"/>
        <v>-3.2258064516129004E-2</v>
      </c>
      <c r="R12" s="101">
        <f t="shared" si="1"/>
        <v>-3</v>
      </c>
      <c r="S12" s="95">
        <f>P12/P12</f>
        <v>1</v>
      </c>
    </row>
    <row r="13" spans="2:19" ht="15" customHeight="1" x14ac:dyDescent="0.25">
      <c r="B13" s="96" t="s">
        <v>62</v>
      </c>
      <c r="C13" s="97">
        <v>62</v>
      </c>
      <c r="D13" s="97">
        <v>31</v>
      </c>
      <c r="E13" s="97">
        <v>40</v>
      </c>
      <c r="F13" s="97">
        <v>60</v>
      </c>
      <c r="G13" s="97">
        <v>62</v>
      </c>
      <c r="H13" s="97">
        <v>63</v>
      </c>
      <c r="I13" s="98">
        <f t="shared" si="2"/>
        <v>1.6129032258064502E-2</v>
      </c>
      <c r="J13" s="97">
        <f t="shared" si="3"/>
        <v>1</v>
      </c>
      <c r="K13" s="98">
        <f>H13/H12</f>
        <v>0.67021276595744683</v>
      </c>
      <c r="L13" s="97">
        <v>38</v>
      </c>
      <c r="M13" s="97">
        <v>61</v>
      </c>
      <c r="N13" s="97">
        <v>61</v>
      </c>
      <c r="O13" s="97">
        <v>61</v>
      </c>
      <c r="P13" s="97">
        <v>58</v>
      </c>
      <c r="Q13" s="98">
        <f t="shared" si="0"/>
        <v>-4.9180327868852514E-2</v>
      </c>
      <c r="R13" s="97">
        <f t="shared" si="1"/>
        <v>-3</v>
      </c>
      <c r="S13" s="98">
        <f>P13/P12</f>
        <v>0.64444444444444449</v>
      </c>
    </row>
    <row r="14" spans="2:19" x14ac:dyDescent="0.25">
      <c r="B14" s="99" t="s">
        <v>63</v>
      </c>
      <c r="C14" s="53">
        <v>44</v>
      </c>
      <c r="D14" s="53">
        <v>25</v>
      </c>
      <c r="E14" s="53">
        <v>33</v>
      </c>
      <c r="F14" s="53">
        <v>48</v>
      </c>
      <c r="G14" s="53">
        <v>50</v>
      </c>
      <c r="H14" s="53">
        <v>52</v>
      </c>
      <c r="I14" s="100">
        <f t="shared" si="2"/>
        <v>4.0000000000000036E-2</v>
      </c>
      <c r="J14" s="53">
        <f t="shared" si="3"/>
        <v>2</v>
      </c>
      <c r="K14" s="100">
        <f>H14/H12</f>
        <v>0.55319148936170215</v>
      </c>
      <c r="L14" s="53">
        <v>33</v>
      </c>
      <c r="M14" s="53">
        <v>49</v>
      </c>
      <c r="N14" s="53">
        <v>50</v>
      </c>
      <c r="O14" s="53">
        <v>51</v>
      </c>
      <c r="P14" s="53">
        <v>47</v>
      </c>
      <c r="Q14" s="100">
        <f t="shared" si="0"/>
        <v>-7.8431372549019662E-2</v>
      </c>
      <c r="R14" s="53">
        <f t="shared" si="1"/>
        <v>-4</v>
      </c>
      <c r="S14" s="100">
        <f>P14/P12</f>
        <v>0.52222222222222225</v>
      </c>
    </row>
    <row r="15" spans="2:19" x14ac:dyDescent="0.25">
      <c r="B15" s="99" t="s">
        <v>64</v>
      </c>
      <c r="C15" s="53">
        <v>18</v>
      </c>
      <c r="D15" s="53">
        <v>6</v>
      </c>
      <c r="E15" s="53">
        <v>7</v>
      </c>
      <c r="F15" s="53">
        <v>12</v>
      </c>
      <c r="G15" s="53">
        <v>11</v>
      </c>
      <c r="H15" s="53">
        <v>11</v>
      </c>
      <c r="I15" s="100">
        <f t="shared" si="2"/>
        <v>0</v>
      </c>
      <c r="J15" s="53">
        <f t="shared" si="3"/>
        <v>0</v>
      </c>
      <c r="K15" s="100">
        <f>H15/H12</f>
        <v>0.11702127659574468</v>
      </c>
      <c r="L15" s="53">
        <v>5</v>
      </c>
      <c r="M15" s="53">
        <v>12</v>
      </c>
      <c r="N15" s="53">
        <v>11</v>
      </c>
      <c r="O15" s="53">
        <v>10</v>
      </c>
      <c r="P15" s="53">
        <v>11</v>
      </c>
      <c r="Q15" s="100">
        <f t="shared" si="0"/>
        <v>0.10000000000000009</v>
      </c>
      <c r="R15" s="53">
        <f t="shared" si="1"/>
        <v>1</v>
      </c>
      <c r="S15" s="100">
        <f>P15/P12</f>
        <v>0.12222222222222222</v>
      </c>
    </row>
    <row r="16" spans="2:19" x14ac:dyDescent="0.25">
      <c r="B16" s="96" t="s">
        <v>65</v>
      </c>
      <c r="C16" s="97">
        <v>38</v>
      </c>
      <c r="D16" s="97">
        <v>18</v>
      </c>
      <c r="E16" s="97">
        <v>17</v>
      </c>
      <c r="F16" s="97">
        <v>24</v>
      </c>
      <c r="G16" s="97">
        <v>29</v>
      </c>
      <c r="H16" s="97">
        <v>31</v>
      </c>
      <c r="I16" s="98">
        <f t="shared" si="2"/>
        <v>6.8965517241379226E-2</v>
      </c>
      <c r="J16" s="97">
        <f t="shared" si="3"/>
        <v>2</v>
      </c>
      <c r="K16" s="98">
        <f>H16/H12</f>
        <v>0.32978723404255317</v>
      </c>
      <c r="L16" s="97">
        <v>18</v>
      </c>
      <c r="M16" s="97">
        <v>24</v>
      </c>
      <c r="N16" s="97">
        <v>29</v>
      </c>
      <c r="O16" s="97">
        <v>32</v>
      </c>
      <c r="P16" s="97">
        <v>32</v>
      </c>
      <c r="Q16" s="98">
        <f t="shared" si="0"/>
        <v>0</v>
      </c>
      <c r="R16" s="97">
        <f t="shared" si="1"/>
        <v>0</v>
      </c>
      <c r="S16" s="98">
        <f>P16/P12</f>
        <v>0.35555555555555557</v>
      </c>
    </row>
    <row r="17" spans="2:19" x14ac:dyDescent="0.25">
      <c r="B17" s="93" t="s">
        <v>51</v>
      </c>
      <c r="C17" s="101">
        <v>9</v>
      </c>
      <c r="D17" s="101">
        <v>4</v>
      </c>
      <c r="E17" s="101">
        <v>3</v>
      </c>
      <c r="F17" s="101">
        <v>5</v>
      </c>
      <c r="G17" s="101">
        <v>5</v>
      </c>
      <c r="H17" s="101">
        <v>6</v>
      </c>
      <c r="I17" s="102">
        <f t="shared" si="2"/>
        <v>0.19999999999999996</v>
      </c>
      <c r="J17" s="101">
        <f t="shared" si="3"/>
        <v>1</v>
      </c>
      <c r="K17" s="95">
        <f>H17/H17</f>
        <v>1</v>
      </c>
      <c r="L17" s="101">
        <v>3</v>
      </c>
      <c r="M17" s="101">
        <v>5</v>
      </c>
      <c r="N17" s="101">
        <v>5</v>
      </c>
      <c r="O17" s="101">
        <v>6</v>
      </c>
      <c r="P17" s="101">
        <v>6</v>
      </c>
      <c r="Q17" s="102">
        <f t="shared" si="0"/>
        <v>0</v>
      </c>
      <c r="R17" s="101">
        <f t="shared" si="1"/>
        <v>0</v>
      </c>
      <c r="S17" s="95">
        <f>P17/P17</f>
        <v>1</v>
      </c>
    </row>
    <row r="18" spans="2:19" x14ac:dyDescent="0.25">
      <c r="B18" s="96" t="s">
        <v>62</v>
      </c>
      <c r="C18" s="97">
        <v>9</v>
      </c>
      <c r="D18" s="97">
        <v>4</v>
      </c>
      <c r="E18" s="97">
        <v>3</v>
      </c>
      <c r="F18" s="97">
        <v>5</v>
      </c>
      <c r="G18" s="97">
        <v>5</v>
      </c>
      <c r="H18" s="97">
        <v>6</v>
      </c>
      <c r="I18" s="98">
        <f t="shared" si="2"/>
        <v>0.19999999999999996</v>
      </c>
      <c r="J18" s="97">
        <f t="shared" si="3"/>
        <v>1</v>
      </c>
      <c r="K18" s="98">
        <f>H18/H17</f>
        <v>1</v>
      </c>
      <c r="L18" s="97">
        <v>3</v>
      </c>
      <c r="M18" s="97">
        <v>5</v>
      </c>
      <c r="N18" s="97">
        <v>5</v>
      </c>
      <c r="O18" s="97">
        <v>6</v>
      </c>
      <c r="P18" s="97">
        <v>6</v>
      </c>
      <c r="Q18" s="98">
        <f t="shared" si="0"/>
        <v>0</v>
      </c>
      <c r="R18" s="97">
        <f t="shared" si="1"/>
        <v>0</v>
      </c>
      <c r="S18" s="98">
        <f>P18/P17</f>
        <v>1</v>
      </c>
    </row>
    <row r="19" spans="2:19" x14ac:dyDescent="0.25">
      <c r="B19" s="99" t="s">
        <v>63</v>
      </c>
      <c r="C19" s="53">
        <v>4</v>
      </c>
      <c r="D19" s="53">
        <v>0</v>
      </c>
      <c r="E19" s="53">
        <v>0</v>
      </c>
      <c r="F19" s="53">
        <v>3</v>
      </c>
      <c r="G19" s="53">
        <v>3</v>
      </c>
      <c r="H19" s="53">
        <v>3</v>
      </c>
      <c r="I19" s="100">
        <f t="shared" si="2"/>
        <v>0</v>
      </c>
      <c r="J19" s="53">
        <f t="shared" si="3"/>
        <v>0</v>
      </c>
      <c r="K19" s="100">
        <f>H19/H17</f>
        <v>0.5</v>
      </c>
      <c r="L19" s="53">
        <v>0</v>
      </c>
      <c r="M19" s="53">
        <v>3</v>
      </c>
      <c r="N19" s="53">
        <v>3</v>
      </c>
      <c r="O19" s="53">
        <v>3</v>
      </c>
      <c r="P19" s="53">
        <v>3</v>
      </c>
      <c r="Q19" s="100">
        <f t="shared" si="0"/>
        <v>0</v>
      </c>
      <c r="R19" s="53">
        <f t="shared" si="1"/>
        <v>0</v>
      </c>
      <c r="S19" s="100">
        <f>P19/P17</f>
        <v>0.5</v>
      </c>
    </row>
    <row r="20" spans="2:19" x14ac:dyDescent="0.25">
      <c r="B20" s="99" t="s">
        <v>64</v>
      </c>
      <c r="C20" s="53">
        <v>5</v>
      </c>
      <c r="D20" s="53">
        <v>0</v>
      </c>
      <c r="E20" s="53">
        <v>0</v>
      </c>
      <c r="F20" s="53">
        <v>2</v>
      </c>
      <c r="G20" s="53">
        <v>2</v>
      </c>
      <c r="H20" s="53">
        <v>3</v>
      </c>
      <c r="I20" s="100">
        <f t="shared" si="2"/>
        <v>0.5</v>
      </c>
      <c r="J20" s="53">
        <f t="shared" si="3"/>
        <v>1</v>
      </c>
      <c r="K20" s="100">
        <f>H20/H17</f>
        <v>0.5</v>
      </c>
      <c r="L20" s="53">
        <v>0</v>
      </c>
      <c r="M20" s="53">
        <v>2</v>
      </c>
      <c r="N20" s="53">
        <v>2</v>
      </c>
      <c r="O20" s="53">
        <v>3</v>
      </c>
      <c r="P20" s="53">
        <v>3</v>
      </c>
      <c r="Q20" s="100">
        <f t="shared" si="0"/>
        <v>0</v>
      </c>
      <c r="R20" s="53">
        <f t="shared" si="1"/>
        <v>0</v>
      </c>
      <c r="S20" s="100">
        <f>P20/P17</f>
        <v>0.5</v>
      </c>
    </row>
    <row r="21" spans="2:19" x14ac:dyDescent="0.25">
      <c r="B21" s="96" t="s">
        <v>65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8" t="str">
        <f t="shared" si="2"/>
        <v>-</v>
      </c>
      <c r="J21" s="97">
        <f t="shared" si="3"/>
        <v>0</v>
      </c>
      <c r="K21" s="98">
        <f>H21/H17</f>
        <v>0</v>
      </c>
      <c r="L21" s="97" t="s">
        <v>229</v>
      </c>
      <c r="M21" s="97" t="s">
        <v>229</v>
      </c>
      <c r="N21" s="97" t="s">
        <v>229</v>
      </c>
      <c r="O21" s="97" t="s">
        <v>229</v>
      </c>
      <c r="P21" s="97" t="s">
        <v>229</v>
      </c>
      <c r="Q21" s="98" t="str">
        <f t="shared" si="0"/>
        <v>-</v>
      </c>
      <c r="R21" s="97" t="str">
        <f t="shared" si="1"/>
        <v>-</v>
      </c>
      <c r="S21" s="98" t="e">
        <f>P21/P17</f>
        <v>#VALUE!</v>
      </c>
    </row>
    <row r="22" spans="2:19" x14ac:dyDescent="0.25">
      <c r="B22" s="93" t="s">
        <v>48</v>
      </c>
      <c r="C22" s="101">
        <v>13</v>
      </c>
      <c r="D22" s="101">
        <v>4</v>
      </c>
      <c r="E22" s="101">
        <v>4</v>
      </c>
      <c r="F22" s="101">
        <v>5</v>
      </c>
      <c r="G22" s="101">
        <v>7</v>
      </c>
      <c r="H22" s="101">
        <v>7</v>
      </c>
      <c r="I22" s="102">
        <f t="shared" si="2"/>
        <v>0</v>
      </c>
      <c r="J22" s="101">
        <f t="shared" si="3"/>
        <v>0</v>
      </c>
      <c r="K22" s="102">
        <f>H22/H22</f>
        <v>1</v>
      </c>
      <c r="L22" s="101">
        <v>4</v>
      </c>
      <c r="M22" s="101">
        <v>5</v>
      </c>
      <c r="N22" s="101">
        <v>7</v>
      </c>
      <c r="O22" s="101">
        <v>6</v>
      </c>
      <c r="P22" s="101">
        <v>8</v>
      </c>
      <c r="Q22" s="102">
        <f t="shared" si="0"/>
        <v>0.33333333333333326</v>
      </c>
      <c r="R22" s="101">
        <f t="shared" si="1"/>
        <v>2</v>
      </c>
      <c r="S22" s="102">
        <f>P22/P22</f>
        <v>1</v>
      </c>
    </row>
    <row r="23" spans="2:19" x14ac:dyDescent="0.25">
      <c r="B23" s="96" t="s">
        <v>62</v>
      </c>
      <c r="C23" s="97">
        <v>7</v>
      </c>
      <c r="D23" s="97">
        <v>3</v>
      </c>
      <c r="E23" s="97">
        <v>4</v>
      </c>
      <c r="F23" s="97">
        <v>5</v>
      </c>
      <c r="G23" s="97">
        <v>6</v>
      </c>
      <c r="H23" s="97">
        <v>6</v>
      </c>
      <c r="I23" s="98">
        <f t="shared" si="2"/>
        <v>0</v>
      </c>
      <c r="J23" s="97">
        <f t="shared" si="3"/>
        <v>0</v>
      </c>
      <c r="K23" s="98">
        <f>H23/H22</f>
        <v>0.8571428571428571</v>
      </c>
      <c r="L23" s="97">
        <v>4</v>
      </c>
      <c r="M23" s="97">
        <v>5</v>
      </c>
      <c r="N23" s="97">
        <v>6</v>
      </c>
      <c r="O23" s="97">
        <v>5</v>
      </c>
      <c r="P23" s="97">
        <v>6</v>
      </c>
      <c r="Q23" s="98">
        <f t="shared" si="0"/>
        <v>0.19999999999999996</v>
      </c>
      <c r="R23" s="97">
        <f t="shared" si="1"/>
        <v>1</v>
      </c>
      <c r="S23" s="98">
        <f>P23/P22</f>
        <v>0.75</v>
      </c>
    </row>
    <row r="24" spans="2:19" x14ac:dyDescent="0.25">
      <c r="B24" s="96" t="s">
        <v>65</v>
      </c>
      <c r="C24" s="97">
        <v>6</v>
      </c>
      <c r="D24" s="97">
        <v>1</v>
      </c>
      <c r="E24" s="97">
        <v>0</v>
      </c>
      <c r="F24" s="97">
        <v>0</v>
      </c>
      <c r="G24" s="97">
        <v>0</v>
      </c>
      <c r="H24" s="97">
        <v>0</v>
      </c>
      <c r="I24" s="98" t="str">
        <f t="shared" si="2"/>
        <v>-</v>
      </c>
      <c r="J24" s="97">
        <f t="shared" si="3"/>
        <v>0</v>
      </c>
      <c r="K24" s="98">
        <f>H24/H22</f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8" t="str">
        <f t="shared" si="0"/>
        <v>-</v>
      </c>
      <c r="R24" s="97">
        <f t="shared" si="1"/>
        <v>0</v>
      </c>
      <c r="S24" s="98">
        <f>P24/P22</f>
        <v>0</v>
      </c>
    </row>
    <row r="25" spans="2:19" x14ac:dyDescent="0.25">
      <c r="B25" s="93" t="s">
        <v>49</v>
      </c>
      <c r="C25" s="101">
        <v>6</v>
      </c>
      <c r="D25" s="101">
        <v>3</v>
      </c>
      <c r="E25" s="101">
        <v>4</v>
      </c>
      <c r="F25" s="101">
        <v>5</v>
      </c>
      <c r="G25" s="101">
        <v>4</v>
      </c>
      <c r="H25" s="101">
        <v>5</v>
      </c>
      <c r="I25" s="102">
        <f t="shared" si="2"/>
        <v>0.25</v>
      </c>
      <c r="J25" s="101">
        <f t="shared" si="3"/>
        <v>1</v>
      </c>
      <c r="K25" s="95">
        <f>H25/H25</f>
        <v>1</v>
      </c>
      <c r="L25" s="101">
        <v>3</v>
      </c>
      <c r="M25" s="101">
        <v>5</v>
      </c>
      <c r="N25" s="101">
        <v>4</v>
      </c>
      <c r="O25" s="101">
        <v>5</v>
      </c>
      <c r="P25" s="101">
        <v>6</v>
      </c>
      <c r="Q25" s="102">
        <f t="shared" si="0"/>
        <v>0.19999999999999996</v>
      </c>
      <c r="R25" s="101">
        <f t="shared" si="1"/>
        <v>1</v>
      </c>
      <c r="S25" s="95">
        <f>P25/P25</f>
        <v>1</v>
      </c>
    </row>
    <row r="26" spans="2:19" x14ac:dyDescent="0.25">
      <c r="B26" s="96" t="s">
        <v>62</v>
      </c>
      <c r="C26" s="97">
        <v>5</v>
      </c>
      <c r="D26" s="97">
        <v>2</v>
      </c>
      <c r="E26" s="97">
        <v>3</v>
      </c>
      <c r="F26" s="97">
        <v>4</v>
      </c>
      <c r="G26" s="97">
        <v>3</v>
      </c>
      <c r="H26" s="97">
        <v>4</v>
      </c>
      <c r="I26" s="98">
        <f t="shared" si="2"/>
        <v>0.33333333333333326</v>
      </c>
      <c r="J26" s="97">
        <f t="shared" si="3"/>
        <v>1</v>
      </c>
      <c r="K26" s="98">
        <f>H26/H25</f>
        <v>0.8</v>
      </c>
      <c r="L26" s="97">
        <v>2</v>
      </c>
      <c r="M26" s="97">
        <v>4</v>
      </c>
      <c r="N26" s="97">
        <v>3</v>
      </c>
      <c r="O26" s="97">
        <v>4</v>
      </c>
      <c r="P26" s="97">
        <v>5</v>
      </c>
      <c r="Q26" s="98">
        <f t="shared" si="0"/>
        <v>0.25</v>
      </c>
      <c r="R26" s="97">
        <f t="shared" si="1"/>
        <v>1</v>
      </c>
      <c r="S26" s="98">
        <f>P26/P25</f>
        <v>0.83333333333333337</v>
      </c>
    </row>
    <row r="27" spans="2:19" x14ac:dyDescent="0.25">
      <c r="B27" s="99" t="s">
        <v>63</v>
      </c>
      <c r="C27" s="53">
        <v>3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100" t="str">
        <f t="shared" si="2"/>
        <v>-</v>
      </c>
      <c r="J27" s="53">
        <f t="shared" si="3"/>
        <v>0</v>
      </c>
      <c r="K27" s="100">
        <f>H27/H25</f>
        <v>0</v>
      </c>
      <c r="L27" s="53">
        <v>2</v>
      </c>
      <c r="M27" s="53">
        <v>0</v>
      </c>
      <c r="N27" s="53">
        <v>3</v>
      </c>
      <c r="O27" s="53">
        <v>0</v>
      </c>
      <c r="P27" s="53">
        <v>0</v>
      </c>
      <c r="Q27" s="100" t="str">
        <f t="shared" si="0"/>
        <v>-</v>
      </c>
      <c r="R27" s="53">
        <f t="shared" si="1"/>
        <v>0</v>
      </c>
      <c r="S27" s="100">
        <f>P27/P25</f>
        <v>0</v>
      </c>
    </row>
    <row r="28" spans="2:19" x14ac:dyDescent="0.25">
      <c r="B28" s="99" t="s">
        <v>64</v>
      </c>
      <c r="C28" s="53">
        <v>2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>H28/H25</f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100" t="str">
        <f t="shared" si="0"/>
        <v>-</v>
      </c>
      <c r="R28" s="53">
        <f t="shared" si="1"/>
        <v>0</v>
      </c>
      <c r="S28" s="100">
        <f>P28/P25</f>
        <v>0</v>
      </c>
    </row>
    <row r="29" spans="2:19" x14ac:dyDescent="0.25">
      <c r="B29" s="93" t="s">
        <v>50</v>
      </c>
      <c r="C29" s="101">
        <v>78</v>
      </c>
      <c r="D29" s="101">
        <v>33</v>
      </c>
      <c r="E29" s="101">
        <v>37</v>
      </c>
      <c r="F29" s="101">
        <v>59</v>
      </c>
      <c r="G29" s="101">
        <v>62</v>
      </c>
      <c r="H29" s="101">
        <v>64</v>
      </c>
      <c r="I29" s="102">
        <f t="shared" si="2"/>
        <v>3.2258064516129004E-2</v>
      </c>
      <c r="J29" s="101">
        <f t="shared" si="3"/>
        <v>2</v>
      </c>
      <c r="K29" s="95">
        <f>H29/H29</f>
        <v>1</v>
      </c>
      <c r="L29" s="101">
        <v>33</v>
      </c>
      <c r="M29" s="101">
        <v>59</v>
      </c>
      <c r="N29" s="101">
        <v>61</v>
      </c>
      <c r="O29" s="101">
        <v>64</v>
      </c>
      <c r="P29" s="101">
        <v>64</v>
      </c>
      <c r="Q29" s="102">
        <f t="shared" si="0"/>
        <v>0</v>
      </c>
      <c r="R29" s="101">
        <f t="shared" si="1"/>
        <v>0</v>
      </c>
      <c r="S29" s="95">
        <f>P29/P29</f>
        <v>1</v>
      </c>
    </row>
    <row r="30" spans="2:19" x14ac:dyDescent="0.25">
      <c r="B30" s="96" t="s">
        <v>62</v>
      </c>
      <c r="C30" s="97">
        <v>54</v>
      </c>
      <c r="D30" s="97">
        <v>21</v>
      </c>
      <c r="E30" s="97">
        <v>25</v>
      </c>
      <c r="F30" s="97">
        <v>41</v>
      </c>
      <c r="G30" s="97">
        <v>43</v>
      </c>
      <c r="H30" s="97">
        <v>45</v>
      </c>
      <c r="I30" s="98">
        <f t="shared" si="2"/>
        <v>4.6511627906976827E-2</v>
      </c>
      <c r="J30" s="97">
        <f t="shared" si="3"/>
        <v>2</v>
      </c>
      <c r="K30" s="98">
        <f>H30/H29</f>
        <v>0.703125</v>
      </c>
      <c r="L30" s="97">
        <v>21</v>
      </c>
      <c r="M30" s="97">
        <v>41</v>
      </c>
      <c r="N30" s="97">
        <v>42</v>
      </c>
      <c r="O30" s="97">
        <v>45</v>
      </c>
      <c r="P30" s="97">
        <v>45</v>
      </c>
      <c r="Q30" s="98">
        <f t="shared" si="0"/>
        <v>0</v>
      </c>
      <c r="R30" s="97">
        <f t="shared" si="1"/>
        <v>0</v>
      </c>
      <c r="S30" s="98">
        <f>P30/P29</f>
        <v>0.703125</v>
      </c>
    </row>
    <row r="31" spans="2:19" x14ac:dyDescent="0.25">
      <c r="B31" s="99" t="s">
        <v>63</v>
      </c>
      <c r="C31" s="53">
        <v>27</v>
      </c>
      <c r="D31" s="53">
        <v>11</v>
      </c>
      <c r="E31" s="53">
        <v>14</v>
      </c>
      <c r="F31" s="53">
        <v>25</v>
      </c>
      <c r="G31" s="53">
        <v>26</v>
      </c>
      <c r="H31" s="53">
        <v>28</v>
      </c>
      <c r="I31" s="100">
        <f t="shared" si="2"/>
        <v>7.6923076923076872E-2</v>
      </c>
      <c r="J31" s="53">
        <f t="shared" si="3"/>
        <v>2</v>
      </c>
      <c r="K31" s="100">
        <f>H31/H29</f>
        <v>0.4375</v>
      </c>
      <c r="L31" s="53">
        <v>11</v>
      </c>
      <c r="M31" s="53">
        <v>25</v>
      </c>
      <c r="N31" s="53">
        <v>25</v>
      </c>
      <c r="O31" s="53">
        <v>28</v>
      </c>
      <c r="P31" s="53">
        <v>28</v>
      </c>
      <c r="Q31" s="100">
        <f t="shared" si="0"/>
        <v>0</v>
      </c>
      <c r="R31" s="53">
        <f t="shared" si="1"/>
        <v>0</v>
      </c>
      <c r="S31" s="100">
        <f>P31/P29</f>
        <v>0.4375</v>
      </c>
    </row>
    <row r="32" spans="2:19" x14ac:dyDescent="0.25">
      <c r="B32" s="99" t="s">
        <v>64</v>
      </c>
      <c r="C32" s="53">
        <v>28</v>
      </c>
      <c r="D32" s="53">
        <v>10</v>
      </c>
      <c r="E32" s="53">
        <v>11</v>
      </c>
      <c r="F32" s="53">
        <v>16</v>
      </c>
      <c r="G32" s="53">
        <v>17</v>
      </c>
      <c r="H32" s="53">
        <v>17</v>
      </c>
      <c r="I32" s="100">
        <f t="shared" si="2"/>
        <v>0</v>
      </c>
      <c r="J32" s="53">
        <f t="shared" si="3"/>
        <v>0</v>
      </c>
      <c r="K32" s="100">
        <f>H32/H29</f>
        <v>0.265625</v>
      </c>
      <c r="L32" s="53">
        <v>10</v>
      </c>
      <c r="M32" s="53">
        <v>16</v>
      </c>
      <c r="N32" s="53">
        <v>17</v>
      </c>
      <c r="O32" s="53">
        <v>17</v>
      </c>
      <c r="P32" s="53">
        <v>17</v>
      </c>
      <c r="Q32" s="100">
        <f t="shared" si="0"/>
        <v>0</v>
      </c>
      <c r="R32" s="53">
        <f t="shared" si="1"/>
        <v>0</v>
      </c>
      <c r="S32" s="100">
        <f>P32/P29</f>
        <v>0.265625</v>
      </c>
    </row>
    <row r="33" spans="2:19" x14ac:dyDescent="0.25">
      <c r="B33" s="96" t="s">
        <v>65</v>
      </c>
      <c r="C33" s="97">
        <v>24</v>
      </c>
      <c r="D33" s="97">
        <v>12</v>
      </c>
      <c r="E33" s="97">
        <v>12</v>
      </c>
      <c r="F33" s="97">
        <v>18</v>
      </c>
      <c r="G33" s="97">
        <v>19</v>
      </c>
      <c r="H33" s="97">
        <v>19</v>
      </c>
      <c r="I33" s="98">
        <f t="shared" si="2"/>
        <v>0</v>
      </c>
      <c r="J33" s="97">
        <f t="shared" si="3"/>
        <v>0</v>
      </c>
      <c r="K33" s="98">
        <f>H33/H29</f>
        <v>0.296875</v>
      </c>
      <c r="L33" s="97">
        <v>12</v>
      </c>
      <c r="M33" s="97">
        <v>18</v>
      </c>
      <c r="N33" s="97">
        <v>19</v>
      </c>
      <c r="O33" s="97">
        <v>19</v>
      </c>
      <c r="P33" s="97">
        <v>19</v>
      </c>
      <c r="Q33" s="98">
        <f t="shared" si="0"/>
        <v>0</v>
      </c>
      <c r="R33" s="97">
        <f t="shared" si="1"/>
        <v>0</v>
      </c>
      <c r="S33" s="98">
        <f>P33/P29</f>
        <v>0.296875</v>
      </c>
    </row>
    <row r="34" spans="2:19" x14ac:dyDescent="0.25">
      <c r="B34" s="93" t="s">
        <v>51</v>
      </c>
      <c r="C34" s="101">
        <v>9</v>
      </c>
      <c r="D34" s="101">
        <v>4</v>
      </c>
      <c r="E34" s="101">
        <v>3</v>
      </c>
      <c r="F34" s="101">
        <v>5</v>
      </c>
      <c r="G34" s="101">
        <v>5</v>
      </c>
      <c r="H34" s="101">
        <v>6</v>
      </c>
      <c r="I34" s="102">
        <f t="shared" si="2"/>
        <v>0.19999999999999996</v>
      </c>
      <c r="J34" s="101">
        <f t="shared" si="3"/>
        <v>1</v>
      </c>
      <c r="K34" s="95">
        <f>H34/H34</f>
        <v>1</v>
      </c>
      <c r="L34" s="101">
        <v>3</v>
      </c>
      <c r="M34" s="101">
        <v>5</v>
      </c>
      <c r="N34" s="101">
        <v>5</v>
      </c>
      <c r="O34" s="101">
        <v>6</v>
      </c>
      <c r="P34" s="101">
        <v>6</v>
      </c>
      <c r="Q34" s="102">
        <f t="shared" si="0"/>
        <v>0</v>
      </c>
      <c r="R34" s="101">
        <f t="shared" si="1"/>
        <v>0</v>
      </c>
      <c r="S34" s="95">
        <f>P34/P34</f>
        <v>1</v>
      </c>
    </row>
    <row r="35" spans="2:19" x14ac:dyDescent="0.25">
      <c r="B35" s="96" t="s">
        <v>62</v>
      </c>
      <c r="C35" s="97">
        <v>9</v>
      </c>
      <c r="D35" s="97">
        <v>4</v>
      </c>
      <c r="E35" s="97">
        <v>3</v>
      </c>
      <c r="F35" s="97">
        <v>5</v>
      </c>
      <c r="G35" s="97">
        <v>5</v>
      </c>
      <c r="H35" s="97">
        <v>6</v>
      </c>
      <c r="I35" s="98">
        <f t="shared" si="2"/>
        <v>0.19999999999999996</v>
      </c>
      <c r="J35" s="97">
        <f t="shared" si="3"/>
        <v>1</v>
      </c>
      <c r="K35" s="98">
        <f>H35/H34</f>
        <v>1</v>
      </c>
      <c r="L35" s="97">
        <v>3</v>
      </c>
      <c r="M35" s="97">
        <v>5</v>
      </c>
      <c r="N35" s="97">
        <v>5</v>
      </c>
      <c r="O35" s="97">
        <v>6</v>
      </c>
      <c r="P35" s="97">
        <v>6</v>
      </c>
      <c r="Q35" s="98">
        <f t="shared" si="0"/>
        <v>0</v>
      </c>
      <c r="R35" s="97">
        <f t="shared" si="1"/>
        <v>0</v>
      </c>
      <c r="S35" s="98">
        <f>P35/P34</f>
        <v>1</v>
      </c>
    </row>
    <row r="36" spans="2:19" x14ac:dyDescent="0.25">
      <c r="B36" s="93" t="s">
        <v>52</v>
      </c>
      <c r="C36" s="101">
        <v>15</v>
      </c>
      <c r="D36" s="101">
        <v>6</v>
      </c>
      <c r="E36" s="101">
        <v>7</v>
      </c>
      <c r="F36" s="101">
        <v>11</v>
      </c>
      <c r="G36" s="101">
        <v>12</v>
      </c>
      <c r="H36" s="101">
        <v>12</v>
      </c>
      <c r="I36" s="102">
        <f t="shared" si="2"/>
        <v>0</v>
      </c>
      <c r="J36" s="101">
        <f t="shared" si="3"/>
        <v>0</v>
      </c>
      <c r="K36" s="102">
        <f>H36/H36</f>
        <v>1</v>
      </c>
      <c r="L36" s="101">
        <v>6</v>
      </c>
      <c r="M36" s="101">
        <v>10</v>
      </c>
      <c r="N36" s="101">
        <v>12</v>
      </c>
      <c r="O36" s="101">
        <v>12</v>
      </c>
      <c r="P36" s="101">
        <v>12</v>
      </c>
      <c r="Q36" s="102">
        <f t="shared" si="0"/>
        <v>0</v>
      </c>
      <c r="R36" s="101">
        <f t="shared" si="1"/>
        <v>0</v>
      </c>
      <c r="S36" s="102">
        <f>P36/P36</f>
        <v>1</v>
      </c>
    </row>
    <row r="37" spans="2:19" x14ac:dyDescent="0.25">
      <c r="B37" s="96" t="s">
        <v>62</v>
      </c>
      <c r="C37" s="97">
        <v>5</v>
      </c>
      <c r="D37" s="97">
        <v>2</v>
      </c>
      <c r="E37" s="97">
        <v>3</v>
      </c>
      <c r="F37" s="97">
        <v>6</v>
      </c>
      <c r="G37" s="97">
        <v>6</v>
      </c>
      <c r="H37" s="97">
        <v>6</v>
      </c>
      <c r="I37" s="98">
        <f t="shared" si="2"/>
        <v>0</v>
      </c>
      <c r="J37" s="97">
        <f t="shared" si="3"/>
        <v>0</v>
      </c>
      <c r="K37" s="98">
        <f>H37/H36</f>
        <v>0.5</v>
      </c>
      <c r="L37" s="97">
        <v>3</v>
      </c>
      <c r="M37" s="97">
        <v>5</v>
      </c>
      <c r="N37" s="97">
        <v>6</v>
      </c>
      <c r="O37" s="97">
        <v>6</v>
      </c>
      <c r="P37" s="97">
        <v>6</v>
      </c>
      <c r="Q37" s="98">
        <f t="shared" si="0"/>
        <v>0</v>
      </c>
      <c r="R37" s="97">
        <f t="shared" si="1"/>
        <v>0</v>
      </c>
      <c r="S37" s="98">
        <f>P37/P36</f>
        <v>0.5</v>
      </c>
    </row>
    <row r="38" spans="2:19" x14ac:dyDescent="0.25">
      <c r="B38" s="96" t="s">
        <v>65</v>
      </c>
      <c r="C38" s="97">
        <v>10</v>
      </c>
      <c r="D38" s="97">
        <v>3</v>
      </c>
      <c r="E38" s="97">
        <v>3</v>
      </c>
      <c r="F38" s="97">
        <v>5</v>
      </c>
      <c r="G38" s="97">
        <v>6</v>
      </c>
      <c r="H38" s="97">
        <v>6</v>
      </c>
      <c r="I38" s="98">
        <f t="shared" si="2"/>
        <v>0</v>
      </c>
      <c r="J38" s="97">
        <f t="shared" si="3"/>
        <v>0</v>
      </c>
      <c r="K38" s="98">
        <f>H38/H36</f>
        <v>0.5</v>
      </c>
      <c r="L38" s="97">
        <v>3</v>
      </c>
      <c r="M38" s="97">
        <v>5</v>
      </c>
      <c r="N38" s="97">
        <v>6</v>
      </c>
      <c r="O38" s="97">
        <v>6</v>
      </c>
      <c r="P38" s="97">
        <v>6</v>
      </c>
      <c r="Q38" s="98">
        <f t="shared" si="0"/>
        <v>0</v>
      </c>
      <c r="R38" s="97">
        <f t="shared" si="1"/>
        <v>0</v>
      </c>
      <c r="S38" s="98">
        <f>P38/P36</f>
        <v>0.5</v>
      </c>
    </row>
    <row r="39" spans="2:19" x14ac:dyDescent="0.25">
      <c r="B39" s="93" t="s">
        <v>53</v>
      </c>
      <c r="C39" s="101">
        <v>23</v>
      </c>
      <c r="D39" s="101">
        <v>11</v>
      </c>
      <c r="E39" s="101">
        <v>12</v>
      </c>
      <c r="F39" s="101">
        <v>17</v>
      </c>
      <c r="G39" s="101">
        <v>19</v>
      </c>
      <c r="H39" s="101">
        <v>20</v>
      </c>
      <c r="I39" s="102">
        <f t="shared" si="2"/>
        <v>5.2631578947368363E-2</v>
      </c>
      <c r="J39" s="101">
        <f t="shared" si="3"/>
        <v>1</v>
      </c>
      <c r="K39" s="95">
        <f>H39/H39</f>
        <v>1</v>
      </c>
      <c r="L39" s="101">
        <v>12</v>
      </c>
      <c r="M39" s="101">
        <v>17</v>
      </c>
      <c r="N39" s="101">
        <v>18</v>
      </c>
      <c r="O39" s="101">
        <v>20</v>
      </c>
      <c r="P39" s="101">
        <v>20</v>
      </c>
      <c r="Q39" s="102">
        <f t="shared" si="0"/>
        <v>0</v>
      </c>
      <c r="R39" s="101">
        <f t="shared" si="1"/>
        <v>0</v>
      </c>
      <c r="S39" s="95">
        <f>P39/P39</f>
        <v>1</v>
      </c>
    </row>
    <row r="40" spans="2:19" x14ac:dyDescent="0.25">
      <c r="B40" s="96" t="s">
        <v>62</v>
      </c>
      <c r="C40" s="97">
        <v>23</v>
      </c>
      <c r="D40" s="97">
        <v>11</v>
      </c>
      <c r="E40" s="97">
        <v>12</v>
      </c>
      <c r="F40" s="97">
        <v>17</v>
      </c>
      <c r="G40" s="97">
        <v>19</v>
      </c>
      <c r="H40" s="97">
        <v>20</v>
      </c>
      <c r="I40" s="98">
        <f t="shared" si="2"/>
        <v>5.2631578947368363E-2</v>
      </c>
      <c r="J40" s="97">
        <f t="shared" si="3"/>
        <v>1</v>
      </c>
      <c r="K40" s="98">
        <f>H40/H39</f>
        <v>1</v>
      </c>
      <c r="L40" s="97">
        <v>12</v>
      </c>
      <c r="M40" s="97">
        <v>17</v>
      </c>
      <c r="N40" s="97">
        <v>18</v>
      </c>
      <c r="O40" s="97">
        <v>20</v>
      </c>
      <c r="P40" s="97">
        <v>20</v>
      </c>
      <c r="Q40" s="98">
        <f t="shared" si="0"/>
        <v>0</v>
      </c>
      <c r="R40" s="97">
        <f t="shared" si="1"/>
        <v>0</v>
      </c>
      <c r="S40" s="98">
        <f>P40/P39</f>
        <v>1</v>
      </c>
    </row>
    <row r="41" spans="2:19" x14ac:dyDescent="0.25">
      <c r="B41" s="99" t="s">
        <v>63</v>
      </c>
      <c r="C41" s="53">
        <v>5</v>
      </c>
      <c r="D41" s="53">
        <v>4</v>
      </c>
      <c r="E41" s="53">
        <v>7</v>
      </c>
      <c r="F41" s="53">
        <v>7</v>
      </c>
      <c r="G41" s="53">
        <v>7</v>
      </c>
      <c r="H41" s="53">
        <v>7</v>
      </c>
      <c r="I41" s="100">
        <f t="shared" si="2"/>
        <v>0</v>
      </c>
      <c r="J41" s="53">
        <f t="shared" si="3"/>
        <v>0</v>
      </c>
      <c r="K41" s="100">
        <f>H41/H39</f>
        <v>0.35</v>
      </c>
      <c r="L41" s="53">
        <v>7</v>
      </c>
      <c r="M41" s="53">
        <v>7</v>
      </c>
      <c r="N41" s="53">
        <v>7</v>
      </c>
      <c r="O41" s="53">
        <v>7</v>
      </c>
      <c r="P41" s="53">
        <v>8</v>
      </c>
      <c r="Q41" s="100">
        <f t="shared" si="0"/>
        <v>0.14285714285714279</v>
      </c>
      <c r="R41" s="53">
        <f t="shared" si="1"/>
        <v>1</v>
      </c>
      <c r="S41" s="100">
        <f>P41/P39</f>
        <v>0.4</v>
      </c>
    </row>
    <row r="42" spans="2:19" x14ac:dyDescent="0.25">
      <c r="B42" s="99" t="s">
        <v>64</v>
      </c>
      <c r="C42" s="53">
        <v>18</v>
      </c>
      <c r="D42" s="53">
        <v>7</v>
      </c>
      <c r="E42" s="53">
        <v>6</v>
      </c>
      <c r="F42" s="53">
        <v>10</v>
      </c>
      <c r="G42" s="53">
        <v>12</v>
      </c>
      <c r="H42" s="53">
        <v>13</v>
      </c>
      <c r="I42" s="100">
        <f t="shared" si="2"/>
        <v>8.3333333333333259E-2</v>
      </c>
      <c r="J42" s="53">
        <f t="shared" si="3"/>
        <v>1</v>
      </c>
      <c r="K42" s="100">
        <f>H42/H39</f>
        <v>0.65</v>
      </c>
      <c r="L42" s="53">
        <v>5</v>
      </c>
      <c r="M42" s="53">
        <v>10</v>
      </c>
      <c r="N42" s="53">
        <v>11</v>
      </c>
      <c r="O42" s="53">
        <v>13</v>
      </c>
      <c r="P42" s="53">
        <v>12</v>
      </c>
      <c r="Q42" s="100">
        <f t="shared" si="0"/>
        <v>-7.6923076923076872E-2</v>
      </c>
      <c r="R42" s="53">
        <f t="shared" si="1"/>
        <v>-1</v>
      </c>
      <c r="S42" s="100">
        <f>P42/P39</f>
        <v>0.6</v>
      </c>
    </row>
    <row r="43" spans="2:19" x14ac:dyDescent="0.25">
      <c r="B43" s="93" t="s">
        <v>54</v>
      </c>
      <c r="C43" s="101">
        <v>19</v>
      </c>
      <c r="D43" s="101">
        <v>9</v>
      </c>
      <c r="E43" s="101">
        <v>11</v>
      </c>
      <c r="F43" s="101">
        <v>14</v>
      </c>
      <c r="G43" s="101">
        <v>14</v>
      </c>
      <c r="H43" s="101">
        <v>14</v>
      </c>
      <c r="I43" s="102">
        <f t="shared" si="2"/>
        <v>0</v>
      </c>
      <c r="J43" s="101">
        <f t="shared" si="3"/>
        <v>0</v>
      </c>
      <c r="K43" s="95">
        <f>H43/H43</f>
        <v>1</v>
      </c>
      <c r="L43" s="101">
        <v>9</v>
      </c>
      <c r="M43" s="101">
        <v>14</v>
      </c>
      <c r="N43" s="101">
        <v>13</v>
      </c>
      <c r="O43" s="101">
        <v>14</v>
      </c>
      <c r="P43" s="101">
        <v>15</v>
      </c>
      <c r="Q43" s="102">
        <f t="shared" si="0"/>
        <v>7.1428571428571397E-2</v>
      </c>
      <c r="R43" s="101">
        <f t="shared" si="1"/>
        <v>1</v>
      </c>
      <c r="S43" s="95">
        <f>P43/P43</f>
        <v>1</v>
      </c>
    </row>
    <row r="44" spans="2:19" x14ac:dyDescent="0.25">
      <c r="B44" s="96" t="s">
        <v>62</v>
      </c>
      <c r="C44" s="97">
        <v>7</v>
      </c>
      <c r="D44" s="97">
        <v>4</v>
      </c>
      <c r="E44" s="97">
        <v>5</v>
      </c>
      <c r="F44" s="97">
        <v>8</v>
      </c>
      <c r="G44" s="97">
        <v>8</v>
      </c>
      <c r="H44" s="97">
        <v>8</v>
      </c>
      <c r="I44" s="98">
        <f t="shared" si="2"/>
        <v>0</v>
      </c>
      <c r="J44" s="97">
        <f t="shared" si="3"/>
        <v>0</v>
      </c>
      <c r="K44" s="98">
        <f>H44/H43</f>
        <v>0.5714285714285714</v>
      </c>
      <c r="L44" s="97">
        <v>4</v>
      </c>
      <c r="M44" s="97">
        <v>8</v>
      </c>
      <c r="N44" s="97">
        <v>7</v>
      </c>
      <c r="O44" s="97">
        <v>8</v>
      </c>
      <c r="P44" s="97">
        <v>8</v>
      </c>
      <c r="Q44" s="98">
        <f t="shared" si="0"/>
        <v>0</v>
      </c>
      <c r="R44" s="97">
        <f t="shared" si="1"/>
        <v>0</v>
      </c>
      <c r="S44" s="98">
        <f>P44/P43</f>
        <v>0.53333333333333333</v>
      </c>
    </row>
    <row r="45" spans="2:19" x14ac:dyDescent="0.25">
      <c r="B45" s="99" t="s">
        <v>63</v>
      </c>
      <c r="C45" s="53">
        <v>5</v>
      </c>
      <c r="D45" s="53">
        <v>0</v>
      </c>
      <c r="E45" s="53">
        <v>4</v>
      </c>
      <c r="F45" s="53">
        <v>6</v>
      </c>
      <c r="G45" s="53">
        <v>6</v>
      </c>
      <c r="H45" s="53">
        <v>6</v>
      </c>
      <c r="I45" s="100">
        <f t="shared" si="2"/>
        <v>0</v>
      </c>
      <c r="J45" s="53">
        <f t="shared" si="3"/>
        <v>0</v>
      </c>
      <c r="K45" s="100">
        <f>H45/H43</f>
        <v>0.42857142857142855</v>
      </c>
      <c r="L45" s="53">
        <v>0</v>
      </c>
      <c r="M45" s="53">
        <v>6</v>
      </c>
      <c r="N45" s="53">
        <v>5</v>
      </c>
      <c r="O45" s="53">
        <v>6</v>
      </c>
      <c r="P45" s="53">
        <v>6</v>
      </c>
      <c r="Q45" s="100">
        <f t="shared" si="0"/>
        <v>0</v>
      </c>
      <c r="R45" s="53">
        <f t="shared" si="1"/>
        <v>0</v>
      </c>
      <c r="S45" s="100">
        <f>P45/P43</f>
        <v>0.4</v>
      </c>
    </row>
    <row r="46" spans="2:19" x14ac:dyDescent="0.25">
      <c r="B46" s="99" t="s">
        <v>64</v>
      </c>
      <c r="C46" s="53">
        <v>2</v>
      </c>
      <c r="D46" s="53">
        <v>0</v>
      </c>
      <c r="E46" s="53">
        <v>2</v>
      </c>
      <c r="F46" s="53">
        <v>2</v>
      </c>
      <c r="G46" s="53">
        <v>2</v>
      </c>
      <c r="H46" s="53">
        <v>2</v>
      </c>
      <c r="I46" s="100">
        <f t="shared" si="2"/>
        <v>0</v>
      </c>
      <c r="J46" s="53">
        <f t="shared" si="3"/>
        <v>0</v>
      </c>
      <c r="K46" s="100">
        <f>H46/H43</f>
        <v>0.14285714285714285</v>
      </c>
      <c r="L46" s="53">
        <v>0</v>
      </c>
      <c r="M46" s="53">
        <v>2</v>
      </c>
      <c r="N46" s="53">
        <v>2</v>
      </c>
      <c r="O46" s="53">
        <v>2</v>
      </c>
      <c r="P46" s="53">
        <v>2</v>
      </c>
      <c r="Q46" s="100">
        <f t="shared" si="0"/>
        <v>0</v>
      </c>
      <c r="R46" s="53">
        <f t="shared" si="1"/>
        <v>0</v>
      </c>
      <c r="S46" s="100">
        <f>P46/P43</f>
        <v>0.13333333333333333</v>
      </c>
    </row>
    <row r="47" spans="2:19" x14ac:dyDescent="0.25">
      <c r="B47" s="96" t="s">
        <v>65</v>
      </c>
      <c r="C47" s="97">
        <v>12</v>
      </c>
      <c r="D47" s="97">
        <v>5</v>
      </c>
      <c r="E47" s="97">
        <v>6</v>
      </c>
      <c r="F47" s="97">
        <v>6</v>
      </c>
      <c r="G47" s="97">
        <v>6</v>
      </c>
      <c r="H47" s="97">
        <v>6</v>
      </c>
      <c r="I47" s="98">
        <f t="shared" si="2"/>
        <v>0</v>
      </c>
      <c r="J47" s="97">
        <f t="shared" si="3"/>
        <v>0</v>
      </c>
      <c r="K47" s="98">
        <f>H47/H43</f>
        <v>0.42857142857142855</v>
      </c>
      <c r="L47" s="97">
        <v>5</v>
      </c>
      <c r="M47" s="97">
        <v>6</v>
      </c>
      <c r="N47" s="97">
        <v>6</v>
      </c>
      <c r="O47" s="97">
        <v>6</v>
      </c>
      <c r="P47" s="97">
        <v>7</v>
      </c>
      <c r="Q47" s="98">
        <f t="shared" si="0"/>
        <v>0.16666666666666674</v>
      </c>
      <c r="R47" s="97">
        <f t="shared" si="1"/>
        <v>1</v>
      </c>
      <c r="S47" s="98">
        <f>P47/P43</f>
        <v>0.46666666666666667</v>
      </c>
    </row>
    <row r="48" spans="2:19" x14ac:dyDescent="0.25">
      <c r="B48" s="93" t="s">
        <v>55</v>
      </c>
      <c r="C48" s="101">
        <v>22</v>
      </c>
      <c r="D48" s="101">
        <v>11</v>
      </c>
      <c r="E48" s="101">
        <v>13</v>
      </c>
      <c r="F48" s="101">
        <v>16</v>
      </c>
      <c r="G48" s="101">
        <v>16</v>
      </c>
      <c r="H48" s="101">
        <v>18</v>
      </c>
      <c r="I48" s="102">
        <f t="shared" si="2"/>
        <v>0.125</v>
      </c>
      <c r="J48" s="101">
        <f t="shared" si="3"/>
        <v>2</v>
      </c>
      <c r="K48" s="95">
        <f>H48/H48</f>
        <v>1</v>
      </c>
      <c r="L48" s="101">
        <v>13</v>
      </c>
      <c r="M48" s="101">
        <v>16</v>
      </c>
      <c r="N48" s="101">
        <v>15</v>
      </c>
      <c r="O48" s="101">
        <v>18</v>
      </c>
      <c r="P48" s="101">
        <v>19</v>
      </c>
      <c r="Q48" s="102">
        <f t="shared" si="0"/>
        <v>5.555555555555558E-2</v>
      </c>
      <c r="R48" s="101">
        <f t="shared" si="1"/>
        <v>1</v>
      </c>
      <c r="S48" s="95">
        <f>P48/P48</f>
        <v>1</v>
      </c>
    </row>
    <row r="49" spans="2:19" x14ac:dyDescent="0.25">
      <c r="B49" s="96" t="s">
        <v>62</v>
      </c>
      <c r="C49" s="97">
        <v>18</v>
      </c>
      <c r="D49" s="97">
        <v>9</v>
      </c>
      <c r="E49" s="97">
        <v>12</v>
      </c>
      <c r="F49" s="97">
        <v>14</v>
      </c>
      <c r="G49" s="97">
        <v>13</v>
      </c>
      <c r="H49" s="97">
        <v>15</v>
      </c>
      <c r="I49" s="98">
        <f t="shared" si="2"/>
        <v>0.15384615384615374</v>
      </c>
      <c r="J49" s="97">
        <f t="shared" si="3"/>
        <v>2</v>
      </c>
      <c r="K49" s="98">
        <f>H49/H48</f>
        <v>0.83333333333333337</v>
      </c>
      <c r="L49" s="97">
        <v>12</v>
      </c>
      <c r="M49" s="97">
        <v>14</v>
      </c>
      <c r="N49" s="97">
        <v>12</v>
      </c>
      <c r="O49" s="97">
        <v>15</v>
      </c>
      <c r="P49" s="97">
        <v>16</v>
      </c>
      <c r="Q49" s="98">
        <f t="shared" si="0"/>
        <v>6.6666666666666652E-2</v>
      </c>
      <c r="R49" s="97">
        <f t="shared" si="1"/>
        <v>1</v>
      </c>
      <c r="S49" s="98">
        <f>P49/P48</f>
        <v>0.84210526315789469</v>
      </c>
    </row>
    <row r="50" spans="2:19" x14ac:dyDescent="0.25">
      <c r="B50" s="99" t="s">
        <v>63</v>
      </c>
      <c r="C50" s="53">
        <v>9</v>
      </c>
      <c r="D50" s="53">
        <v>5</v>
      </c>
      <c r="E50" s="53">
        <v>8</v>
      </c>
      <c r="F50" s="53">
        <v>8</v>
      </c>
      <c r="G50" s="53">
        <v>8</v>
      </c>
      <c r="H50" s="53">
        <v>8</v>
      </c>
      <c r="I50" s="100">
        <f t="shared" si="2"/>
        <v>0</v>
      </c>
      <c r="J50" s="53">
        <f t="shared" si="3"/>
        <v>0</v>
      </c>
      <c r="K50" s="100">
        <f>H50/H48</f>
        <v>0.44444444444444442</v>
      </c>
      <c r="L50" s="53">
        <v>8</v>
      </c>
      <c r="M50" s="53">
        <v>8</v>
      </c>
      <c r="N50" s="53">
        <v>7</v>
      </c>
      <c r="O50" s="53">
        <v>8</v>
      </c>
      <c r="P50" s="53">
        <v>8</v>
      </c>
      <c r="Q50" s="100">
        <f t="shared" si="0"/>
        <v>0</v>
      </c>
      <c r="R50" s="53">
        <f t="shared" si="1"/>
        <v>0</v>
      </c>
      <c r="S50" s="100">
        <f>P50/P48</f>
        <v>0.42105263157894735</v>
      </c>
    </row>
    <row r="51" spans="2:19" x14ac:dyDescent="0.25">
      <c r="B51" s="99" t="s">
        <v>64</v>
      </c>
      <c r="C51" s="53">
        <v>9</v>
      </c>
      <c r="D51" s="53">
        <v>4</v>
      </c>
      <c r="E51" s="53">
        <v>4</v>
      </c>
      <c r="F51" s="53">
        <v>6</v>
      </c>
      <c r="G51" s="53">
        <v>5</v>
      </c>
      <c r="H51" s="53">
        <v>7</v>
      </c>
      <c r="I51" s="100">
        <f t="shared" si="2"/>
        <v>0.39999999999999991</v>
      </c>
      <c r="J51" s="53">
        <f t="shared" si="3"/>
        <v>2</v>
      </c>
      <c r="K51" s="100">
        <f>H51/H48</f>
        <v>0.3888888888888889</v>
      </c>
      <c r="L51" s="53">
        <v>4</v>
      </c>
      <c r="M51" s="53">
        <v>6</v>
      </c>
      <c r="N51" s="53">
        <v>5</v>
      </c>
      <c r="O51" s="53">
        <v>7</v>
      </c>
      <c r="P51" s="53">
        <v>8</v>
      </c>
      <c r="Q51" s="100">
        <f t="shared" si="0"/>
        <v>0.14285714285714279</v>
      </c>
      <c r="R51" s="53">
        <f t="shared" si="1"/>
        <v>1</v>
      </c>
      <c r="S51" s="100">
        <f>P51/P48</f>
        <v>0.42105263157894735</v>
      </c>
    </row>
    <row r="52" spans="2:19" x14ac:dyDescent="0.25">
      <c r="B52" s="96" t="s">
        <v>65</v>
      </c>
      <c r="C52" s="97">
        <v>5</v>
      </c>
      <c r="D52" s="97">
        <v>2</v>
      </c>
      <c r="E52" s="97">
        <v>2</v>
      </c>
      <c r="F52" s="97">
        <v>3</v>
      </c>
      <c r="G52" s="97">
        <v>4</v>
      </c>
      <c r="H52" s="97">
        <v>4</v>
      </c>
      <c r="I52" s="98">
        <f t="shared" si="2"/>
        <v>0</v>
      </c>
      <c r="J52" s="97">
        <f t="shared" si="3"/>
        <v>0</v>
      </c>
      <c r="K52" s="98">
        <f>H52/H48</f>
        <v>0.22222222222222221</v>
      </c>
      <c r="L52" s="97">
        <v>2</v>
      </c>
      <c r="M52" s="97">
        <v>3</v>
      </c>
      <c r="N52" s="97">
        <v>4</v>
      </c>
      <c r="O52" s="97">
        <v>4</v>
      </c>
      <c r="P52" s="97">
        <v>4</v>
      </c>
      <c r="Q52" s="98">
        <f t="shared" si="0"/>
        <v>0</v>
      </c>
      <c r="R52" s="97">
        <f t="shared" si="1"/>
        <v>0</v>
      </c>
      <c r="S52" s="98">
        <f>P52/P48</f>
        <v>0.21052631578947367</v>
      </c>
    </row>
    <row r="53" spans="2:19" ht="4.5" customHeight="1" x14ac:dyDescent="0.25">
      <c r="B53" s="103"/>
      <c r="C53" s="104"/>
      <c r="D53" s="104"/>
      <c r="E53" s="104"/>
      <c r="F53" s="104"/>
      <c r="G53" s="105"/>
      <c r="H53" s="104"/>
      <c r="I53" s="106"/>
      <c r="J53" s="104"/>
      <c r="K53" s="106"/>
      <c r="L53" s="104"/>
      <c r="M53" s="104"/>
      <c r="N53" s="104"/>
      <c r="O53" s="104"/>
      <c r="P53" s="106"/>
      <c r="Q53" s="106"/>
      <c r="R53" s="106"/>
    </row>
    <row r="54" spans="2:19" x14ac:dyDescent="0.25">
      <c r="B54" s="107" t="s">
        <v>57</v>
      </c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</sheetData>
  <mergeCells count="2">
    <mergeCell ref="C5:H5"/>
    <mergeCell ref="L5:P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784EE-60F3-4488-A62E-5AAC09FFE873}">
  <sheetPr>
    <tabColor theme="7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8EE6-6697-4890-B375-A78F09BB8B4A}">
  <sheetPr>
    <tabColor theme="7" tint="0.79998168889431442"/>
  </sheetPr>
  <dimension ref="A4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8" t="s">
        <v>235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3" t="s">
        <v>70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5" ht="22.5" thickTop="1" thickBot="1" x14ac:dyDescent="0.3">
      <c r="B7" s="111"/>
      <c r="C7" s="305">
        <f>E7-1</f>
        <v>2020</v>
      </c>
      <c r="D7" s="306"/>
      <c r="E7" s="307">
        <f>G7-1</f>
        <v>2021</v>
      </c>
      <c r="F7" s="306"/>
      <c r="G7" s="307">
        <f>I7-1</f>
        <v>2022</v>
      </c>
      <c r="H7" s="306"/>
      <c r="I7" s="307">
        <f>K7-1</f>
        <v>2023</v>
      </c>
      <c r="J7" s="306"/>
      <c r="K7" s="307">
        <f>M7-1</f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",RIGHT(E7,2),"/",RIGHT(E7-1,2))</f>
        <v>var 21/20</v>
      </c>
      <c r="G8" s="117" t="s">
        <v>71</v>
      </c>
      <c r="H8" s="116" t="str">
        <f>CONCATENATE("var ",RIGHT(G7,2),"/",RIGHT(G7-1,2))</f>
        <v>var 22/21</v>
      </c>
      <c r="I8" s="117" t="s">
        <v>71</v>
      </c>
      <c r="J8" s="116" t="str">
        <f>CONCATENATE("var ",RIGHT(I7,2),"/",RIGHT(I7-1,2))</f>
        <v>var 23/22</v>
      </c>
      <c r="K8" s="117" t="s">
        <v>71</v>
      </c>
      <c r="L8" s="116" t="str">
        <f>CONCATENATE("var ",RIGHT(K7,2),"/",RIGHT(K7-1,2))</f>
        <v>var 24/23</v>
      </c>
      <c r="M8" s="117" t="s">
        <v>71</v>
      </c>
      <c r="N8" s="116" t="str">
        <f>CONCATENATE("var ",RIGHT(M7,2),"/",RIGHT(M7-1,2))</f>
        <v>var 25/24</v>
      </c>
    </row>
    <row r="9" spans="1:15" x14ac:dyDescent="0.25">
      <c r="A9" s="1" t="s">
        <v>72</v>
      </c>
      <c r="B9" s="118" t="s">
        <v>73</v>
      </c>
      <c r="C9" s="119">
        <v>5197</v>
      </c>
      <c r="D9" s="120">
        <v>0.10199321458863442</v>
      </c>
      <c r="E9" s="119">
        <v>1146</v>
      </c>
      <c r="F9" s="120">
        <f t="shared" ref="F9:L21" si="0">IFERROR(E9/C9-1,"-")</f>
        <v>-0.77948816624975947</v>
      </c>
      <c r="G9" s="119">
        <v>3527</v>
      </c>
      <c r="H9" s="120">
        <f>IFERROR(G9/E9-1,"-")</f>
        <v>2.0776614310645725</v>
      </c>
      <c r="I9" s="119">
        <v>5390</v>
      </c>
      <c r="J9" s="120">
        <f t="shared" si="0"/>
        <v>0.52821094414516589</v>
      </c>
      <c r="K9" s="119">
        <v>5217</v>
      </c>
      <c r="L9" s="120">
        <f t="shared" si="0"/>
        <v>-3.2096474953617782E-2</v>
      </c>
      <c r="M9" s="119">
        <v>5311</v>
      </c>
      <c r="N9" s="120">
        <f t="shared" ref="N9:N14" si="1">IFERROR(M9/K9-1,"-")</f>
        <v>1.8018018018018056E-2</v>
      </c>
    </row>
    <row r="10" spans="1:15" x14ac:dyDescent="0.25">
      <c r="A10" s="1" t="s">
        <v>74</v>
      </c>
      <c r="B10" s="118" t="s">
        <v>75</v>
      </c>
      <c r="C10" s="119">
        <v>5359</v>
      </c>
      <c r="D10" s="120">
        <v>8.5916919959473148E-2</v>
      </c>
      <c r="E10" s="119">
        <v>1385</v>
      </c>
      <c r="F10" s="120">
        <f t="shared" si="0"/>
        <v>-0.74155626049636125</v>
      </c>
      <c r="G10" s="119">
        <v>4177</v>
      </c>
      <c r="H10" s="120">
        <f t="shared" si="0"/>
        <v>2.0158844765342958</v>
      </c>
      <c r="I10" s="119">
        <v>5270</v>
      </c>
      <c r="J10" s="120">
        <f t="shared" si="0"/>
        <v>0.2616710557816615</v>
      </c>
      <c r="K10" s="119">
        <v>4803</v>
      </c>
      <c r="L10" s="120">
        <f t="shared" si="0"/>
        <v>-8.861480075901329E-2</v>
      </c>
      <c r="M10" s="119">
        <v>4194</v>
      </c>
      <c r="N10" s="120">
        <f t="shared" si="1"/>
        <v>-0.12679575265459087</v>
      </c>
    </row>
    <row r="11" spans="1:15" x14ac:dyDescent="0.25">
      <c r="A11" s="1" t="s">
        <v>76</v>
      </c>
      <c r="B11" s="118" t="s">
        <v>77</v>
      </c>
      <c r="C11" s="119">
        <v>2198</v>
      </c>
      <c r="D11" s="120">
        <v>-0.57303807303807308</v>
      </c>
      <c r="E11" s="119">
        <v>2288</v>
      </c>
      <c r="F11" s="120">
        <f t="shared" si="0"/>
        <v>4.0946314831665109E-2</v>
      </c>
      <c r="G11" s="119">
        <v>4740</v>
      </c>
      <c r="H11" s="120">
        <f t="shared" si="0"/>
        <v>1.0716783216783217</v>
      </c>
      <c r="I11" s="119">
        <v>5659</v>
      </c>
      <c r="J11" s="120">
        <f t="shared" si="0"/>
        <v>0.19388185654008439</v>
      </c>
      <c r="K11" s="119">
        <v>5168</v>
      </c>
      <c r="L11" s="120">
        <f t="shared" si="0"/>
        <v>-8.6764446015197061E-2</v>
      </c>
      <c r="M11" s="119">
        <v>5342</v>
      </c>
      <c r="N11" s="120">
        <f t="shared" si="1"/>
        <v>3.3668730650154854E-2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1830</v>
      </c>
      <c r="F12" s="120" t="str">
        <f t="shared" si="0"/>
        <v>-</v>
      </c>
      <c r="G12" s="119">
        <v>4075</v>
      </c>
      <c r="H12" s="120">
        <f t="shared" si="0"/>
        <v>1.2267759562841531</v>
      </c>
      <c r="I12" s="119">
        <v>5170</v>
      </c>
      <c r="J12" s="120">
        <f t="shared" si="0"/>
        <v>0.26871165644171779</v>
      </c>
      <c r="K12" s="119">
        <v>5054</v>
      </c>
      <c r="L12" s="120">
        <f t="shared" si="0"/>
        <v>-2.2437137330754364E-2</v>
      </c>
      <c r="M12" s="119">
        <v>4308</v>
      </c>
      <c r="N12" s="120">
        <f t="shared" si="1"/>
        <v>-0.147605856747131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2659</v>
      </c>
      <c r="F13" s="120" t="str">
        <f t="shared" si="0"/>
        <v>-</v>
      </c>
      <c r="G13" s="119">
        <v>3632</v>
      </c>
      <c r="H13" s="120">
        <f t="shared" si="0"/>
        <v>0.365927040240692</v>
      </c>
      <c r="I13" s="119">
        <v>5013</v>
      </c>
      <c r="J13" s="120">
        <f t="shared" si="0"/>
        <v>0.38023127753303965</v>
      </c>
      <c r="K13" s="119">
        <v>4992</v>
      </c>
      <c r="L13" s="120">
        <f t="shared" si="0"/>
        <v>-4.1891083183722699E-3</v>
      </c>
      <c r="M13" s="119">
        <v>4998</v>
      </c>
      <c r="N13" s="120">
        <f t="shared" si="1"/>
        <v>1.2019230769231282E-3</v>
      </c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2494</v>
      </c>
      <c r="F14" s="120" t="str">
        <f t="shared" si="0"/>
        <v>-</v>
      </c>
      <c r="G14" s="119">
        <v>4520</v>
      </c>
      <c r="H14" s="120">
        <f t="shared" si="0"/>
        <v>0.81234963913392133</v>
      </c>
      <c r="I14" s="119">
        <v>4181</v>
      </c>
      <c r="J14" s="120">
        <f t="shared" si="0"/>
        <v>-7.4999999999999956E-2</v>
      </c>
      <c r="K14" s="119">
        <v>3964</v>
      </c>
      <c r="L14" s="120">
        <f t="shared" si="0"/>
        <v>-5.1901458981104986E-2</v>
      </c>
      <c r="M14" s="119">
        <v>4119</v>
      </c>
      <c r="N14" s="120">
        <f t="shared" si="1"/>
        <v>3.9101917255297769E-2</v>
      </c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2428</v>
      </c>
      <c r="F15" s="120" t="str">
        <f t="shared" si="0"/>
        <v>-</v>
      </c>
      <c r="G15" s="119">
        <v>4275</v>
      </c>
      <c r="H15" s="120">
        <f t="shared" si="0"/>
        <v>0.76070840197693568</v>
      </c>
      <c r="I15" s="119">
        <v>4340</v>
      </c>
      <c r="J15" s="120">
        <f t="shared" si="0"/>
        <v>1.5204678362572999E-2</v>
      </c>
      <c r="K15" s="119">
        <v>4593</v>
      </c>
      <c r="L15" s="120">
        <f t="shared" si="0"/>
        <v>5.8294930875576023E-2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2777</v>
      </c>
      <c r="D16" s="120">
        <v>-0.34241060857210515</v>
      </c>
      <c r="E16" s="119">
        <v>2929</v>
      </c>
      <c r="F16" s="120">
        <f t="shared" si="0"/>
        <v>5.473532589124952E-2</v>
      </c>
      <c r="G16" s="119">
        <v>3932</v>
      </c>
      <c r="H16" s="120">
        <f t="shared" si="0"/>
        <v>0.34243769204506647</v>
      </c>
      <c r="I16" s="119">
        <v>4645</v>
      </c>
      <c r="J16" s="120">
        <f t="shared" si="0"/>
        <v>0.18133265513733465</v>
      </c>
      <c r="K16" s="119">
        <v>2899</v>
      </c>
      <c r="L16" s="120">
        <f t="shared" si="0"/>
        <v>-0.37588805166846073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1764</v>
      </c>
      <c r="D17" s="120">
        <v>-0.54002607561929594</v>
      </c>
      <c r="E17" s="119">
        <v>3914</v>
      </c>
      <c r="F17" s="120">
        <f t="shared" si="0"/>
        <v>1.2188208616780045</v>
      </c>
      <c r="G17" s="119">
        <v>4578</v>
      </c>
      <c r="H17" s="120">
        <f t="shared" si="0"/>
        <v>0.16964741951967288</v>
      </c>
      <c r="I17" s="119">
        <v>4521</v>
      </c>
      <c r="J17" s="120">
        <f t="shared" si="0"/>
        <v>-1.2450851900393189E-2</v>
      </c>
      <c r="K17" s="119">
        <v>5087</v>
      </c>
      <c r="L17" s="120">
        <f t="shared" si="0"/>
        <v>0.12519354125193538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1764</v>
      </c>
      <c r="D18" s="120">
        <v>-0.62283515073765239</v>
      </c>
      <c r="E18" s="119">
        <v>3380</v>
      </c>
      <c r="F18" s="120">
        <f t="shared" si="0"/>
        <v>0.91609977324263037</v>
      </c>
      <c r="G18" s="119">
        <v>4025</v>
      </c>
      <c r="H18" s="120">
        <f t="shared" si="0"/>
        <v>0.19082840236686383</v>
      </c>
      <c r="I18" s="119">
        <v>4419</v>
      </c>
      <c r="J18" s="120">
        <f t="shared" si="0"/>
        <v>9.7888198757764E-2</v>
      </c>
      <c r="K18" s="119">
        <v>4919</v>
      </c>
      <c r="L18" s="120">
        <f t="shared" si="0"/>
        <v>0.11314777098891149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1763</v>
      </c>
      <c r="D19" s="120">
        <v>-0.70714285714285707</v>
      </c>
      <c r="E19" s="119">
        <v>4448</v>
      </c>
      <c r="F19" s="120">
        <f t="shared" si="0"/>
        <v>1.5229722064662505</v>
      </c>
      <c r="G19" s="119">
        <v>4838</v>
      </c>
      <c r="H19" s="120">
        <f t="shared" si="0"/>
        <v>8.7679856115107979E-2</v>
      </c>
      <c r="I19" s="119">
        <v>4964</v>
      </c>
      <c r="J19" s="120">
        <f t="shared" si="0"/>
        <v>2.6043819760231512E-2</v>
      </c>
      <c r="K19" s="119">
        <v>5464</v>
      </c>
      <c r="L19" s="120">
        <f t="shared" si="0"/>
        <v>0.10072522159548747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1794</v>
      </c>
      <c r="D20" s="120">
        <v>-0.6889197156233744</v>
      </c>
      <c r="E20" s="119">
        <v>4543</v>
      </c>
      <c r="F20" s="120">
        <f t="shared" si="0"/>
        <v>1.5323299888517279</v>
      </c>
      <c r="G20" s="119">
        <v>5166</v>
      </c>
      <c r="H20" s="120">
        <f t="shared" si="0"/>
        <v>0.13713405238828957</v>
      </c>
      <c r="I20" s="119">
        <v>4585</v>
      </c>
      <c r="J20" s="120">
        <f t="shared" si="0"/>
        <v>-0.11246612466124661</v>
      </c>
      <c r="K20" s="119">
        <v>5228</v>
      </c>
      <c r="L20" s="120">
        <f t="shared" si="0"/>
        <v>0.14023991275899683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24221</v>
      </c>
      <c r="D21" s="123">
        <v>-0.56660761894537193</v>
      </c>
      <c r="E21" s="122">
        <v>33444</v>
      </c>
      <c r="F21" s="123">
        <f t="shared" si="0"/>
        <v>0.38078526898146237</v>
      </c>
      <c r="G21" s="122">
        <v>51485</v>
      </c>
      <c r="H21" s="123">
        <f t="shared" si="0"/>
        <v>0.53943906231312044</v>
      </c>
      <c r="I21" s="122">
        <v>58157</v>
      </c>
      <c r="J21" s="123">
        <f t="shared" si="0"/>
        <v>0.12959114305137409</v>
      </c>
      <c r="K21" s="122">
        <v>57388</v>
      </c>
      <c r="L21" s="123">
        <f t="shared" si="0"/>
        <v>-1.3222827862510056E-2</v>
      </c>
      <c r="M21" s="122">
        <v>28272</v>
      </c>
      <c r="N21" s="123">
        <v>-3.1714500993218708E-2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4"/>
      <c r="G24" s="124"/>
      <c r="I24" s="124"/>
      <c r="K24" s="124"/>
      <c r="N24" s="81"/>
    </row>
    <row r="26" spans="1:15" ht="48.75" customHeight="1" thickBot="1" x14ac:dyDescent="0.3">
      <c r="B26" s="278" t="s">
        <v>236</v>
      </c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3" t="s">
        <v>99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5" ht="22.5" thickTop="1" thickBot="1" x14ac:dyDescent="0.3">
      <c r="B29" s="111"/>
      <c r="C29" s="305">
        <f>C$7</f>
        <v>2020</v>
      </c>
      <c r="D29" s="306"/>
      <c r="E29" s="305">
        <f>E$7</f>
        <v>2021</v>
      </c>
      <c r="F29" s="306"/>
      <c r="G29" s="305">
        <f>G$7</f>
        <v>2022</v>
      </c>
      <c r="H29" s="306"/>
      <c r="I29" s="305">
        <f>I$7</f>
        <v>2023</v>
      </c>
      <c r="J29" s="306"/>
      <c r="K29" s="305">
        <f>K$7</f>
        <v>2024</v>
      </c>
      <c r="L29" s="306"/>
      <c r="M29" s="305">
        <f>M$7</f>
        <v>2025</v>
      </c>
      <c r="N29" s="306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",RIGHT(E29,2),"/",RIGHT(E29-1,2))</f>
        <v>var 21/20</v>
      </c>
      <c r="G30" s="117" t="s">
        <v>71</v>
      </c>
      <c r="H30" s="116" t="str">
        <f>CONCATENATE("var ",RIGHT(G29,2),"/",RIGHT(G29-1,2))</f>
        <v>var 22/21</v>
      </c>
      <c r="I30" s="117" t="s">
        <v>71</v>
      </c>
      <c r="J30" s="116" t="str">
        <f>CONCATENATE("var ",RIGHT(I29,2),"/",RIGHT(I29-1,2))</f>
        <v>var 23/22</v>
      </c>
      <c r="K30" s="117" t="s">
        <v>71</v>
      </c>
      <c r="L30" s="116" t="str">
        <f>CONCATENATE("var ",RIGHT(K29,2),"/",RIGHT(K29-1,2))</f>
        <v>var 24/23</v>
      </c>
      <c r="M30" s="117" t="s">
        <v>71</v>
      </c>
      <c r="N30" s="116" t="str">
        <f>CONCATENATE("var ",RIGHT(M29,2),"/",RIGHT(M29-1,2))</f>
        <v>var 25/24</v>
      </c>
    </row>
    <row r="31" spans="1:15" x14ac:dyDescent="0.25">
      <c r="B31" s="118" t="s">
        <v>73</v>
      </c>
      <c r="C31" s="119">
        <v>3059</v>
      </c>
      <c r="D31" s="120">
        <v>0.13086876155268024</v>
      </c>
      <c r="E31" s="119">
        <v>582</v>
      </c>
      <c r="F31" s="120">
        <f t="shared" ref="F31:L43" si="2">IFERROR(E31/C31-1,"-")</f>
        <v>-0.80974174566851909</v>
      </c>
      <c r="G31" s="119">
        <v>1773</v>
      </c>
      <c r="H31" s="120">
        <f t="shared" si="2"/>
        <v>2.0463917525773194</v>
      </c>
      <c r="I31" s="119">
        <v>3042</v>
      </c>
      <c r="J31" s="120">
        <f t="shared" si="2"/>
        <v>0.71573604060913709</v>
      </c>
      <c r="K31" s="119">
        <v>2177</v>
      </c>
      <c r="L31" s="120">
        <f t="shared" si="2"/>
        <v>-0.28435239973701509</v>
      </c>
      <c r="M31" s="119">
        <v>2652</v>
      </c>
      <c r="N31" s="120">
        <f t="shared" ref="N31" si="3">IFERROR(M31/K31-1,"-")</f>
        <v>0.21819016995865881</v>
      </c>
    </row>
    <row r="32" spans="1:15" x14ac:dyDescent="0.25">
      <c r="B32" s="118" t="s">
        <v>75</v>
      </c>
      <c r="C32" s="119">
        <v>3061</v>
      </c>
      <c r="D32" s="120">
        <v>5.5153395380903136E-2</v>
      </c>
      <c r="E32" s="119">
        <v>799</v>
      </c>
      <c r="F32" s="120">
        <f t="shared" si="2"/>
        <v>-0.73897419144070564</v>
      </c>
      <c r="G32" s="119">
        <v>2253</v>
      </c>
      <c r="H32" s="120">
        <f t="shared" si="2"/>
        <v>1.8197747183979973</v>
      </c>
      <c r="I32" s="119">
        <v>3101</v>
      </c>
      <c r="J32" s="120">
        <f t="shared" si="2"/>
        <v>0.37638703950288499</v>
      </c>
      <c r="K32" s="119">
        <v>2167</v>
      </c>
      <c r="L32" s="120">
        <f t="shared" si="2"/>
        <v>-0.30119316349564662</v>
      </c>
      <c r="M32" s="119">
        <v>1760</v>
      </c>
      <c r="N32" s="120">
        <f>IFERROR(M32/K32-1,"-")</f>
        <v>-0.18781725888324874</v>
      </c>
    </row>
    <row r="33" spans="2:15" x14ac:dyDescent="0.25">
      <c r="B33" s="118" t="s">
        <v>77</v>
      </c>
      <c r="C33" s="119">
        <v>1334</v>
      </c>
      <c r="D33" s="120">
        <v>-0.55159663865546227</v>
      </c>
      <c r="E33" s="119">
        <v>1368</v>
      </c>
      <c r="F33" s="120">
        <f t="shared" si="2"/>
        <v>2.5487256371814038E-2</v>
      </c>
      <c r="G33" s="119">
        <v>2677</v>
      </c>
      <c r="H33" s="120">
        <f t="shared" si="2"/>
        <v>0.95687134502923987</v>
      </c>
      <c r="I33" s="119">
        <v>3421</v>
      </c>
      <c r="J33" s="120">
        <f t="shared" si="2"/>
        <v>0.27792304818827041</v>
      </c>
      <c r="K33" s="119">
        <v>2632</v>
      </c>
      <c r="L33" s="120">
        <f t="shared" si="2"/>
        <v>-0.23063431745103768</v>
      </c>
      <c r="M33" s="119">
        <v>2763</v>
      </c>
      <c r="N33" s="120">
        <f>IFERROR(M33/K33-1,"-")</f>
        <v>4.9772036474164061E-2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1023</v>
      </c>
      <c r="F34" s="120" t="str">
        <f t="shared" si="2"/>
        <v>-</v>
      </c>
      <c r="G34" s="119">
        <v>2629</v>
      </c>
      <c r="H34" s="120">
        <f t="shared" si="2"/>
        <v>1.5698924731182795</v>
      </c>
      <c r="I34" s="119">
        <v>3521</v>
      </c>
      <c r="J34" s="120">
        <f t="shared" si="2"/>
        <v>0.33929250665652333</v>
      </c>
      <c r="K34" s="119">
        <v>3276</v>
      </c>
      <c r="L34" s="120">
        <f t="shared" si="2"/>
        <v>-6.9582504970178927E-2</v>
      </c>
      <c r="M34" s="119">
        <v>2835</v>
      </c>
      <c r="N34" s="120">
        <f>IFERROR(M34/K34-1,"-")</f>
        <v>-0.13461538461538458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1731</v>
      </c>
      <c r="F35" s="120" t="str">
        <f t="shared" si="2"/>
        <v>-</v>
      </c>
      <c r="G35" s="119">
        <v>2471</v>
      </c>
      <c r="H35" s="120">
        <f t="shared" si="2"/>
        <v>0.42749855574812257</v>
      </c>
      <c r="I35" s="119">
        <v>3551</v>
      </c>
      <c r="J35" s="120">
        <f t="shared" si="2"/>
        <v>0.43707001214083374</v>
      </c>
      <c r="K35" s="119">
        <v>3636</v>
      </c>
      <c r="L35" s="120">
        <f t="shared" si="2"/>
        <v>2.3936919177696359E-2</v>
      </c>
      <c r="M35" s="119">
        <v>3517</v>
      </c>
      <c r="N35" s="120">
        <f>IFERROR(M35/K35-1,"-")</f>
        <v>-3.2728272827282745E-2</v>
      </c>
    </row>
    <row r="36" spans="2:15" x14ac:dyDescent="0.25">
      <c r="B36" s="118" t="s">
        <v>83</v>
      </c>
      <c r="C36" s="119">
        <v>0</v>
      </c>
      <c r="D36" s="120">
        <v>-1</v>
      </c>
      <c r="E36" s="119">
        <v>1915</v>
      </c>
      <c r="F36" s="120" t="str">
        <f t="shared" si="2"/>
        <v>-</v>
      </c>
      <c r="G36" s="119">
        <v>3580</v>
      </c>
      <c r="H36" s="120">
        <f t="shared" si="2"/>
        <v>0.86945169712793735</v>
      </c>
      <c r="I36" s="119">
        <v>3284</v>
      </c>
      <c r="J36" s="120">
        <f t="shared" si="2"/>
        <v>-8.268156424581008E-2</v>
      </c>
      <c r="K36" s="119">
        <v>3008</v>
      </c>
      <c r="L36" s="120">
        <f t="shared" si="2"/>
        <v>-8.4043848964677204E-2</v>
      </c>
      <c r="M36" s="119">
        <v>3117</v>
      </c>
      <c r="N36" s="120">
        <f>IFERROR(M36/K36-1,"-")</f>
        <v>3.6236702127659504E-2</v>
      </c>
    </row>
    <row r="37" spans="2:15" x14ac:dyDescent="0.25">
      <c r="B37" s="118" t="s">
        <v>85</v>
      </c>
      <c r="C37" s="119">
        <v>0</v>
      </c>
      <c r="D37" s="120">
        <v>-1</v>
      </c>
      <c r="E37" s="119">
        <v>1624</v>
      </c>
      <c r="F37" s="120" t="str">
        <f t="shared" si="2"/>
        <v>-</v>
      </c>
      <c r="G37" s="119">
        <v>3300</v>
      </c>
      <c r="H37" s="120">
        <f t="shared" si="2"/>
        <v>1.0320197044334973</v>
      </c>
      <c r="I37" s="119">
        <v>3186</v>
      </c>
      <c r="J37" s="120">
        <f t="shared" si="2"/>
        <v>-3.4545454545454546E-2</v>
      </c>
      <c r="K37" s="119">
        <v>3447</v>
      </c>
      <c r="L37" s="120">
        <f t="shared" si="2"/>
        <v>8.1920903954802338E-2</v>
      </c>
      <c r="M37" s="119"/>
      <c r="N37" s="120"/>
    </row>
    <row r="38" spans="2:15" x14ac:dyDescent="0.25">
      <c r="B38" s="118" t="s">
        <v>87</v>
      </c>
      <c r="C38" s="119">
        <v>2135</v>
      </c>
      <c r="D38" s="120">
        <v>-0.30569105691056908</v>
      </c>
      <c r="E38" s="119">
        <v>1812</v>
      </c>
      <c r="F38" s="120">
        <f t="shared" si="2"/>
        <v>-0.15128805620608898</v>
      </c>
      <c r="G38" s="119">
        <v>2594</v>
      </c>
      <c r="H38" s="120">
        <f t="shared" si="2"/>
        <v>0.43156732891832239</v>
      </c>
      <c r="I38" s="119">
        <v>3372</v>
      </c>
      <c r="J38" s="120">
        <f t="shared" si="2"/>
        <v>0.29992289899768698</v>
      </c>
      <c r="K38" s="119">
        <v>1718</v>
      </c>
      <c r="L38" s="120">
        <f t="shared" si="2"/>
        <v>-0.49051008303677346</v>
      </c>
      <c r="M38" s="119"/>
      <c r="N38" s="120"/>
    </row>
    <row r="39" spans="2:15" x14ac:dyDescent="0.25">
      <c r="B39" s="118" t="s">
        <v>89</v>
      </c>
      <c r="C39" s="119">
        <v>1442</v>
      </c>
      <c r="D39" s="120">
        <v>-0.486284289276808</v>
      </c>
      <c r="E39" s="119">
        <v>3104</v>
      </c>
      <c r="F39" s="120">
        <f t="shared" si="2"/>
        <v>1.1525658807212205</v>
      </c>
      <c r="G39" s="119">
        <v>3509</v>
      </c>
      <c r="H39" s="120">
        <f t="shared" si="2"/>
        <v>0.13047680412371143</v>
      </c>
      <c r="I39" s="119">
        <v>3382</v>
      </c>
      <c r="J39" s="120">
        <f t="shared" si="2"/>
        <v>-3.6192647477913953E-2</v>
      </c>
      <c r="K39" s="119">
        <v>4092</v>
      </c>
      <c r="L39" s="120">
        <f t="shared" si="2"/>
        <v>0.20993494973388538</v>
      </c>
      <c r="M39" s="119"/>
      <c r="N39" s="120"/>
    </row>
    <row r="40" spans="2:15" x14ac:dyDescent="0.25">
      <c r="B40" s="118" t="s">
        <v>91</v>
      </c>
      <c r="C40" s="119">
        <v>1351</v>
      </c>
      <c r="D40" s="120">
        <v>-0.56974522292993623</v>
      </c>
      <c r="E40" s="119">
        <v>2127</v>
      </c>
      <c r="F40" s="120">
        <f t="shared" si="2"/>
        <v>0.57438934122871954</v>
      </c>
      <c r="G40" s="119">
        <v>2508</v>
      </c>
      <c r="H40" s="120">
        <f t="shared" si="2"/>
        <v>0.17912552891396327</v>
      </c>
      <c r="I40" s="119">
        <v>2825</v>
      </c>
      <c r="J40" s="120">
        <f t="shared" si="2"/>
        <v>0.12639553429027117</v>
      </c>
      <c r="K40" s="119">
        <v>3162</v>
      </c>
      <c r="L40" s="120">
        <f t="shared" si="2"/>
        <v>0.11929203539823008</v>
      </c>
      <c r="M40" s="119"/>
      <c r="N40" s="120"/>
    </row>
    <row r="41" spans="2:15" x14ac:dyDescent="0.25">
      <c r="B41" s="118" t="s">
        <v>93</v>
      </c>
      <c r="C41" s="119">
        <v>1256</v>
      </c>
      <c r="D41" s="120">
        <v>-0.66444028853860537</v>
      </c>
      <c r="E41" s="119">
        <v>2694</v>
      </c>
      <c r="F41" s="120">
        <f t="shared" si="2"/>
        <v>1.144904458598726</v>
      </c>
      <c r="G41" s="119">
        <v>3156</v>
      </c>
      <c r="H41" s="120">
        <f t="shared" si="2"/>
        <v>0.17149220489977735</v>
      </c>
      <c r="I41" s="119">
        <v>2455</v>
      </c>
      <c r="J41" s="120">
        <f t="shared" si="2"/>
        <v>-0.22211660329531047</v>
      </c>
      <c r="K41" s="119">
        <v>3284</v>
      </c>
      <c r="L41" s="120">
        <f t="shared" si="2"/>
        <v>0.33767820773930746</v>
      </c>
      <c r="M41" s="119"/>
      <c r="N41" s="120"/>
    </row>
    <row r="42" spans="2:15" x14ac:dyDescent="0.25">
      <c r="B42" s="118" t="s">
        <v>95</v>
      </c>
      <c r="C42" s="119">
        <v>1139</v>
      </c>
      <c r="D42" s="120">
        <v>-0.71367521367521369</v>
      </c>
      <c r="E42" s="119">
        <v>2953</v>
      </c>
      <c r="F42" s="120">
        <f t="shared" si="2"/>
        <v>1.5926251097453905</v>
      </c>
      <c r="G42" s="119">
        <v>3359</v>
      </c>
      <c r="H42" s="120">
        <f t="shared" si="2"/>
        <v>0.13748730104977991</v>
      </c>
      <c r="I42" s="119">
        <v>2582</v>
      </c>
      <c r="J42" s="120">
        <f t="shared" si="2"/>
        <v>-0.23131884489431376</v>
      </c>
      <c r="K42" s="119">
        <v>3222</v>
      </c>
      <c r="L42" s="120">
        <f t="shared" si="2"/>
        <v>0.24786986831913249</v>
      </c>
      <c r="M42" s="119"/>
      <c r="N42" s="120"/>
    </row>
    <row r="43" spans="2:15" ht="15.75" x14ac:dyDescent="0.25">
      <c r="B43" s="121" t="s">
        <v>32</v>
      </c>
      <c r="C43" s="122">
        <v>16023</v>
      </c>
      <c r="D43" s="123">
        <v>-0.5683342762466661</v>
      </c>
      <c r="E43" s="122">
        <v>21732</v>
      </c>
      <c r="F43" s="123">
        <f t="shared" si="2"/>
        <v>0.35630031829245468</v>
      </c>
      <c r="G43" s="122">
        <v>33809</v>
      </c>
      <c r="H43" s="123">
        <f t="shared" si="2"/>
        <v>0.55572427756304066</v>
      </c>
      <c r="I43" s="122">
        <v>37722</v>
      </c>
      <c r="J43" s="123">
        <f t="shared" si="2"/>
        <v>0.11573841284864983</v>
      </c>
      <c r="K43" s="122">
        <v>35821</v>
      </c>
      <c r="L43" s="123">
        <f t="shared" si="2"/>
        <v>-5.0394994963151474E-2</v>
      </c>
      <c r="M43" s="122">
        <v>16644</v>
      </c>
      <c r="N43" s="123">
        <v>-1.4914772727272707E-2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4"/>
    </row>
    <row r="47" spans="2:15" x14ac:dyDescent="0.25">
      <c r="E47" s="124"/>
      <c r="G47" s="124"/>
      <c r="I47" s="124"/>
      <c r="K47" s="126"/>
    </row>
    <row r="48" spans="2:15" ht="48.75" customHeight="1" thickBot="1" x14ac:dyDescent="0.3">
      <c r="B48" s="278" t="s">
        <v>237</v>
      </c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3" t="s">
        <v>102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1:15" ht="22.5" thickTop="1" thickBot="1" x14ac:dyDescent="0.3">
      <c r="B51" s="111"/>
      <c r="C51" s="305">
        <f>C$7</f>
        <v>2020</v>
      </c>
      <c r="D51" s="306"/>
      <c r="E51" s="305">
        <f>E$7</f>
        <v>2021</v>
      </c>
      <c r="F51" s="306"/>
      <c r="G51" s="305">
        <f>G$7</f>
        <v>2022</v>
      </c>
      <c r="H51" s="306"/>
      <c r="I51" s="305">
        <f>I$7</f>
        <v>2023</v>
      </c>
      <c r="J51" s="306"/>
      <c r="K51" s="305">
        <f>K$7</f>
        <v>2024</v>
      </c>
      <c r="L51" s="306"/>
      <c r="M51" s="305">
        <f>M$7</f>
        <v>2025</v>
      </c>
      <c r="N51" s="306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",RIGHT(E51,2),"/",RIGHT(E51-1,2))</f>
        <v>var 21/20</v>
      </c>
      <c r="G52" s="117" t="s">
        <v>71</v>
      </c>
      <c r="H52" s="116" t="str">
        <f>CONCATENATE("var ",RIGHT(G51,2),"/",RIGHT(G51-1,2))</f>
        <v>var 22/21</v>
      </c>
      <c r="I52" s="117" t="s">
        <v>71</v>
      </c>
      <c r="J52" s="116" t="str">
        <f>CONCATENATE("var ",RIGHT(I51,2),"/",RIGHT(I51-1,2))</f>
        <v>var 23/22</v>
      </c>
      <c r="K52" s="117" t="s">
        <v>71</v>
      </c>
      <c r="L52" s="116" t="str">
        <f>CONCATENATE("var ",RIGHT(K51,2),"/",RIGHT(K51-1,2))</f>
        <v>var 24/23</v>
      </c>
      <c r="M52" s="117" t="s">
        <v>71</v>
      </c>
      <c r="N52" s="116" t="str">
        <f>CONCATENATE("var ",RIGHT(M51,2),"/",RIGHT(M51-1,2))</f>
        <v>var 25/24</v>
      </c>
    </row>
    <row r="53" spans="1:15" x14ac:dyDescent="0.25">
      <c r="A53" s="1">
        <v>1</v>
      </c>
      <c r="B53" s="118" t="s">
        <v>73</v>
      </c>
      <c r="C53" s="119">
        <v>1208</v>
      </c>
      <c r="D53" s="120">
        <v>-7.2908672294704546E-2</v>
      </c>
      <c r="E53" s="119">
        <v>303</v>
      </c>
      <c r="F53" s="120">
        <f>IFERROR(E53/C53-1,"-")</f>
        <v>-0.7491721854304636</v>
      </c>
      <c r="G53" s="119">
        <v>1039</v>
      </c>
      <c r="H53" s="120">
        <f>IFERROR(G53/E53-1,"-")</f>
        <v>2.4290429042904291</v>
      </c>
      <c r="I53" s="119">
        <v>1557</v>
      </c>
      <c r="J53" s="120">
        <f>IFERROR(I53/G53-1,"-")</f>
        <v>0.49855630413859475</v>
      </c>
      <c r="K53" s="119">
        <v>1445</v>
      </c>
      <c r="L53" s="120">
        <f>IFERROR(K53/I53-1,"-")</f>
        <v>-7.1933204881181712E-2</v>
      </c>
      <c r="M53" s="119">
        <v>1752</v>
      </c>
      <c r="N53" s="120">
        <f t="shared" ref="N53:N58" si="4">IFERROR(M53/K53-1,"-")</f>
        <v>0.21245674740484422</v>
      </c>
    </row>
    <row r="54" spans="1:15" x14ac:dyDescent="0.25">
      <c r="A54" s="1">
        <v>2</v>
      </c>
      <c r="B54" s="118" t="s">
        <v>75</v>
      </c>
      <c r="C54" s="119">
        <v>1387</v>
      </c>
      <c r="D54" s="120">
        <v>-5.5177111716621208E-2</v>
      </c>
      <c r="E54" s="119">
        <v>338</v>
      </c>
      <c r="F54" s="120">
        <f t="shared" ref="F54:L65" si="5">IFERROR(E54/C54-1,"-")</f>
        <v>-0.75630857966834897</v>
      </c>
      <c r="G54" s="119">
        <v>1131</v>
      </c>
      <c r="H54" s="120">
        <f t="shared" si="5"/>
        <v>2.3461538461538463</v>
      </c>
      <c r="I54" s="119">
        <v>2612</v>
      </c>
      <c r="J54" s="120">
        <f t="shared" si="5"/>
        <v>1.3094606542882405</v>
      </c>
      <c r="K54" s="119">
        <v>1852</v>
      </c>
      <c r="L54" s="120">
        <f t="shared" si="5"/>
        <v>-0.29096477794793263</v>
      </c>
      <c r="M54" s="119">
        <v>1371</v>
      </c>
      <c r="N54" s="120">
        <f t="shared" si="4"/>
        <v>-0.25971922246220303</v>
      </c>
    </row>
    <row r="55" spans="1:15" x14ac:dyDescent="0.25">
      <c r="A55" s="1">
        <v>3</v>
      </c>
      <c r="B55" s="118" t="s">
        <v>77</v>
      </c>
      <c r="C55" s="119">
        <v>620</v>
      </c>
      <c r="D55" s="120">
        <v>-0.60684844641724789</v>
      </c>
      <c r="E55" s="119">
        <v>500</v>
      </c>
      <c r="F55" s="120">
        <f t="shared" si="5"/>
        <v>-0.19354838709677424</v>
      </c>
      <c r="G55" s="119">
        <v>1299</v>
      </c>
      <c r="H55" s="120">
        <f t="shared" si="5"/>
        <v>1.5979999999999999</v>
      </c>
      <c r="I55" s="119">
        <v>2794</v>
      </c>
      <c r="J55" s="120">
        <f t="shared" si="5"/>
        <v>1.1508852963818321</v>
      </c>
      <c r="K55" s="119">
        <v>1883</v>
      </c>
      <c r="L55" s="120">
        <f t="shared" si="5"/>
        <v>-0.32605583392984971</v>
      </c>
      <c r="M55" s="119">
        <v>1927</v>
      </c>
      <c r="N55" s="120">
        <f t="shared" si="4"/>
        <v>2.3366967604885769E-2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523</v>
      </c>
      <c r="F56" s="120" t="str">
        <f t="shared" si="5"/>
        <v>-</v>
      </c>
      <c r="G56" s="119">
        <v>1248</v>
      </c>
      <c r="H56" s="120">
        <f t="shared" si="5"/>
        <v>1.3862332695984705</v>
      </c>
      <c r="I56" s="119">
        <v>2342</v>
      </c>
      <c r="J56" s="120">
        <f t="shared" si="5"/>
        <v>0.8766025641025641</v>
      </c>
      <c r="K56" s="119">
        <v>2557</v>
      </c>
      <c r="L56" s="120">
        <f t="shared" si="5"/>
        <v>9.1801878736122999E-2</v>
      </c>
      <c r="M56" s="119">
        <v>2005</v>
      </c>
      <c r="N56" s="120">
        <f t="shared" si="4"/>
        <v>-0.21587798201016817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686</v>
      </c>
      <c r="F57" s="120" t="str">
        <f t="shared" si="5"/>
        <v>-</v>
      </c>
      <c r="G57" s="119">
        <v>1437</v>
      </c>
      <c r="H57" s="120">
        <f t="shared" si="5"/>
        <v>1.0947521865889214</v>
      </c>
      <c r="I57" s="119">
        <v>2194</v>
      </c>
      <c r="J57" s="120">
        <f t="shared" si="5"/>
        <v>0.52679192762700078</v>
      </c>
      <c r="K57" s="119">
        <v>2203</v>
      </c>
      <c r="L57" s="120">
        <f t="shared" si="5"/>
        <v>4.1020966271649861E-3</v>
      </c>
      <c r="M57" s="119">
        <v>2100</v>
      </c>
      <c r="N57" s="120">
        <f t="shared" si="4"/>
        <v>-4.6754425783023135E-2</v>
      </c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815</v>
      </c>
      <c r="F58" s="120" t="str">
        <f t="shared" si="5"/>
        <v>-</v>
      </c>
      <c r="G58" s="119">
        <v>1729</v>
      </c>
      <c r="H58" s="120">
        <f t="shared" si="5"/>
        <v>1.121472392638037</v>
      </c>
      <c r="I58" s="119">
        <v>2466</v>
      </c>
      <c r="J58" s="120">
        <f t="shared" si="5"/>
        <v>0.42625795257374199</v>
      </c>
      <c r="K58" s="119">
        <v>2292</v>
      </c>
      <c r="L58" s="120">
        <f t="shared" si="5"/>
        <v>-7.0559610705596132E-2</v>
      </c>
      <c r="M58" s="119">
        <v>2095</v>
      </c>
      <c r="N58" s="120">
        <f t="shared" si="4"/>
        <v>-8.5951134380453764E-2</v>
      </c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994</v>
      </c>
      <c r="F59" s="120" t="str">
        <f t="shared" si="5"/>
        <v>-</v>
      </c>
      <c r="G59" s="119">
        <v>1593</v>
      </c>
      <c r="H59" s="120">
        <f t="shared" si="5"/>
        <v>0.60261569416498983</v>
      </c>
      <c r="I59" s="119">
        <v>1977</v>
      </c>
      <c r="J59" s="120">
        <f t="shared" si="5"/>
        <v>0.24105461393596994</v>
      </c>
      <c r="K59" s="119">
        <v>1831</v>
      </c>
      <c r="L59" s="120">
        <f t="shared" si="5"/>
        <v>-7.384926656550328E-2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1123</v>
      </c>
      <c r="D60" s="120">
        <v>-0.20467422096317278</v>
      </c>
      <c r="E60" s="119">
        <v>1181</v>
      </c>
      <c r="F60" s="120">
        <f t="shared" si="5"/>
        <v>5.1647373107747141E-2</v>
      </c>
      <c r="G60" s="119">
        <v>1587</v>
      </c>
      <c r="H60" s="120">
        <f t="shared" si="5"/>
        <v>0.34377646062658762</v>
      </c>
      <c r="I60" s="119">
        <v>1933</v>
      </c>
      <c r="J60" s="120">
        <f t="shared" si="5"/>
        <v>0.21802142407057334</v>
      </c>
      <c r="K60" s="119">
        <v>1542</v>
      </c>
      <c r="L60" s="120">
        <f t="shared" si="5"/>
        <v>-0.20227625452664255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763</v>
      </c>
      <c r="D61" s="120">
        <v>-0.45186781609195403</v>
      </c>
      <c r="E61" s="119">
        <v>1604</v>
      </c>
      <c r="F61" s="120">
        <f t="shared" si="5"/>
        <v>1.1022280471821757</v>
      </c>
      <c r="G61" s="119">
        <v>1832</v>
      </c>
      <c r="H61" s="120">
        <f t="shared" si="5"/>
        <v>0.14214463840398994</v>
      </c>
      <c r="I61" s="119">
        <v>2450</v>
      </c>
      <c r="J61" s="120">
        <f t="shared" si="5"/>
        <v>0.3373362445414847</v>
      </c>
      <c r="K61" s="119">
        <v>2346</v>
      </c>
      <c r="L61" s="120">
        <f t="shared" si="5"/>
        <v>-4.2448979591836689E-2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792</v>
      </c>
      <c r="D62" s="120">
        <v>-0.46232179226069248</v>
      </c>
      <c r="E62" s="119">
        <v>930</v>
      </c>
      <c r="F62" s="120">
        <f t="shared" si="5"/>
        <v>0.17424242424242431</v>
      </c>
      <c r="G62" s="119">
        <v>1484</v>
      </c>
      <c r="H62" s="120">
        <f t="shared" si="5"/>
        <v>0.5956989247311828</v>
      </c>
      <c r="I62" s="119">
        <v>2164</v>
      </c>
      <c r="J62" s="120">
        <f t="shared" si="5"/>
        <v>0.4582210242587601</v>
      </c>
      <c r="K62" s="119">
        <v>2197</v>
      </c>
      <c r="L62" s="120">
        <f t="shared" si="5"/>
        <v>1.5249537892791043E-2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488</v>
      </c>
      <c r="D63" s="120">
        <v>-0.72002294893861163</v>
      </c>
      <c r="E63" s="119">
        <v>1380</v>
      </c>
      <c r="F63" s="120">
        <f t="shared" si="5"/>
        <v>1.8278688524590163</v>
      </c>
      <c r="G63" s="119">
        <v>1596</v>
      </c>
      <c r="H63" s="120">
        <f t="shared" si="5"/>
        <v>0.15652173913043477</v>
      </c>
      <c r="I63" s="119">
        <v>1784</v>
      </c>
      <c r="J63" s="120">
        <f t="shared" si="5"/>
        <v>0.1177944862155389</v>
      </c>
      <c r="K63" s="119">
        <v>2044</v>
      </c>
      <c r="L63" s="120">
        <f t="shared" si="5"/>
        <v>0.14573991031390143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371</v>
      </c>
      <c r="D64" s="120">
        <v>-0.73537803138373747</v>
      </c>
      <c r="E64" s="119">
        <v>1477</v>
      </c>
      <c r="F64" s="120">
        <f t="shared" si="5"/>
        <v>2.9811320754716979</v>
      </c>
      <c r="G64" s="119">
        <v>1545</v>
      </c>
      <c r="H64" s="120">
        <f t="shared" si="5"/>
        <v>4.6039268788083954E-2</v>
      </c>
      <c r="I64" s="119">
        <v>1425</v>
      </c>
      <c r="J64" s="120">
        <f t="shared" si="5"/>
        <v>-7.7669902912621325E-2</v>
      </c>
      <c r="K64" s="119">
        <v>1752</v>
      </c>
      <c r="L64" s="120">
        <f t="shared" si="5"/>
        <v>0.22947368421052627</v>
      </c>
      <c r="M64" s="119"/>
      <c r="N64" s="120"/>
    </row>
    <row r="65" spans="1:15" ht="15.75" x14ac:dyDescent="0.25">
      <c r="B65" s="121" t="s">
        <v>32</v>
      </c>
      <c r="C65" s="122">
        <v>7339</v>
      </c>
      <c r="D65" s="123">
        <v>-0.59150617833685848</v>
      </c>
      <c r="E65" s="122">
        <v>10731</v>
      </c>
      <c r="F65" s="123">
        <f t="shared" si="5"/>
        <v>0.46218830903392827</v>
      </c>
      <c r="G65" s="122">
        <v>17520</v>
      </c>
      <c r="H65" s="123">
        <f t="shared" si="5"/>
        <v>0.63265306122448983</v>
      </c>
      <c r="I65" s="122">
        <v>25698</v>
      </c>
      <c r="J65" s="123">
        <f t="shared" si="5"/>
        <v>0.46678082191780823</v>
      </c>
      <c r="K65" s="122">
        <v>23944</v>
      </c>
      <c r="L65" s="123">
        <f t="shared" si="5"/>
        <v>-6.8254338859055186E-2</v>
      </c>
      <c r="M65" s="122">
        <v>11250</v>
      </c>
      <c r="N65" s="123">
        <v>-8.0281229561805056E-2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4"/>
    </row>
    <row r="70" spans="1:15" ht="48.75" customHeight="1" thickBot="1" x14ac:dyDescent="0.3">
      <c r="B70" s="278" t="s">
        <v>238</v>
      </c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3" t="s">
        <v>105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1:15" ht="22.5" thickTop="1" thickBot="1" x14ac:dyDescent="0.3">
      <c r="B73" s="111"/>
      <c r="C73" s="305">
        <f>C$7</f>
        <v>2020</v>
      </c>
      <c r="D73" s="306"/>
      <c r="E73" s="305">
        <f>E$7</f>
        <v>2021</v>
      </c>
      <c r="F73" s="306"/>
      <c r="G73" s="305">
        <f>G$7</f>
        <v>2022</v>
      </c>
      <c r="H73" s="306"/>
      <c r="I73" s="305">
        <f>I$7</f>
        <v>2023</v>
      </c>
      <c r="J73" s="306"/>
      <c r="K73" s="305">
        <f>K$7</f>
        <v>2024</v>
      </c>
      <c r="L73" s="306"/>
      <c r="M73" s="305">
        <f>M$7</f>
        <v>2025</v>
      </c>
      <c r="N73" s="306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",RIGHT(E73,2),"/",RIGHT(E73-1,2))</f>
        <v>var 21/20</v>
      </c>
      <c r="G74" s="117" t="s">
        <v>71</v>
      </c>
      <c r="H74" s="116" t="str">
        <f>CONCATENATE("var ",RIGHT(G73,2),"/",RIGHT(G73-1,2))</f>
        <v>var 22/21</v>
      </c>
      <c r="I74" s="117" t="s">
        <v>71</v>
      </c>
      <c r="J74" s="116" t="str">
        <f>CONCATENATE("var ",RIGHT(I73,2),"/",RIGHT(I73-1,2))</f>
        <v>var 23/22</v>
      </c>
      <c r="K74" s="117" t="s">
        <v>71</v>
      </c>
      <c r="L74" s="116" t="str">
        <f>CONCATENATE("var ",RIGHT(K73,2),"/",RIGHT(K73-1,2))</f>
        <v>var 24/23</v>
      </c>
      <c r="M74" s="117" t="s">
        <v>71</v>
      </c>
      <c r="N74" s="116" t="str">
        <f>CONCATENATE("var ",RIGHT(M73,2),"/",RIGHT(M73-1,2))</f>
        <v>var 25/24</v>
      </c>
    </row>
    <row r="75" spans="1:15" x14ac:dyDescent="0.25">
      <c r="A75" s="1">
        <v>1</v>
      </c>
      <c r="B75" s="118" t="s">
        <v>73</v>
      </c>
      <c r="C75" s="119">
        <v>1851</v>
      </c>
      <c r="D75" s="120">
        <v>0.32025677603423675</v>
      </c>
      <c r="E75" s="119">
        <v>279</v>
      </c>
      <c r="F75" s="120">
        <f>IFERROR(E75/C75-1,"-")</f>
        <v>-0.84927066450567257</v>
      </c>
      <c r="G75" s="119">
        <v>734</v>
      </c>
      <c r="H75" s="120">
        <f>IFERROR(G75/E75-1,"-")</f>
        <v>1.6308243727598568</v>
      </c>
      <c r="I75" s="119">
        <v>1485</v>
      </c>
      <c r="J75" s="120">
        <f>IFERROR(I75/G75-1,"-")</f>
        <v>1.0231607629427795</v>
      </c>
      <c r="K75" s="119">
        <v>732</v>
      </c>
      <c r="L75" s="120">
        <f>IFERROR(K75/I75-1,"-")</f>
        <v>-0.50707070707070701</v>
      </c>
      <c r="M75" s="119">
        <v>900</v>
      </c>
      <c r="N75" s="120">
        <f t="shared" ref="N75:N80" si="6">IFERROR(M75/K75-1,"-")</f>
        <v>0.22950819672131151</v>
      </c>
    </row>
    <row r="76" spans="1:15" x14ac:dyDescent="0.25">
      <c r="A76" s="1">
        <v>2</v>
      </c>
      <c r="B76" s="118" t="s">
        <v>75</v>
      </c>
      <c r="C76" s="119">
        <v>1674</v>
      </c>
      <c r="D76" s="120">
        <v>0.16817864619679002</v>
      </c>
      <c r="E76" s="119">
        <v>461</v>
      </c>
      <c r="F76" s="120">
        <f t="shared" ref="F76:L87" si="7">IFERROR(E76/C76-1,"-")</f>
        <v>-0.7246117084826762</v>
      </c>
      <c r="G76" s="119">
        <v>1122</v>
      </c>
      <c r="H76" s="120">
        <f t="shared" si="7"/>
        <v>1.4338394793926246</v>
      </c>
      <c r="I76" s="119">
        <v>489</v>
      </c>
      <c r="J76" s="120">
        <f t="shared" si="7"/>
        <v>-0.56417112299465244</v>
      </c>
      <c r="K76" s="119">
        <v>315</v>
      </c>
      <c r="L76" s="120">
        <f t="shared" si="7"/>
        <v>-0.35582822085889576</v>
      </c>
      <c r="M76" s="119">
        <v>389</v>
      </c>
      <c r="N76" s="120">
        <f t="shared" si="6"/>
        <v>0.23492063492063497</v>
      </c>
    </row>
    <row r="77" spans="1:15" x14ac:dyDescent="0.25">
      <c r="A77" s="1">
        <v>3</v>
      </c>
      <c r="B77" s="118" t="s">
        <v>77</v>
      </c>
      <c r="C77" s="119">
        <v>714</v>
      </c>
      <c r="D77" s="120">
        <v>-0.48927038626609443</v>
      </c>
      <c r="E77" s="119">
        <v>868</v>
      </c>
      <c r="F77" s="120">
        <f t="shared" si="7"/>
        <v>0.21568627450980382</v>
      </c>
      <c r="G77" s="119">
        <v>1378</v>
      </c>
      <c r="H77" s="120">
        <f t="shared" si="7"/>
        <v>0.5875576036866359</v>
      </c>
      <c r="I77" s="119">
        <v>627</v>
      </c>
      <c r="J77" s="120">
        <f t="shared" si="7"/>
        <v>-0.54499274310595069</v>
      </c>
      <c r="K77" s="119">
        <v>749</v>
      </c>
      <c r="L77" s="120">
        <f t="shared" si="7"/>
        <v>0.19457735247208929</v>
      </c>
      <c r="M77" s="119">
        <v>836</v>
      </c>
      <c r="N77" s="120">
        <f t="shared" si="6"/>
        <v>0.11615487316421902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500</v>
      </c>
      <c r="F78" s="120" t="str">
        <f t="shared" si="7"/>
        <v>-</v>
      </c>
      <c r="G78" s="119">
        <v>1381</v>
      </c>
      <c r="H78" s="120">
        <f t="shared" si="7"/>
        <v>1.762</v>
      </c>
      <c r="I78" s="119">
        <v>1179</v>
      </c>
      <c r="J78" s="120">
        <f t="shared" si="7"/>
        <v>-0.14627081824764665</v>
      </c>
      <c r="K78" s="119">
        <v>719</v>
      </c>
      <c r="L78" s="120">
        <f t="shared" si="7"/>
        <v>-0.39016115351993219</v>
      </c>
      <c r="M78" s="119">
        <v>830</v>
      </c>
      <c r="N78" s="120">
        <f t="shared" si="6"/>
        <v>0.15438108484005553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1045</v>
      </c>
      <c r="F79" s="120" t="str">
        <f t="shared" si="7"/>
        <v>-</v>
      </c>
      <c r="G79" s="119">
        <v>1034</v>
      </c>
      <c r="H79" s="120">
        <f t="shared" si="7"/>
        <v>-1.0526315789473717E-2</v>
      </c>
      <c r="I79" s="119">
        <v>1357</v>
      </c>
      <c r="J79" s="120">
        <f t="shared" si="7"/>
        <v>0.3123791102514506</v>
      </c>
      <c r="K79" s="119">
        <v>1433</v>
      </c>
      <c r="L79" s="120">
        <f t="shared" si="7"/>
        <v>5.6005895357406077E-2</v>
      </c>
      <c r="M79" s="119">
        <v>1417</v>
      </c>
      <c r="N79" s="120">
        <f t="shared" si="6"/>
        <v>-1.1165387299371998E-2</v>
      </c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1100</v>
      </c>
      <c r="F80" s="120" t="str">
        <f t="shared" si="7"/>
        <v>-</v>
      </c>
      <c r="G80" s="119">
        <v>1851</v>
      </c>
      <c r="H80" s="120">
        <f t="shared" si="7"/>
        <v>0.68272727272727263</v>
      </c>
      <c r="I80" s="119">
        <v>818</v>
      </c>
      <c r="J80" s="120">
        <f t="shared" si="7"/>
        <v>-0.55807671528903291</v>
      </c>
      <c r="K80" s="119">
        <v>716</v>
      </c>
      <c r="L80" s="120">
        <f t="shared" si="7"/>
        <v>-0.12469437652811732</v>
      </c>
      <c r="M80" s="119">
        <v>1022</v>
      </c>
      <c r="N80" s="120">
        <f t="shared" si="6"/>
        <v>0.42737430167597767</v>
      </c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630</v>
      </c>
      <c r="F81" s="120" t="str">
        <f t="shared" si="7"/>
        <v>-</v>
      </c>
      <c r="G81" s="119">
        <v>1707</v>
      </c>
      <c r="H81" s="120">
        <f t="shared" si="7"/>
        <v>1.7095238095238097</v>
      </c>
      <c r="I81" s="119">
        <v>1209</v>
      </c>
      <c r="J81" s="120">
        <f t="shared" si="7"/>
        <v>-0.29173989455184535</v>
      </c>
      <c r="K81" s="119">
        <v>1616</v>
      </c>
      <c r="L81" s="120">
        <f t="shared" si="7"/>
        <v>0.33664185277088499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1012</v>
      </c>
      <c r="D82" s="120">
        <v>-0.39146121467227901</v>
      </c>
      <c r="E82" s="119">
        <v>631</v>
      </c>
      <c r="F82" s="120">
        <f t="shared" si="7"/>
        <v>-0.37648221343873522</v>
      </c>
      <c r="G82" s="119">
        <v>1007</v>
      </c>
      <c r="H82" s="120">
        <f t="shared" si="7"/>
        <v>0.59587955625990485</v>
      </c>
      <c r="I82" s="119">
        <v>1439</v>
      </c>
      <c r="J82" s="120">
        <f t="shared" si="7"/>
        <v>0.42899702085402192</v>
      </c>
      <c r="K82" s="119">
        <v>176</v>
      </c>
      <c r="L82" s="120">
        <f t="shared" si="7"/>
        <v>-0.87769284225156363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679</v>
      </c>
      <c r="D83" s="120">
        <v>-0.52014134275618373</v>
      </c>
      <c r="E83" s="119">
        <v>1500</v>
      </c>
      <c r="F83" s="120">
        <f t="shared" si="7"/>
        <v>1.2091310751104567</v>
      </c>
      <c r="G83" s="119">
        <v>1677</v>
      </c>
      <c r="H83" s="120">
        <f t="shared" si="7"/>
        <v>0.1180000000000001</v>
      </c>
      <c r="I83" s="119">
        <v>932</v>
      </c>
      <c r="J83" s="120">
        <f t="shared" si="7"/>
        <v>-0.44424567680381633</v>
      </c>
      <c r="K83" s="119">
        <v>1746</v>
      </c>
      <c r="L83" s="120">
        <f t="shared" si="7"/>
        <v>0.87339055793991416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559</v>
      </c>
      <c r="D84" s="120">
        <v>-0.66466706658668273</v>
      </c>
      <c r="E84" s="119">
        <v>1197</v>
      </c>
      <c r="F84" s="120">
        <f t="shared" si="7"/>
        <v>1.1413237924865833</v>
      </c>
      <c r="G84" s="119">
        <v>1024</v>
      </c>
      <c r="H84" s="120">
        <f t="shared" si="7"/>
        <v>-0.14452798663324984</v>
      </c>
      <c r="I84" s="119">
        <v>661</v>
      </c>
      <c r="J84" s="120">
        <f t="shared" si="7"/>
        <v>-0.3544921875</v>
      </c>
      <c r="K84" s="119">
        <v>965</v>
      </c>
      <c r="L84" s="120">
        <f t="shared" si="7"/>
        <v>0.45990922844175497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768</v>
      </c>
      <c r="D85" s="120">
        <v>-0.61599999999999999</v>
      </c>
      <c r="E85" s="119">
        <v>1314</v>
      </c>
      <c r="F85" s="120">
        <f t="shared" si="7"/>
        <v>0.7109375</v>
      </c>
      <c r="G85" s="119">
        <v>1560</v>
      </c>
      <c r="H85" s="120">
        <f t="shared" si="7"/>
        <v>0.18721461187214605</v>
      </c>
      <c r="I85" s="119">
        <v>671</v>
      </c>
      <c r="J85" s="120">
        <f t="shared" si="7"/>
        <v>-0.56987179487179485</v>
      </c>
      <c r="K85" s="119">
        <v>1240</v>
      </c>
      <c r="L85" s="120">
        <f t="shared" si="7"/>
        <v>0.84798807749627425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768</v>
      </c>
      <c r="D86" s="120">
        <v>-0.70186335403726707</v>
      </c>
      <c r="E86" s="119">
        <v>1476</v>
      </c>
      <c r="F86" s="120">
        <f t="shared" si="7"/>
        <v>0.921875</v>
      </c>
      <c r="G86" s="119">
        <v>1814</v>
      </c>
      <c r="H86" s="120">
        <f t="shared" si="7"/>
        <v>0.22899728997289981</v>
      </c>
      <c r="I86" s="119">
        <v>1157</v>
      </c>
      <c r="J86" s="120">
        <f t="shared" si="7"/>
        <v>-0.36218302094818078</v>
      </c>
      <c r="K86" s="119">
        <v>1470</v>
      </c>
      <c r="L86" s="120">
        <f t="shared" si="7"/>
        <v>0.27052722558340525</v>
      </c>
      <c r="M86" s="119"/>
      <c r="N86" s="120"/>
    </row>
    <row r="87" spans="1:15" ht="15.75" x14ac:dyDescent="0.25">
      <c r="B87" s="121" t="s">
        <v>32</v>
      </c>
      <c r="C87" s="122">
        <v>8684</v>
      </c>
      <c r="D87" s="123">
        <v>-0.54659844410797265</v>
      </c>
      <c r="E87" s="122">
        <v>11001</v>
      </c>
      <c r="F87" s="123">
        <f t="shared" si="7"/>
        <v>0.26681252878857675</v>
      </c>
      <c r="G87" s="122">
        <v>16289</v>
      </c>
      <c r="H87" s="123">
        <f t="shared" si="7"/>
        <v>0.48068357422052532</v>
      </c>
      <c r="I87" s="122">
        <v>12024</v>
      </c>
      <c r="J87" s="123">
        <f t="shared" si="7"/>
        <v>-0.261833138928111</v>
      </c>
      <c r="K87" s="122">
        <v>11877</v>
      </c>
      <c r="L87" s="123">
        <f t="shared" si="7"/>
        <v>-1.2225548902195627E-2</v>
      </c>
      <c r="M87" s="122">
        <v>5394</v>
      </c>
      <c r="N87" s="123">
        <v>0.15651801029159529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4"/>
    </row>
    <row r="92" spans="1:15" ht="48.75" customHeight="1" thickBot="1" x14ac:dyDescent="0.3">
      <c r="B92" s="278" t="s">
        <v>239</v>
      </c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3" t="s">
        <v>109</v>
      </c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</row>
    <row r="95" spans="1:15" ht="22.5" thickTop="1" thickBot="1" x14ac:dyDescent="0.3">
      <c r="B95" s="111"/>
      <c r="C95" s="305">
        <f>C$7</f>
        <v>2020</v>
      </c>
      <c r="D95" s="306"/>
      <c r="E95" s="305">
        <f>E$7</f>
        <v>2021</v>
      </c>
      <c r="F95" s="306"/>
      <c r="G95" s="305">
        <f>G$7</f>
        <v>2022</v>
      </c>
      <c r="H95" s="306"/>
      <c r="I95" s="305">
        <f>I$7</f>
        <v>2023</v>
      </c>
      <c r="J95" s="306"/>
      <c r="K95" s="305">
        <f>K$7</f>
        <v>2024</v>
      </c>
      <c r="L95" s="306"/>
      <c r="M95" s="305">
        <f>M$7</f>
        <v>2025</v>
      </c>
      <c r="N95" s="306"/>
    </row>
    <row r="96" spans="1:15" ht="16.5" thickTop="1" thickBot="1" x14ac:dyDescent="0.3">
      <c r="B96" s="87"/>
      <c r="C96" s="115" t="s">
        <v>71</v>
      </c>
      <c r="D96" s="116" t="str">
        <f>CONCATENATE("var ",RIGHT(C95,2),"/",RIGHT(C95-1,2))</f>
        <v>var 20/19</v>
      </c>
      <c r="E96" s="117" t="s">
        <v>71</v>
      </c>
      <c r="F96" s="116" t="str">
        <f>CONCATENATE("var ",RIGHT(E95,2),"/",RIGHT(E95-1,2))</f>
        <v>var 21/20</v>
      </c>
      <c r="G96" s="117" t="s">
        <v>71</v>
      </c>
      <c r="H96" s="116" t="str">
        <f>CONCATENATE("var ",RIGHT(G95,2),"/",RIGHT(G95-1,2))</f>
        <v>var 22/21</v>
      </c>
      <c r="I96" s="117" t="s">
        <v>71</v>
      </c>
      <c r="J96" s="116" t="str">
        <f>CONCATENATE("var ",RIGHT(I95,2),"/",RIGHT(I95-1,2))</f>
        <v>var 23/22</v>
      </c>
      <c r="K96" s="117" t="s">
        <v>71</v>
      </c>
      <c r="L96" s="116" t="str">
        <f>CONCATENATE("var ",RIGHT(K95,2),"/",RIGHT(K95-1,2))</f>
        <v>var 24/23</v>
      </c>
      <c r="M96" s="117" t="s">
        <v>71</v>
      </c>
      <c r="N96" s="116" t="str">
        <f>CONCATENATE("var ",RIGHT(M95,2),"/",RIGHT(M95-1,2))</f>
        <v>var 25/24</v>
      </c>
    </row>
    <row r="97" spans="2:14" x14ac:dyDescent="0.25">
      <c r="B97" s="118" t="s">
        <v>73</v>
      </c>
      <c r="C97" s="119">
        <v>2138</v>
      </c>
      <c r="D97" s="120">
        <v>6.3152660367976177E-2</v>
      </c>
      <c r="E97" s="119">
        <v>564</v>
      </c>
      <c r="F97" s="120">
        <f t="shared" ref="F97:L109" si="8">IFERROR(E97/C97-1,"-")</f>
        <v>-0.7362020579981291</v>
      </c>
      <c r="G97" s="119">
        <v>1754</v>
      </c>
      <c r="H97" s="120">
        <f t="shared" si="8"/>
        <v>2.1099290780141846</v>
      </c>
      <c r="I97" s="119">
        <v>2348</v>
      </c>
      <c r="J97" s="120">
        <f t="shared" si="8"/>
        <v>0.33865450399087793</v>
      </c>
      <c r="K97" s="119">
        <v>3040</v>
      </c>
      <c r="L97" s="120">
        <f t="shared" si="8"/>
        <v>0.29471890971039172</v>
      </c>
      <c r="M97" s="119">
        <v>2659</v>
      </c>
      <c r="N97" s="120">
        <f t="shared" ref="N97:N102" si="9">IFERROR(M97/K97-1,"-")</f>
        <v>-0.12532894736842104</v>
      </c>
    </row>
    <row r="98" spans="2:14" x14ac:dyDescent="0.25">
      <c r="B98" s="118" t="s">
        <v>75</v>
      </c>
      <c r="C98" s="119">
        <v>2298</v>
      </c>
      <c r="D98" s="120">
        <v>0.12979351032448383</v>
      </c>
      <c r="E98" s="119">
        <v>586</v>
      </c>
      <c r="F98" s="120">
        <f t="shared" si="8"/>
        <v>-0.74499564838990429</v>
      </c>
      <c r="G98" s="119">
        <v>1924</v>
      </c>
      <c r="H98" s="120">
        <f t="shared" si="8"/>
        <v>2.2832764505119454</v>
      </c>
      <c r="I98" s="119">
        <v>2169</v>
      </c>
      <c r="J98" s="120">
        <f t="shared" si="8"/>
        <v>0.12733887733887728</v>
      </c>
      <c r="K98" s="119">
        <v>2636</v>
      </c>
      <c r="L98" s="120">
        <f t="shared" si="8"/>
        <v>0.2153065928999538</v>
      </c>
      <c r="M98" s="119">
        <v>2434</v>
      </c>
      <c r="N98" s="120">
        <f t="shared" si="9"/>
        <v>-7.6631259484066794E-2</v>
      </c>
    </row>
    <row r="99" spans="2:14" x14ac:dyDescent="0.25">
      <c r="B99" s="118" t="s">
        <v>77</v>
      </c>
      <c r="C99" s="119">
        <v>864</v>
      </c>
      <c r="D99" s="120">
        <v>-0.60239300506212612</v>
      </c>
      <c r="E99" s="119">
        <v>920</v>
      </c>
      <c r="F99" s="120">
        <f t="shared" si="8"/>
        <v>6.4814814814814881E-2</v>
      </c>
      <c r="G99" s="119">
        <v>2063</v>
      </c>
      <c r="H99" s="120">
        <f t="shared" si="8"/>
        <v>1.2423913043478261</v>
      </c>
      <c r="I99" s="119">
        <v>2238</v>
      </c>
      <c r="J99" s="120">
        <f t="shared" si="8"/>
        <v>8.4827920504120247E-2</v>
      </c>
      <c r="K99" s="119">
        <v>2536</v>
      </c>
      <c r="L99" s="120">
        <f t="shared" si="8"/>
        <v>0.13315460232350307</v>
      </c>
      <c r="M99" s="119">
        <v>2579</v>
      </c>
      <c r="N99" s="120">
        <f t="shared" si="9"/>
        <v>1.6955835962145116E-2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807</v>
      </c>
      <c r="F100" s="120" t="str">
        <f t="shared" si="8"/>
        <v>-</v>
      </c>
      <c r="G100" s="119">
        <v>1446</v>
      </c>
      <c r="H100" s="120">
        <f t="shared" si="8"/>
        <v>0.79182156133828996</v>
      </c>
      <c r="I100" s="119">
        <v>1649</v>
      </c>
      <c r="J100" s="120">
        <f t="shared" si="8"/>
        <v>0.14038727524204697</v>
      </c>
      <c r="K100" s="119">
        <v>1778</v>
      </c>
      <c r="L100" s="120">
        <f t="shared" si="8"/>
        <v>7.8229229836264347E-2</v>
      </c>
      <c r="M100" s="119">
        <v>1473</v>
      </c>
      <c r="N100" s="120">
        <f t="shared" si="9"/>
        <v>-0.17154105736782899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928</v>
      </c>
      <c r="F101" s="120" t="str">
        <f t="shared" si="8"/>
        <v>-</v>
      </c>
      <c r="G101" s="119">
        <v>1161</v>
      </c>
      <c r="H101" s="120">
        <f t="shared" si="8"/>
        <v>0.25107758620689657</v>
      </c>
      <c r="I101" s="119">
        <v>1462</v>
      </c>
      <c r="J101" s="120">
        <f t="shared" si="8"/>
        <v>0.2592592592592593</v>
      </c>
      <c r="K101" s="119">
        <v>1356</v>
      </c>
      <c r="L101" s="120">
        <f t="shared" si="8"/>
        <v>-7.2503419972640204E-2</v>
      </c>
      <c r="M101" s="119">
        <v>1481</v>
      </c>
      <c r="N101" s="120">
        <f t="shared" si="9"/>
        <v>9.2182890855457167E-2</v>
      </c>
    </row>
    <row r="102" spans="2:14" x14ac:dyDescent="0.25">
      <c r="B102" s="118" t="s">
        <v>83</v>
      </c>
      <c r="C102" s="119">
        <v>0</v>
      </c>
      <c r="D102" s="120">
        <v>-1</v>
      </c>
      <c r="E102" s="119">
        <v>579</v>
      </c>
      <c r="F102" s="120" t="str">
        <f t="shared" si="8"/>
        <v>-</v>
      </c>
      <c r="G102" s="119">
        <v>940</v>
      </c>
      <c r="H102" s="120">
        <f t="shared" si="8"/>
        <v>0.62348877374784117</v>
      </c>
      <c r="I102" s="119">
        <v>897</v>
      </c>
      <c r="J102" s="120">
        <f t="shared" si="8"/>
        <v>-4.5744680851063868E-2</v>
      </c>
      <c r="K102" s="119">
        <v>956</v>
      </c>
      <c r="L102" s="120">
        <f t="shared" si="8"/>
        <v>6.5774804905239792E-2</v>
      </c>
      <c r="M102" s="119">
        <v>1002</v>
      </c>
      <c r="N102" s="120">
        <f t="shared" si="9"/>
        <v>4.8117154811715412E-2</v>
      </c>
    </row>
    <row r="103" spans="2:14" x14ac:dyDescent="0.25">
      <c r="B103" s="118" t="s">
        <v>85</v>
      </c>
      <c r="C103" s="119">
        <v>0</v>
      </c>
      <c r="D103" s="120">
        <v>-1</v>
      </c>
      <c r="E103" s="119">
        <v>804</v>
      </c>
      <c r="F103" s="120" t="str">
        <f t="shared" si="8"/>
        <v>-</v>
      </c>
      <c r="G103" s="119">
        <v>975</v>
      </c>
      <c r="H103" s="120">
        <f t="shared" si="8"/>
        <v>0.21268656716417911</v>
      </c>
      <c r="I103" s="119">
        <v>1154</v>
      </c>
      <c r="J103" s="120">
        <f t="shared" si="8"/>
        <v>0.18358974358974356</v>
      </c>
      <c r="K103" s="119">
        <v>1146</v>
      </c>
      <c r="L103" s="120">
        <f t="shared" si="8"/>
        <v>-6.9324090121317683E-3</v>
      </c>
      <c r="M103" s="119"/>
      <c r="N103" s="120"/>
    </row>
    <row r="104" spans="2:14" x14ac:dyDescent="0.25">
      <c r="B104" s="118" t="s">
        <v>87</v>
      </c>
      <c r="C104" s="119">
        <v>642</v>
      </c>
      <c r="D104" s="120">
        <v>-0.44076655052264813</v>
      </c>
      <c r="E104" s="119">
        <v>1117</v>
      </c>
      <c r="F104" s="120">
        <f t="shared" si="8"/>
        <v>0.7398753894080996</v>
      </c>
      <c r="G104" s="119">
        <v>1338</v>
      </c>
      <c r="H104" s="120">
        <f t="shared" si="8"/>
        <v>0.19785138764547905</v>
      </c>
      <c r="I104" s="119">
        <v>1273</v>
      </c>
      <c r="J104" s="120">
        <f t="shared" si="8"/>
        <v>-4.8579970104633774E-2</v>
      </c>
      <c r="K104" s="119">
        <v>1181</v>
      </c>
      <c r="L104" s="120">
        <f t="shared" si="8"/>
        <v>-7.2270227808326815E-2</v>
      </c>
      <c r="M104" s="119"/>
      <c r="N104" s="120"/>
    </row>
    <row r="105" spans="2:14" x14ac:dyDescent="0.25">
      <c r="B105" s="118" t="s">
        <v>89</v>
      </c>
      <c r="C105" s="119">
        <v>322</v>
      </c>
      <c r="D105" s="120">
        <v>-0.6867704280155642</v>
      </c>
      <c r="E105" s="119">
        <v>810</v>
      </c>
      <c r="F105" s="120">
        <f t="shared" si="8"/>
        <v>1.5155279503105592</v>
      </c>
      <c r="G105" s="119">
        <v>1069</v>
      </c>
      <c r="H105" s="120">
        <f t="shared" si="8"/>
        <v>0.31975308641975309</v>
      </c>
      <c r="I105" s="119">
        <v>1139</v>
      </c>
      <c r="J105" s="120">
        <f t="shared" si="8"/>
        <v>6.5481758652946587E-2</v>
      </c>
      <c r="K105" s="119">
        <v>995</v>
      </c>
      <c r="L105" s="120">
        <f t="shared" si="8"/>
        <v>-0.12642669007901663</v>
      </c>
      <c r="M105" s="119"/>
      <c r="N105" s="120"/>
    </row>
    <row r="106" spans="2:14" x14ac:dyDescent="0.25">
      <c r="B106" s="118" t="s">
        <v>91</v>
      </c>
      <c r="C106" s="119">
        <v>413</v>
      </c>
      <c r="D106" s="120">
        <v>-0.73129472999349376</v>
      </c>
      <c r="E106" s="119">
        <v>1253</v>
      </c>
      <c r="F106" s="120">
        <f t="shared" si="8"/>
        <v>2.0338983050847457</v>
      </c>
      <c r="G106" s="119">
        <v>1517</v>
      </c>
      <c r="H106" s="120">
        <f t="shared" si="8"/>
        <v>0.21069433359936163</v>
      </c>
      <c r="I106" s="119">
        <v>1594</v>
      </c>
      <c r="J106" s="120">
        <f t="shared" si="8"/>
        <v>5.0758075148318982E-2</v>
      </c>
      <c r="K106" s="119">
        <v>1757</v>
      </c>
      <c r="L106" s="120">
        <f t="shared" si="8"/>
        <v>0.10225846925972393</v>
      </c>
      <c r="M106" s="119"/>
      <c r="N106" s="120"/>
    </row>
    <row r="107" spans="2:14" x14ac:dyDescent="0.25">
      <c r="B107" s="118" t="s">
        <v>93</v>
      </c>
      <c r="C107" s="119">
        <v>507</v>
      </c>
      <c r="D107" s="120">
        <v>-0.77733860342555994</v>
      </c>
      <c r="E107" s="119">
        <v>1754</v>
      </c>
      <c r="F107" s="120">
        <f t="shared" si="8"/>
        <v>2.4595660749506902</v>
      </c>
      <c r="G107" s="119">
        <v>1682</v>
      </c>
      <c r="H107" s="120">
        <f t="shared" si="8"/>
        <v>-4.1049030786773133E-2</v>
      </c>
      <c r="I107" s="119">
        <v>2509</v>
      </c>
      <c r="J107" s="120">
        <f t="shared" si="8"/>
        <v>0.49167657550535071</v>
      </c>
      <c r="K107" s="119">
        <v>2180</v>
      </c>
      <c r="L107" s="120">
        <f t="shared" si="8"/>
        <v>-0.13112793941809486</v>
      </c>
      <c r="M107" s="119"/>
      <c r="N107" s="120"/>
    </row>
    <row r="108" spans="2:14" x14ac:dyDescent="0.25">
      <c r="B108" s="118" t="s">
        <v>95</v>
      </c>
      <c r="C108" s="119">
        <v>655</v>
      </c>
      <c r="D108" s="120">
        <v>-0.63387367244270543</v>
      </c>
      <c r="E108" s="119">
        <v>1590</v>
      </c>
      <c r="F108" s="120">
        <f t="shared" si="8"/>
        <v>1.4274809160305342</v>
      </c>
      <c r="G108" s="119">
        <v>1807</v>
      </c>
      <c r="H108" s="120">
        <f t="shared" si="8"/>
        <v>0.13647798742138373</v>
      </c>
      <c r="I108" s="119">
        <v>2003</v>
      </c>
      <c r="J108" s="120">
        <f t="shared" si="8"/>
        <v>0.10846707249584941</v>
      </c>
      <c r="K108" s="119">
        <v>2006</v>
      </c>
      <c r="L108" s="120">
        <f t="shared" si="8"/>
        <v>1.4977533699451762E-3</v>
      </c>
      <c r="M108" s="119"/>
      <c r="N108" s="120"/>
    </row>
    <row r="109" spans="2:14" ht="15.75" x14ac:dyDescent="0.25">
      <c r="B109" s="121" t="s">
        <v>32</v>
      </c>
      <c r="C109" s="122">
        <v>8198</v>
      </c>
      <c r="D109" s="123">
        <v>-0.56319266837169657</v>
      </c>
      <c r="E109" s="122">
        <v>11712</v>
      </c>
      <c r="F109" s="123">
        <f t="shared" si="8"/>
        <v>0.42864113198341069</v>
      </c>
      <c r="G109" s="122">
        <v>17676</v>
      </c>
      <c r="H109" s="123">
        <f t="shared" si="8"/>
        <v>0.50922131147540983</v>
      </c>
      <c r="I109" s="122">
        <v>20435</v>
      </c>
      <c r="J109" s="123">
        <f t="shared" si="8"/>
        <v>0.15608735007920349</v>
      </c>
      <c r="K109" s="122">
        <v>21567</v>
      </c>
      <c r="L109" s="123">
        <f t="shared" si="8"/>
        <v>5.539515537068751E-2</v>
      </c>
      <c r="M109" s="122">
        <v>11628</v>
      </c>
      <c r="N109" s="123">
        <v>-5.47878393757113E-2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4"/>
    </row>
    <row r="114" spans="1:15" ht="48.75" customHeight="1" thickBot="1" x14ac:dyDescent="0.3">
      <c r="B114" s="278" t="s">
        <v>240</v>
      </c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3" t="s">
        <v>112</v>
      </c>
      <c r="D116" s="304"/>
      <c r="E116" s="304"/>
      <c r="F116" s="304"/>
      <c r="G116" s="304"/>
      <c r="H116" s="304"/>
      <c r="I116" s="304"/>
      <c r="J116" s="304"/>
      <c r="K116" s="304"/>
      <c r="L116" s="304"/>
      <c r="M116" s="304"/>
      <c r="N116" s="304"/>
    </row>
    <row r="117" spans="1:15" ht="22.5" thickTop="1" thickBot="1" x14ac:dyDescent="0.3">
      <c r="B117" s="111"/>
      <c r="C117" s="305">
        <f>C$7</f>
        <v>2020</v>
      </c>
      <c r="D117" s="306"/>
      <c r="E117" s="305">
        <f>E$7</f>
        <v>2021</v>
      </c>
      <c r="F117" s="306"/>
      <c r="G117" s="305">
        <f>G$7</f>
        <v>2022</v>
      </c>
      <c r="H117" s="306"/>
      <c r="I117" s="305">
        <f>I$7</f>
        <v>2023</v>
      </c>
      <c r="J117" s="306"/>
      <c r="K117" s="305">
        <f>K$7</f>
        <v>2024</v>
      </c>
      <c r="L117" s="306"/>
      <c r="M117" s="305">
        <f>M$7</f>
        <v>2025</v>
      </c>
      <c r="N117" s="306"/>
    </row>
    <row r="118" spans="1:15" ht="16.5" thickTop="1" thickBot="1" x14ac:dyDescent="0.3">
      <c r="B118" s="87"/>
      <c r="C118" s="115" t="s">
        <v>71</v>
      </c>
      <c r="D118" s="116" t="str">
        <f>CONCATENATE("var ",RIGHT(C117,2),"/",RIGHT(C117-1,2))</f>
        <v>var 20/19</v>
      </c>
      <c r="E118" s="117" t="s">
        <v>71</v>
      </c>
      <c r="F118" s="116" t="str">
        <f>CONCATENATE("var ",RIGHT(E117,2),"/",RIGHT(E117-1,2))</f>
        <v>var 21/20</v>
      </c>
      <c r="G118" s="117" t="s">
        <v>71</v>
      </c>
      <c r="H118" s="116" t="str">
        <f>CONCATENATE("var ",RIGHT(G117,2),"/",RIGHT(G117-1,2))</f>
        <v>var 22/21</v>
      </c>
      <c r="I118" s="117" t="s">
        <v>71</v>
      </c>
      <c r="J118" s="116" t="str">
        <f>CONCATENATE("var ",RIGHT(I117,2),"/",RIGHT(I117-1,2))</f>
        <v>var 23/22</v>
      </c>
      <c r="K118" s="117" t="s">
        <v>71</v>
      </c>
      <c r="L118" s="116" t="str">
        <f>CONCATENATE("var ",RIGHT(K117,2),"/",RIGHT(K117-1,2))</f>
        <v>var 24/23</v>
      </c>
      <c r="M118" s="117" t="s">
        <v>71</v>
      </c>
      <c r="N118" s="116" t="str">
        <f>CONCATENATE("var ",RIGHT(M117,2),"/",RIGHT(M117-1,2))</f>
        <v>var 25/24</v>
      </c>
    </row>
    <row r="119" spans="1:15" x14ac:dyDescent="0.25">
      <c r="B119" s="118" t="s">
        <v>73</v>
      </c>
      <c r="C119" s="119">
        <v>357</v>
      </c>
      <c r="D119" s="120">
        <v>6.25E-2</v>
      </c>
      <c r="E119" s="119">
        <v>24</v>
      </c>
      <c r="F119" s="120">
        <f t="shared" ref="F119:L131" si="10">IFERROR(E119/C119-1,"-")</f>
        <v>-0.9327731092436975</v>
      </c>
      <c r="G119" s="119">
        <v>277</v>
      </c>
      <c r="H119" s="120">
        <f t="shared" si="10"/>
        <v>10.541666666666666</v>
      </c>
      <c r="I119" s="119">
        <v>378</v>
      </c>
      <c r="J119" s="120">
        <f t="shared" si="10"/>
        <v>0.36462093862815892</v>
      </c>
      <c r="K119" s="119">
        <v>447</v>
      </c>
      <c r="L119" s="120">
        <f t="shared" si="10"/>
        <v>0.18253968253968256</v>
      </c>
      <c r="M119" s="119">
        <v>393</v>
      </c>
      <c r="N119" s="120">
        <f t="shared" ref="N119:N124" si="11">IFERROR(M119/K119-1,"-")</f>
        <v>-0.12080536912751683</v>
      </c>
    </row>
    <row r="120" spans="1:15" x14ac:dyDescent="0.25">
      <c r="B120" s="118" t="s">
        <v>75</v>
      </c>
      <c r="C120" s="119">
        <v>525</v>
      </c>
      <c r="D120" s="120">
        <v>0.37434554973821998</v>
      </c>
      <c r="E120" s="119">
        <v>25</v>
      </c>
      <c r="F120" s="120">
        <f t="shared" si="10"/>
        <v>-0.95238095238095233</v>
      </c>
      <c r="G120" s="119">
        <v>330</v>
      </c>
      <c r="H120" s="120">
        <f t="shared" si="10"/>
        <v>12.2</v>
      </c>
      <c r="I120" s="119">
        <v>411</v>
      </c>
      <c r="J120" s="120">
        <f t="shared" si="10"/>
        <v>0.24545454545454537</v>
      </c>
      <c r="K120" s="119">
        <v>472</v>
      </c>
      <c r="L120" s="120">
        <f t="shared" si="10"/>
        <v>0.14841849148418484</v>
      </c>
      <c r="M120" s="119">
        <v>478</v>
      </c>
      <c r="N120" s="120">
        <f t="shared" si="11"/>
        <v>1.2711864406779627E-2</v>
      </c>
    </row>
    <row r="121" spans="1:15" x14ac:dyDescent="0.25">
      <c r="B121" s="118" t="s">
        <v>77</v>
      </c>
      <c r="C121" s="119">
        <v>112</v>
      </c>
      <c r="D121" s="120">
        <v>-0.6216216216216216</v>
      </c>
      <c r="E121" s="119">
        <v>35</v>
      </c>
      <c r="F121" s="120">
        <f t="shared" si="10"/>
        <v>-0.6875</v>
      </c>
      <c r="G121" s="119">
        <v>308</v>
      </c>
      <c r="H121" s="120">
        <f t="shared" si="10"/>
        <v>7.8000000000000007</v>
      </c>
      <c r="I121" s="119">
        <v>344</v>
      </c>
      <c r="J121" s="120">
        <f t="shared" si="10"/>
        <v>0.11688311688311681</v>
      </c>
      <c r="K121" s="119">
        <v>445</v>
      </c>
      <c r="L121" s="120">
        <f t="shared" si="10"/>
        <v>0.29360465116279078</v>
      </c>
      <c r="M121" s="119">
        <v>317</v>
      </c>
      <c r="N121" s="120">
        <f t="shared" si="11"/>
        <v>-0.28764044943820222</v>
      </c>
    </row>
    <row r="122" spans="1:15" x14ac:dyDescent="0.25">
      <c r="B122" s="118" t="s">
        <v>79</v>
      </c>
      <c r="C122" s="119">
        <v>0</v>
      </c>
      <c r="D122" s="120">
        <v>-1</v>
      </c>
      <c r="E122" s="119">
        <v>17</v>
      </c>
      <c r="F122" s="120" t="str">
        <f t="shared" si="10"/>
        <v>-</v>
      </c>
      <c r="G122" s="119">
        <v>129</v>
      </c>
      <c r="H122" s="120">
        <f t="shared" si="10"/>
        <v>6.5882352941176467</v>
      </c>
      <c r="I122" s="119">
        <v>155</v>
      </c>
      <c r="J122" s="120">
        <f t="shared" si="10"/>
        <v>0.20155038759689914</v>
      </c>
      <c r="K122" s="119">
        <v>248</v>
      </c>
      <c r="L122" s="120">
        <f t="shared" si="10"/>
        <v>0.60000000000000009</v>
      </c>
      <c r="M122" s="119">
        <v>127</v>
      </c>
      <c r="N122" s="120">
        <f t="shared" si="11"/>
        <v>-0.48790322580645162</v>
      </c>
    </row>
    <row r="123" spans="1:15" x14ac:dyDescent="0.25">
      <c r="B123" s="118" t="s">
        <v>81</v>
      </c>
      <c r="C123" s="119">
        <v>0</v>
      </c>
      <c r="D123" s="120">
        <v>-1</v>
      </c>
      <c r="E123" s="119">
        <v>19</v>
      </c>
      <c r="F123" s="120" t="str">
        <f t="shared" si="10"/>
        <v>-</v>
      </c>
      <c r="G123" s="119">
        <v>143</v>
      </c>
      <c r="H123" s="120">
        <f t="shared" si="10"/>
        <v>6.5263157894736841</v>
      </c>
      <c r="I123" s="119">
        <v>149</v>
      </c>
      <c r="J123" s="120">
        <f t="shared" si="10"/>
        <v>4.195804195804187E-2</v>
      </c>
      <c r="K123" s="119">
        <v>133</v>
      </c>
      <c r="L123" s="120">
        <f t="shared" si="10"/>
        <v>-0.10738255033557043</v>
      </c>
      <c r="M123" s="119">
        <v>124</v>
      </c>
      <c r="N123" s="120">
        <f t="shared" si="11"/>
        <v>-6.7669172932330879E-2</v>
      </c>
    </row>
    <row r="124" spans="1:15" x14ac:dyDescent="0.25">
      <c r="B124" s="118" t="s">
        <v>83</v>
      </c>
      <c r="C124" s="119">
        <v>0</v>
      </c>
      <c r="D124" s="120">
        <v>-1</v>
      </c>
      <c r="E124" s="119">
        <v>25</v>
      </c>
      <c r="F124" s="120" t="str">
        <f t="shared" si="10"/>
        <v>-</v>
      </c>
      <c r="G124" s="119">
        <v>120</v>
      </c>
      <c r="H124" s="120">
        <f t="shared" si="10"/>
        <v>3.8</v>
      </c>
      <c r="I124" s="119">
        <v>124</v>
      </c>
      <c r="J124" s="120">
        <f t="shared" si="10"/>
        <v>3.3333333333333437E-2</v>
      </c>
      <c r="K124" s="119">
        <v>100</v>
      </c>
      <c r="L124" s="120">
        <f t="shared" si="10"/>
        <v>-0.19354838709677424</v>
      </c>
      <c r="M124" s="119">
        <v>113</v>
      </c>
      <c r="N124" s="120">
        <f t="shared" si="11"/>
        <v>0.12999999999999989</v>
      </c>
    </row>
    <row r="125" spans="1:15" x14ac:dyDescent="0.25">
      <c r="B125" s="118" t="s">
        <v>85</v>
      </c>
      <c r="C125" s="119">
        <v>0</v>
      </c>
      <c r="D125" s="120">
        <v>-1</v>
      </c>
      <c r="E125" s="119">
        <v>49</v>
      </c>
      <c r="F125" s="120" t="str">
        <f t="shared" si="10"/>
        <v>-</v>
      </c>
      <c r="G125" s="119">
        <v>82</v>
      </c>
      <c r="H125" s="120">
        <f t="shared" si="10"/>
        <v>0.67346938775510212</v>
      </c>
      <c r="I125" s="119">
        <v>160</v>
      </c>
      <c r="J125" s="120">
        <f t="shared" si="10"/>
        <v>0.95121951219512191</v>
      </c>
      <c r="K125" s="119">
        <v>156</v>
      </c>
      <c r="L125" s="120">
        <f t="shared" si="10"/>
        <v>-2.5000000000000022E-2</v>
      </c>
      <c r="M125" s="119"/>
      <c r="N125" s="120"/>
    </row>
    <row r="126" spans="1:15" x14ac:dyDescent="0.25">
      <c r="B126" s="118" t="s">
        <v>87</v>
      </c>
      <c r="C126" s="119">
        <v>24</v>
      </c>
      <c r="D126" s="120">
        <v>-0.72093023255813948</v>
      </c>
      <c r="E126" s="119">
        <v>79</v>
      </c>
      <c r="F126" s="120">
        <f t="shared" si="10"/>
        <v>2.2916666666666665</v>
      </c>
      <c r="G126" s="119">
        <v>109</v>
      </c>
      <c r="H126" s="120">
        <f t="shared" si="10"/>
        <v>0.379746835443038</v>
      </c>
      <c r="I126" s="119">
        <v>153</v>
      </c>
      <c r="J126" s="120">
        <f t="shared" si="10"/>
        <v>0.40366972477064222</v>
      </c>
      <c r="K126" s="119">
        <v>122</v>
      </c>
      <c r="L126" s="120">
        <f t="shared" si="10"/>
        <v>-0.20261437908496727</v>
      </c>
      <c r="M126" s="119"/>
      <c r="N126" s="120"/>
    </row>
    <row r="127" spans="1:15" x14ac:dyDescent="0.25">
      <c r="B127" s="118" t="s">
        <v>89</v>
      </c>
      <c r="C127" s="119">
        <v>24</v>
      </c>
      <c r="D127" s="120">
        <v>-0.82978723404255317</v>
      </c>
      <c r="E127" s="119">
        <v>73</v>
      </c>
      <c r="F127" s="120">
        <f t="shared" si="10"/>
        <v>2.0416666666666665</v>
      </c>
      <c r="G127" s="119">
        <v>163</v>
      </c>
      <c r="H127" s="120">
        <f t="shared" si="10"/>
        <v>1.2328767123287672</v>
      </c>
      <c r="I127" s="119">
        <v>144</v>
      </c>
      <c r="J127" s="120">
        <f t="shared" si="10"/>
        <v>-0.1165644171779141</v>
      </c>
      <c r="K127" s="119">
        <v>123</v>
      </c>
      <c r="L127" s="120">
        <f t="shared" si="10"/>
        <v>-0.14583333333333337</v>
      </c>
      <c r="M127" s="119"/>
      <c r="N127" s="120"/>
    </row>
    <row r="128" spans="1:15" x14ac:dyDescent="0.25">
      <c r="A128" s="124"/>
      <c r="B128" s="118" t="s">
        <v>91</v>
      </c>
      <c r="C128" s="119">
        <v>50</v>
      </c>
      <c r="D128" s="120">
        <v>-0.65034965034965042</v>
      </c>
      <c r="E128" s="119">
        <v>163</v>
      </c>
      <c r="F128" s="120">
        <f t="shared" si="10"/>
        <v>2.2599999999999998</v>
      </c>
      <c r="G128" s="119">
        <v>175</v>
      </c>
      <c r="H128" s="120">
        <f t="shared" si="10"/>
        <v>7.361963190184051E-2</v>
      </c>
      <c r="I128" s="119">
        <v>180</v>
      </c>
      <c r="J128" s="120">
        <f t="shared" si="10"/>
        <v>2.857142857142847E-2</v>
      </c>
      <c r="K128" s="119">
        <v>204</v>
      </c>
      <c r="L128" s="120">
        <f t="shared" si="10"/>
        <v>0.1333333333333333</v>
      </c>
      <c r="M128" s="119"/>
      <c r="N128" s="120"/>
    </row>
    <row r="129" spans="2:15" x14ac:dyDescent="0.25">
      <c r="B129" s="118" t="s">
        <v>93</v>
      </c>
      <c r="C129" s="119">
        <v>96</v>
      </c>
      <c r="D129" s="120">
        <v>-0.65957446808510634</v>
      </c>
      <c r="E129" s="119">
        <v>241</v>
      </c>
      <c r="F129" s="120">
        <f t="shared" si="10"/>
        <v>1.5104166666666665</v>
      </c>
      <c r="G129" s="119">
        <v>264</v>
      </c>
      <c r="H129" s="120">
        <f t="shared" si="10"/>
        <v>9.543568464730301E-2</v>
      </c>
      <c r="I129" s="119">
        <v>278</v>
      </c>
      <c r="J129" s="120">
        <f t="shared" si="10"/>
        <v>5.3030303030302983E-2</v>
      </c>
      <c r="K129" s="119">
        <v>320</v>
      </c>
      <c r="L129" s="120">
        <f t="shared" si="10"/>
        <v>0.15107913669064743</v>
      </c>
      <c r="M129" s="119"/>
      <c r="N129" s="120"/>
    </row>
    <row r="130" spans="2:15" x14ac:dyDescent="0.25">
      <c r="B130" s="118" t="s">
        <v>95</v>
      </c>
      <c r="C130" s="119">
        <v>74</v>
      </c>
      <c r="D130" s="120">
        <v>-0.67543859649122806</v>
      </c>
      <c r="E130" s="119">
        <v>171</v>
      </c>
      <c r="F130" s="120">
        <f t="shared" si="10"/>
        <v>1.310810810810811</v>
      </c>
      <c r="G130" s="119">
        <v>303</v>
      </c>
      <c r="H130" s="120">
        <f t="shared" si="10"/>
        <v>0.77192982456140347</v>
      </c>
      <c r="I130" s="119">
        <v>319</v>
      </c>
      <c r="J130" s="120">
        <f t="shared" si="10"/>
        <v>5.2805280528052778E-2</v>
      </c>
      <c r="K130" s="119">
        <v>260</v>
      </c>
      <c r="L130" s="120">
        <f t="shared" si="10"/>
        <v>-0.1849529780564263</v>
      </c>
      <c r="M130" s="119"/>
      <c r="N130" s="120"/>
    </row>
    <row r="131" spans="2:15" ht="15.75" x14ac:dyDescent="0.25">
      <c r="B131" s="121" t="s">
        <v>32</v>
      </c>
      <c r="C131" s="122">
        <v>1288</v>
      </c>
      <c r="D131" s="123">
        <v>-0.46798843453118544</v>
      </c>
      <c r="E131" s="122">
        <v>921</v>
      </c>
      <c r="F131" s="123">
        <f t="shared" si="10"/>
        <v>-0.28493788819875776</v>
      </c>
      <c r="G131" s="122">
        <v>2403</v>
      </c>
      <c r="H131" s="123">
        <f t="shared" si="10"/>
        <v>1.6091205211726383</v>
      </c>
      <c r="I131" s="122">
        <v>2795</v>
      </c>
      <c r="J131" s="123">
        <f t="shared" si="10"/>
        <v>0.16312942155638788</v>
      </c>
      <c r="K131" s="122">
        <v>3030</v>
      </c>
      <c r="L131" s="123">
        <f t="shared" si="10"/>
        <v>8.4078711985688726E-2</v>
      </c>
      <c r="M131" s="122">
        <v>1552</v>
      </c>
      <c r="N131" s="123">
        <v>-0.1588075880758808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4"/>
      <c r="M134" s="124"/>
      <c r="N134" s="126"/>
    </row>
    <row r="136" spans="2:15" ht="48.75" customHeight="1" thickBot="1" x14ac:dyDescent="0.3">
      <c r="B136" s="278" t="s">
        <v>241</v>
      </c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3" t="s">
        <v>115</v>
      </c>
      <c r="D138" s="304"/>
      <c r="E138" s="304"/>
      <c r="F138" s="304"/>
      <c r="G138" s="304"/>
      <c r="H138" s="304"/>
      <c r="I138" s="304"/>
      <c r="J138" s="304"/>
      <c r="K138" s="304"/>
      <c r="L138" s="304"/>
      <c r="M138" s="304"/>
      <c r="N138" s="304"/>
    </row>
    <row r="139" spans="2:15" ht="22.5" thickTop="1" thickBot="1" x14ac:dyDescent="0.3">
      <c r="B139" s="111"/>
      <c r="C139" s="305">
        <f>C$7</f>
        <v>2020</v>
      </c>
      <c r="D139" s="306"/>
      <c r="E139" s="305">
        <f>E$7</f>
        <v>2021</v>
      </c>
      <c r="F139" s="306"/>
      <c r="G139" s="305">
        <f>G$7</f>
        <v>2022</v>
      </c>
      <c r="H139" s="306"/>
      <c r="I139" s="305">
        <f>I$7</f>
        <v>2023</v>
      </c>
      <c r="J139" s="306"/>
      <c r="K139" s="305">
        <f>K$7</f>
        <v>2024</v>
      </c>
      <c r="L139" s="306"/>
      <c r="M139" s="305">
        <f>M$7</f>
        <v>2025</v>
      </c>
      <c r="N139" s="306"/>
    </row>
    <row r="140" spans="2:15" ht="16.5" thickTop="1" thickBot="1" x14ac:dyDescent="0.3">
      <c r="B140" s="87"/>
      <c r="C140" s="115" t="s">
        <v>71</v>
      </c>
      <c r="D140" s="116" t="str">
        <f>CONCATENATE("var ",RIGHT(C139,2),"/",RIGHT(C139-1,2))</f>
        <v>var 20/19</v>
      </c>
      <c r="E140" s="117" t="s">
        <v>71</v>
      </c>
      <c r="F140" s="116" t="str">
        <f>CONCATENATE("var ",RIGHT(E139,2),"/",RIGHT(E139-1,2))</f>
        <v>var 21/20</v>
      </c>
      <c r="G140" s="117" t="s">
        <v>71</v>
      </c>
      <c r="H140" s="116" t="str">
        <f>CONCATENATE("var ",RIGHT(G139,2),"/",RIGHT(G139-1,2))</f>
        <v>var 22/21</v>
      </c>
      <c r="I140" s="117" t="s">
        <v>71</v>
      </c>
      <c r="J140" s="116" t="str">
        <f>CONCATENATE("var ",RIGHT(I139,2),"/",RIGHT(I139-1,2))</f>
        <v>var 23/22</v>
      </c>
      <c r="K140" s="117" t="s">
        <v>71</v>
      </c>
      <c r="L140" s="116" t="str">
        <f>CONCATENATE("var ",RIGHT(K139,2),"/",RIGHT(K139-1,2))</f>
        <v>var 24/23</v>
      </c>
      <c r="M140" s="117" t="s">
        <v>71</v>
      </c>
      <c r="N140" s="116" t="str">
        <f>CONCATENATE("var ",RIGHT(M139,2),"/",RIGHT(M139-1,2))</f>
        <v>var 25/24</v>
      </c>
    </row>
    <row r="141" spans="2:15" x14ac:dyDescent="0.25">
      <c r="B141" s="118" t="s">
        <v>73</v>
      </c>
      <c r="C141" s="119">
        <v>427</v>
      </c>
      <c r="D141" s="120">
        <v>0.12368421052631584</v>
      </c>
      <c r="E141" s="119">
        <v>89</v>
      </c>
      <c r="F141" s="120">
        <f t="shared" ref="F141:L153" si="12">IFERROR(E141/C141-1,"-")</f>
        <v>-0.79156908665105385</v>
      </c>
      <c r="G141" s="119">
        <v>309</v>
      </c>
      <c r="H141" s="120">
        <f t="shared" si="12"/>
        <v>2.4719101123595504</v>
      </c>
      <c r="I141" s="119">
        <v>460</v>
      </c>
      <c r="J141" s="120">
        <f t="shared" si="12"/>
        <v>0.48867313915857613</v>
      </c>
      <c r="K141" s="119">
        <v>643</v>
      </c>
      <c r="L141" s="120">
        <f t="shared" si="12"/>
        <v>0.39782608695652177</v>
      </c>
      <c r="M141" s="119">
        <v>526</v>
      </c>
      <c r="N141" s="120">
        <f t="shared" ref="N141:N146" si="13">IFERROR(M141/K141-1,"-")</f>
        <v>-0.18195956454121309</v>
      </c>
    </row>
    <row r="142" spans="2:15" x14ac:dyDescent="0.25">
      <c r="B142" s="118" t="s">
        <v>75</v>
      </c>
      <c r="C142" s="119">
        <v>458</v>
      </c>
      <c r="D142" s="120">
        <v>-3.9832285115304011E-2</v>
      </c>
      <c r="E142" s="119">
        <v>92</v>
      </c>
      <c r="F142" s="120">
        <f t="shared" si="12"/>
        <v>-0.79912663755458513</v>
      </c>
      <c r="G142" s="119">
        <v>390</v>
      </c>
      <c r="H142" s="120">
        <f t="shared" si="12"/>
        <v>3.2391304347826084</v>
      </c>
      <c r="I142" s="119">
        <v>440</v>
      </c>
      <c r="J142" s="120">
        <f t="shared" si="12"/>
        <v>0.12820512820512819</v>
      </c>
      <c r="K142" s="119">
        <v>537</v>
      </c>
      <c r="L142" s="120">
        <f t="shared" si="12"/>
        <v>0.22045454545454546</v>
      </c>
      <c r="M142" s="119">
        <v>505</v>
      </c>
      <c r="N142" s="120">
        <f t="shared" si="13"/>
        <v>-5.9590316573556845E-2</v>
      </c>
    </row>
    <row r="143" spans="2:15" x14ac:dyDescent="0.25">
      <c r="B143" s="118" t="s">
        <v>77</v>
      </c>
      <c r="C143" s="119">
        <v>186</v>
      </c>
      <c r="D143" s="120">
        <v>-0.70382165605095537</v>
      </c>
      <c r="E143" s="119">
        <v>167</v>
      </c>
      <c r="F143" s="120">
        <f t="shared" si="12"/>
        <v>-0.10215053763440862</v>
      </c>
      <c r="G143" s="119">
        <v>431</v>
      </c>
      <c r="H143" s="120">
        <f t="shared" si="12"/>
        <v>1.5808383233532934</v>
      </c>
      <c r="I143" s="119">
        <v>450</v>
      </c>
      <c r="J143" s="120">
        <f t="shared" si="12"/>
        <v>4.4083526682134666E-2</v>
      </c>
      <c r="K143" s="119">
        <v>565</v>
      </c>
      <c r="L143" s="120">
        <f t="shared" si="12"/>
        <v>0.25555555555555554</v>
      </c>
      <c r="M143" s="119">
        <v>519</v>
      </c>
      <c r="N143" s="120">
        <f t="shared" si="13"/>
        <v>-8.1415929203539794E-2</v>
      </c>
    </row>
    <row r="144" spans="2:15" x14ac:dyDescent="0.25">
      <c r="B144" s="118" t="s">
        <v>79</v>
      </c>
      <c r="C144" s="119">
        <v>0</v>
      </c>
      <c r="D144" s="120">
        <v>-1</v>
      </c>
      <c r="E144" s="119">
        <v>83</v>
      </c>
      <c r="F144" s="120" t="str">
        <f t="shared" si="12"/>
        <v>-</v>
      </c>
      <c r="G144" s="119">
        <v>352</v>
      </c>
      <c r="H144" s="120">
        <f t="shared" si="12"/>
        <v>3.2409638554216871</v>
      </c>
      <c r="I144" s="119">
        <v>358</v>
      </c>
      <c r="J144" s="120">
        <f t="shared" si="12"/>
        <v>1.7045454545454586E-2</v>
      </c>
      <c r="K144" s="119">
        <v>348</v>
      </c>
      <c r="L144" s="120">
        <f t="shared" si="12"/>
        <v>-2.7932960893854775E-2</v>
      </c>
      <c r="M144" s="119">
        <v>519</v>
      </c>
      <c r="N144" s="120">
        <f t="shared" si="13"/>
        <v>0.49137931034482762</v>
      </c>
    </row>
    <row r="145" spans="1:15" x14ac:dyDescent="0.25">
      <c r="B145" s="118" t="s">
        <v>81</v>
      </c>
      <c r="C145" s="119">
        <v>0</v>
      </c>
      <c r="D145" s="120">
        <v>-1</v>
      </c>
      <c r="E145" s="119">
        <v>122</v>
      </c>
      <c r="F145" s="120" t="str">
        <f t="shared" si="12"/>
        <v>-</v>
      </c>
      <c r="G145" s="119">
        <v>190</v>
      </c>
      <c r="H145" s="120">
        <f t="shared" si="12"/>
        <v>0.55737704918032782</v>
      </c>
      <c r="I145" s="119">
        <v>188</v>
      </c>
      <c r="J145" s="120">
        <f t="shared" si="12"/>
        <v>-1.0526315789473717E-2</v>
      </c>
      <c r="K145" s="119">
        <v>242</v>
      </c>
      <c r="L145" s="120">
        <f t="shared" si="12"/>
        <v>0.2872340425531914</v>
      </c>
      <c r="M145" s="119">
        <v>519</v>
      </c>
      <c r="N145" s="120">
        <f t="shared" si="13"/>
        <v>1.1446280991735538</v>
      </c>
    </row>
    <row r="146" spans="1:15" x14ac:dyDescent="0.25">
      <c r="B146" s="118" t="s">
        <v>83</v>
      </c>
      <c r="C146" s="119">
        <v>0</v>
      </c>
      <c r="D146" s="120">
        <v>-1</v>
      </c>
      <c r="E146" s="119">
        <v>106</v>
      </c>
      <c r="F146" s="120" t="str">
        <f t="shared" si="12"/>
        <v>-</v>
      </c>
      <c r="G146" s="119">
        <v>171</v>
      </c>
      <c r="H146" s="120">
        <f t="shared" si="12"/>
        <v>0.6132075471698113</v>
      </c>
      <c r="I146" s="119">
        <v>128</v>
      </c>
      <c r="J146" s="120">
        <f t="shared" si="12"/>
        <v>-0.25146198830409361</v>
      </c>
      <c r="K146" s="119">
        <v>154</v>
      </c>
      <c r="L146" s="120">
        <f t="shared" si="12"/>
        <v>0.203125</v>
      </c>
      <c r="M146" s="119">
        <v>519</v>
      </c>
      <c r="N146" s="120">
        <f t="shared" si="13"/>
        <v>2.3701298701298703</v>
      </c>
    </row>
    <row r="147" spans="1:15" x14ac:dyDescent="0.25">
      <c r="B147" s="118" t="s">
        <v>85</v>
      </c>
      <c r="C147" s="119">
        <v>0</v>
      </c>
      <c r="D147" s="120">
        <v>-1</v>
      </c>
      <c r="E147" s="119">
        <v>120</v>
      </c>
      <c r="F147" s="120" t="str">
        <f t="shared" si="12"/>
        <v>-</v>
      </c>
      <c r="G147" s="119">
        <v>136</v>
      </c>
      <c r="H147" s="120">
        <f t="shared" si="12"/>
        <v>0.1333333333333333</v>
      </c>
      <c r="I147" s="119">
        <v>108</v>
      </c>
      <c r="J147" s="120">
        <f t="shared" si="12"/>
        <v>-0.20588235294117652</v>
      </c>
      <c r="K147" s="119">
        <v>124</v>
      </c>
      <c r="L147" s="120">
        <f t="shared" si="12"/>
        <v>0.14814814814814814</v>
      </c>
      <c r="M147" s="119"/>
      <c r="N147" s="120"/>
    </row>
    <row r="148" spans="1:15" x14ac:dyDescent="0.25">
      <c r="B148" s="118" t="s">
        <v>87</v>
      </c>
      <c r="C148" s="119">
        <v>86</v>
      </c>
      <c r="D148" s="120">
        <v>-0.38571428571428568</v>
      </c>
      <c r="E148" s="119">
        <v>203</v>
      </c>
      <c r="F148" s="120">
        <f t="shared" si="12"/>
        <v>1.36046511627907</v>
      </c>
      <c r="G148" s="119">
        <v>193</v>
      </c>
      <c r="H148" s="120">
        <f t="shared" si="12"/>
        <v>-4.9261083743842415E-2</v>
      </c>
      <c r="I148" s="119">
        <v>235</v>
      </c>
      <c r="J148" s="120">
        <f t="shared" si="12"/>
        <v>0.21761658031088094</v>
      </c>
      <c r="K148" s="119">
        <v>173</v>
      </c>
      <c r="L148" s="120">
        <f t="shared" si="12"/>
        <v>-0.2638297872340426</v>
      </c>
      <c r="M148" s="119"/>
      <c r="N148" s="120"/>
    </row>
    <row r="149" spans="1:15" x14ac:dyDescent="0.25">
      <c r="B149" s="118" t="s">
        <v>89</v>
      </c>
      <c r="C149" s="119">
        <v>42</v>
      </c>
      <c r="D149" s="120">
        <v>-0.76536312849162014</v>
      </c>
      <c r="E149" s="119">
        <v>194</v>
      </c>
      <c r="F149" s="120">
        <f t="shared" si="12"/>
        <v>3.6190476190476186</v>
      </c>
      <c r="G149" s="119">
        <v>224</v>
      </c>
      <c r="H149" s="120">
        <f t="shared" si="12"/>
        <v>0.15463917525773185</v>
      </c>
      <c r="I149" s="119">
        <v>222</v>
      </c>
      <c r="J149" s="120">
        <f t="shared" si="12"/>
        <v>-8.9285714285713969E-3</v>
      </c>
      <c r="K149" s="119">
        <v>224</v>
      </c>
      <c r="L149" s="120">
        <f t="shared" si="12"/>
        <v>9.009009009008917E-3</v>
      </c>
      <c r="M149" s="119"/>
      <c r="N149" s="120"/>
    </row>
    <row r="150" spans="1:15" x14ac:dyDescent="0.25">
      <c r="A150" s="124"/>
      <c r="B150" s="118" t="s">
        <v>91</v>
      </c>
      <c r="C150" s="119">
        <v>40</v>
      </c>
      <c r="D150" s="120">
        <v>-0.89924433249370272</v>
      </c>
      <c r="E150" s="119">
        <v>402</v>
      </c>
      <c r="F150" s="120">
        <f t="shared" si="12"/>
        <v>9.0500000000000007</v>
      </c>
      <c r="G150" s="119">
        <v>318</v>
      </c>
      <c r="H150" s="120">
        <f t="shared" si="12"/>
        <v>-0.20895522388059706</v>
      </c>
      <c r="I150" s="119">
        <v>304</v>
      </c>
      <c r="J150" s="120">
        <f t="shared" si="12"/>
        <v>-4.4025157232704393E-2</v>
      </c>
      <c r="K150" s="119">
        <v>305</v>
      </c>
      <c r="L150" s="120">
        <f t="shared" si="12"/>
        <v>3.2894736842106198E-3</v>
      </c>
      <c r="M150" s="119"/>
      <c r="N150" s="120"/>
    </row>
    <row r="151" spans="1:15" x14ac:dyDescent="0.25">
      <c r="B151" s="118" t="s">
        <v>93</v>
      </c>
      <c r="C151" s="119">
        <v>103</v>
      </c>
      <c r="D151" s="120">
        <v>-0.80783582089552242</v>
      </c>
      <c r="E151" s="119">
        <v>469</v>
      </c>
      <c r="F151" s="120">
        <f t="shared" si="12"/>
        <v>3.5533980582524274</v>
      </c>
      <c r="G151" s="119">
        <v>407</v>
      </c>
      <c r="H151" s="120">
        <f t="shared" si="12"/>
        <v>-0.13219616204690832</v>
      </c>
      <c r="I151" s="119">
        <v>499</v>
      </c>
      <c r="J151" s="120">
        <f t="shared" si="12"/>
        <v>0.22604422604422614</v>
      </c>
      <c r="K151" s="119">
        <v>459</v>
      </c>
      <c r="L151" s="120">
        <f t="shared" si="12"/>
        <v>-8.0160320641282534E-2</v>
      </c>
      <c r="M151" s="119"/>
      <c r="N151" s="120"/>
    </row>
    <row r="152" spans="1:15" x14ac:dyDescent="0.25">
      <c r="B152" s="118" t="s">
        <v>95</v>
      </c>
      <c r="C152" s="119">
        <v>87</v>
      </c>
      <c r="D152" s="120">
        <v>-0.77044854881266489</v>
      </c>
      <c r="E152" s="119">
        <v>348</v>
      </c>
      <c r="F152" s="120">
        <f t="shared" si="12"/>
        <v>3</v>
      </c>
      <c r="G152" s="119">
        <v>361</v>
      </c>
      <c r="H152" s="120">
        <f t="shared" si="12"/>
        <v>3.7356321839080442E-2</v>
      </c>
      <c r="I152" s="119">
        <v>422</v>
      </c>
      <c r="J152" s="120">
        <f t="shared" si="12"/>
        <v>0.1689750692520775</v>
      </c>
      <c r="K152" s="119">
        <v>460</v>
      </c>
      <c r="L152" s="120">
        <f t="shared" si="12"/>
        <v>9.004739336492884E-2</v>
      </c>
      <c r="M152" s="119"/>
      <c r="N152" s="120"/>
    </row>
    <row r="153" spans="1:15" ht="15.75" x14ac:dyDescent="0.25">
      <c r="B153" s="121" t="s">
        <v>32</v>
      </c>
      <c r="C153" s="122">
        <v>1481</v>
      </c>
      <c r="D153" s="123">
        <v>-0.62074263764404614</v>
      </c>
      <c r="E153" s="122">
        <v>2395</v>
      </c>
      <c r="F153" s="123">
        <f t="shared" si="12"/>
        <v>0.61715057393652928</v>
      </c>
      <c r="G153" s="122">
        <v>3482</v>
      </c>
      <c r="H153" s="123">
        <f t="shared" si="12"/>
        <v>0.45386221294363249</v>
      </c>
      <c r="I153" s="122">
        <v>3814</v>
      </c>
      <c r="J153" s="123">
        <f t="shared" si="12"/>
        <v>9.5347501435956383E-2</v>
      </c>
      <c r="K153" s="122">
        <v>4234</v>
      </c>
      <c r="L153" s="123">
        <f t="shared" si="12"/>
        <v>0.11012060828526482</v>
      </c>
      <c r="M153" s="122">
        <v>2173</v>
      </c>
      <c r="N153" s="123">
        <v>-0.12695861791884289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4"/>
      <c r="N156" s="127"/>
    </row>
    <row r="158" spans="1:15" ht="48.75" customHeight="1" thickBot="1" x14ac:dyDescent="0.3">
      <c r="B158" s="278" t="s">
        <v>242</v>
      </c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3" t="s">
        <v>118</v>
      </c>
      <c r="D160" s="304"/>
      <c r="E160" s="304"/>
      <c r="F160" s="304"/>
      <c r="G160" s="304"/>
      <c r="H160" s="304"/>
      <c r="I160" s="304"/>
      <c r="J160" s="304"/>
      <c r="K160" s="304"/>
      <c r="L160" s="304"/>
      <c r="M160" s="304"/>
      <c r="N160" s="304"/>
    </row>
    <row r="161" spans="2:14" ht="22.5" thickTop="1" thickBot="1" x14ac:dyDescent="0.3">
      <c r="B161" s="111"/>
      <c r="C161" s="305">
        <f>C$7</f>
        <v>2020</v>
      </c>
      <c r="D161" s="306"/>
      <c r="E161" s="305">
        <f>E$7</f>
        <v>2021</v>
      </c>
      <c r="F161" s="306"/>
      <c r="G161" s="305">
        <f>G$7</f>
        <v>2022</v>
      </c>
      <c r="H161" s="306"/>
      <c r="I161" s="305">
        <f>I$7</f>
        <v>2023</v>
      </c>
      <c r="J161" s="306"/>
      <c r="K161" s="305">
        <f>K$7</f>
        <v>2024</v>
      </c>
      <c r="L161" s="306"/>
      <c r="M161" s="305">
        <f>M$7</f>
        <v>2025</v>
      </c>
      <c r="N161" s="306"/>
    </row>
    <row r="162" spans="2:14" ht="16.5" thickTop="1" thickBot="1" x14ac:dyDescent="0.3">
      <c r="B162" s="87"/>
      <c r="C162" s="115" t="s">
        <v>71</v>
      </c>
      <c r="D162" s="116" t="str">
        <f>CONCATENATE("var ",RIGHT(C161,2),"/",RIGHT(C161-1,2))</f>
        <v>var 20/19</v>
      </c>
      <c r="E162" s="117" t="s">
        <v>71</v>
      </c>
      <c r="F162" s="116" t="str">
        <f>CONCATENATE("var ",RIGHT(E161,2),"/",RIGHT(E161-1,2))</f>
        <v>var 21/20</v>
      </c>
      <c r="G162" s="117" t="s">
        <v>71</v>
      </c>
      <c r="H162" s="116" t="str">
        <f>CONCATENATE("var ",RIGHT(G161,2),"/",RIGHT(G161-1,2))</f>
        <v>var 22/21</v>
      </c>
      <c r="I162" s="117" t="s">
        <v>71</v>
      </c>
      <c r="J162" s="116" t="str">
        <f>CONCATENATE("var ",RIGHT(I161,2),"/",RIGHT(I161-1,2))</f>
        <v>var 23/22</v>
      </c>
      <c r="K162" s="117" t="s">
        <v>71</v>
      </c>
      <c r="L162" s="116" t="str">
        <f>CONCATENATE("var ",RIGHT(K161,2),"/",RIGHT(K161-1,2))</f>
        <v>var 24/23</v>
      </c>
      <c r="M162" s="117" t="s">
        <v>71</v>
      </c>
      <c r="N162" s="116" t="str">
        <f>CONCATENATE("var ",RIGHT(M161,2),"/",RIGHT(M161-1,2))</f>
        <v>var 25/24</v>
      </c>
    </row>
    <row r="163" spans="2:14" x14ac:dyDescent="0.25">
      <c r="B163" s="118" t="s">
        <v>73</v>
      </c>
      <c r="C163" s="119">
        <v>405</v>
      </c>
      <c r="D163" s="120">
        <v>9.7560975609756184E-2</v>
      </c>
      <c r="E163" s="119">
        <v>213</v>
      </c>
      <c r="F163" s="120">
        <f t="shared" ref="F163:L175" si="14">IFERROR(E163/C163-1,"-")</f>
        <v>-0.47407407407407409</v>
      </c>
      <c r="G163" s="119">
        <v>325</v>
      </c>
      <c r="H163" s="120">
        <f t="shared" si="14"/>
        <v>0.5258215962441315</v>
      </c>
      <c r="I163" s="119">
        <v>488</v>
      </c>
      <c r="J163" s="120">
        <f t="shared" si="14"/>
        <v>0.50153846153846149</v>
      </c>
      <c r="K163" s="119">
        <v>385</v>
      </c>
      <c r="L163" s="120">
        <f t="shared" si="14"/>
        <v>-0.21106557377049184</v>
      </c>
      <c r="M163" s="119">
        <v>398</v>
      </c>
      <c r="N163" s="120">
        <f t="shared" ref="N163:N168" si="15">IFERROR(M163/K163-1,"-")</f>
        <v>3.3766233766233666E-2</v>
      </c>
    </row>
    <row r="164" spans="2:14" x14ac:dyDescent="0.25">
      <c r="B164" s="118" t="s">
        <v>75</v>
      </c>
      <c r="C164" s="119">
        <v>500</v>
      </c>
      <c r="D164" s="120">
        <v>0.50150150150150141</v>
      </c>
      <c r="E164" s="119">
        <v>271</v>
      </c>
      <c r="F164" s="120">
        <f t="shared" si="14"/>
        <v>-0.45799999999999996</v>
      </c>
      <c r="G164" s="119">
        <v>388</v>
      </c>
      <c r="H164" s="120">
        <f t="shared" si="14"/>
        <v>0.43173431734317336</v>
      </c>
      <c r="I164" s="119">
        <v>402</v>
      </c>
      <c r="J164" s="120">
        <f t="shared" si="14"/>
        <v>3.6082474226804218E-2</v>
      </c>
      <c r="K164" s="119">
        <v>456</v>
      </c>
      <c r="L164" s="120">
        <f t="shared" si="14"/>
        <v>0.13432835820895517</v>
      </c>
      <c r="M164" s="119">
        <v>412</v>
      </c>
      <c r="N164" s="120">
        <f t="shared" si="15"/>
        <v>-9.6491228070175405E-2</v>
      </c>
    </row>
    <row r="165" spans="2:14" x14ac:dyDescent="0.25">
      <c r="B165" s="118" t="s">
        <v>77</v>
      </c>
      <c r="C165" s="119">
        <v>256</v>
      </c>
      <c r="D165" s="120">
        <v>-0.42342342342342343</v>
      </c>
      <c r="E165" s="119">
        <v>451</v>
      </c>
      <c r="F165" s="120">
        <f t="shared" si="14"/>
        <v>0.76171875</v>
      </c>
      <c r="G165" s="119">
        <v>383</v>
      </c>
      <c r="H165" s="120">
        <f t="shared" si="14"/>
        <v>-0.15077605321507759</v>
      </c>
      <c r="I165" s="119">
        <v>468</v>
      </c>
      <c r="J165" s="120">
        <f t="shared" si="14"/>
        <v>0.22193211488250664</v>
      </c>
      <c r="K165" s="119">
        <v>490</v>
      </c>
      <c r="L165" s="120">
        <f t="shared" si="14"/>
        <v>4.7008547008547064E-2</v>
      </c>
      <c r="M165" s="119">
        <v>507</v>
      </c>
      <c r="N165" s="120">
        <f t="shared" si="15"/>
        <v>3.469387755102038E-2</v>
      </c>
    </row>
    <row r="166" spans="2:14" x14ac:dyDescent="0.25">
      <c r="B166" s="118" t="s">
        <v>79</v>
      </c>
      <c r="C166" s="119">
        <v>0</v>
      </c>
      <c r="D166" s="120">
        <v>-1</v>
      </c>
      <c r="E166" s="119">
        <v>363</v>
      </c>
      <c r="F166" s="120" t="str">
        <f t="shared" si="14"/>
        <v>-</v>
      </c>
      <c r="G166" s="119">
        <v>282</v>
      </c>
      <c r="H166" s="120">
        <f t="shared" si="14"/>
        <v>-0.22314049586776863</v>
      </c>
      <c r="I166" s="119">
        <v>300</v>
      </c>
      <c r="J166" s="120">
        <f t="shared" si="14"/>
        <v>6.3829787234042534E-2</v>
      </c>
      <c r="K166" s="119">
        <v>339</v>
      </c>
      <c r="L166" s="120">
        <f t="shared" si="14"/>
        <v>0.12999999999999989</v>
      </c>
      <c r="M166" s="119">
        <v>287</v>
      </c>
      <c r="N166" s="120">
        <f t="shared" si="15"/>
        <v>-0.15339233038348088</v>
      </c>
    </row>
    <row r="167" spans="2:14" x14ac:dyDescent="0.25">
      <c r="B167" s="118" t="s">
        <v>81</v>
      </c>
      <c r="C167" s="119">
        <v>0</v>
      </c>
      <c r="D167" s="120">
        <v>-1</v>
      </c>
      <c r="E167" s="119">
        <v>392</v>
      </c>
      <c r="F167" s="120" t="str">
        <f t="shared" si="14"/>
        <v>-</v>
      </c>
      <c r="G167" s="119">
        <v>279</v>
      </c>
      <c r="H167" s="120">
        <f t="shared" si="14"/>
        <v>-0.28826530612244894</v>
      </c>
      <c r="I167" s="119">
        <v>309</v>
      </c>
      <c r="J167" s="120">
        <f t="shared" si="14"/>
        <v>0.10752688172043001</v>
      </c>
      <c r="K167" s="119">
        <v>294</v>
      </c>
      <c r="L167" s="120">
        <f t="shared" si="14"/>
        <v>-4.8543689320388328E-2</v>
      </c>
      <c r="M167" s="119">
        <v>288</v>
      </c>
      <c r="N167" s="120">
        <f t="shared" si="15"/>
        <v>-2.0408163265306145E-2</v>
      </c>
    </row>
    <row r="168" spans="2:14" x14ac:dyDescent="0.25">
      <c r="B168" s="118" t="s">
        <v>83</v>
      </c>
      <c r="C168" s="119">
        <v>0</v>
      </c>
      <c r="D168" s="120">
        <v>-1</v>
      </c>
      <c r="E168" s="119">
        <v>162</v>
      </c>
      <c r="F168" s="120" t="str">
        <f t="shared" si="14"/>
        <v>-</v>
      </c>
      <c r="G168" s="119">
        <v>122</v>
      </c>
      <c r="H168" s="120">
        <f t="shared" si="14"/>
        <v>-0.24691358024691357</v>
      </c>
      <c r="I168" s="119">
        <v>150</v>
      </c>
      <c r="J168" s="120">
        <f t="shared" si="14"/>
        <v>0.22950819672131151</v>
      </c>
      <c r="K168" s="119">
        <v>118</v>
      </c>
      <c r="L168" s="120">
        <f t="shared" si="14"/>
        <v>-0.21333333333333337</v>
      </c>
      <c r="M168" s="119">
        <v>138</v>
      </c>
      <c r="N168" s="120">
        <f t="shared" si="15"/>
        <v>0.16949152542372881</v>
      </c>
    </row>
    <row r="169" spans="2:14" x14ac:dyDescent="0.25">
      <c r="B169" s="118" t="s">
        <v>85</v>
      </c>
      <c r="C169" s="119">
        <v>0</v>
      </c>
      <c r="D169" s="120">
        <v>-1</v>
      </c>
      <c r="E169" s="119">
        <v>212</v>
      </c>
      <c r="F169" s="120" t="str">
        <f t="shared" si="14"/>
        <v>-</v>
      </c>
      <c r="G169" s="119">
        <v>200</v>
      </c>
      <c r="H169" s="120">
        <f t="shared" si="14"/>
        <v>-5.6603773584905648E-2</v>
      </c>
      <c r="I169" s="119">
        <v>186</v>
      </c>
      <c r="J169" s="120">
        <f t="shared" si="14"/>
        <v>-6.9999999999999951E-2</v>
      </c>
      <c r="K169" s="119">
        <v>184</v>
      </c>
      <c r="L169" s="120">
        <f t="shared" si="14"/>
        <v>-1.0752688172043001E-2</v>
      </c>
      <c r="M169" s="119"/>
      <c r="N169" s="120"/>
    </row>
    <row r="170" spans="2:14" x14ac:dyDescent="0.25">
      <c r="B170" s="118" t="s">
        <v>87</v>
      </c>
      <c r="C170" s="119">
        <v>285</v>
      </c>
      <c r="D170" s="120">
        <v>-0.25</v>
      </c>
      <c r="E170" s="119">
        <v>419</v>
      </c>
      <c r="F170" s="120">
        <f t="shared" si="14"/>
        <v>0.47017543859649114</v>
      </c>
      <c r="G170" s="119">
        <v>410</v>
      </c>
      <c r="H170" s="120">
        <f t="shared" si="14"/>
        <v>-2.1479713603818618E-2</v>
      </c>
      <c r="I170" s="119">
        <v>328</v>
      </c>
      <c r="J170" s="120">
        <f t="shared" si="14"/>
        <v>-0.19999999999999996</v>
      </c>
      <c r="K170" s="119">
        <v>334</v>
      </c>
      <c r="L170" s="120">
        <f t="shared" si="14"/>
        <v>1.8292682926829285E-2</v>
      </c>
      <c r="M170" s="119"/>
      <c r="N170" s="120"/>
    </row>
    <row r="171" spans="2:14" x14ac:dyDescent="0.25">
      <c r="B171" s="118" t="s">
        <v>89</v>
      </c>
      <c r="C171" s="119">
        <v>48</v>
      </c>
      <c r="D171" s="120">
        <v>-0.77251184834123221</v>
      </c>
      <c r="E171" s="119">
        <v>180</v>
      </c>
      <c r="F171" s="120">
        <f t="shared" si="14"/>
        <v>2.75</v>
      </c>
      <c r="G171" s="119">
        <v>154</v>
      </c>
      <c r="H171" s="120">
        <f t="shared" si="14"/>
        <v>-0.14444444444444449</v>
      </c>
      <c r="I171" s="119">
        <v>208</v>
      </c>
      <c r="J171" s="120">
        <f t="shared" si="14"/>
        <v>0.35064935064935066</v>
      </c>
      <c r="K171" s="119">
        <v>152</v>
      </c>
      <c r="L171" s="120">
        <f t="shared" si="14"/>
        <v>-0.26923076923076927</v>
      </c>
      <c r="M171" s="119"/>
      <c r="N171" s="120"/>
    </row>
    <row r="172" spans="2:14" x14ac:dyDescent="0.25">
      <c r="B172" s="118" t="s">
        <v>91</v>
      </c>
      <c r="C172" s="119">
        <v>154</v>
      </c>
      <c r="D172" s="120">
        <v>-0.53191489361702127</v>
      </c>
      <c r="E172" s="119">
        <v>204</v>
      </c>
      <c r="F172" s="120">
        <f t="shared" si="14"/>
        <v>0.32467532467532467</v>
      </c>
      <c r="G172" s="119">
        <v>223</v>
      </c>
      <c r="H172" s="120">
        <f t="shared" si="14"/>
        <v>9.3137254901960675E-2</v>
      </c>
      <c r="I172" s="119">
        <v>290</v>
      </c>
      <c r="J172" s="120">
        <f t="shared" si="14"/>
        <v>0.30044843049327352</v>
      </c>
      <c r="K172" s="119">
        <v>286</v>
      </c>
      <c r="L172" s="120">
        <f t="shared" si="14"/>
        <v>-1.379310344827589E-2</v>
      </c>
      <c r="M172" s="119"/>
      <c r="N172" s="120"/>
    </row>
    <row r="173" spans="2:14" x14ac:dyDescent="0.25">
      <c r="B173" s="118" t="s">
        <v>93</v>
      </c>
      <c r="C173" s="119">
        <v>49</v>
      </c>
      <c r="D173" s="120">
        <v>-0.87037037037037035</v>
      </c>
      <c r="E173" s="119">
        <v>310</v>
      </c>
      <c r="F173" s="120">
        <f t="shared" si="14"/>
        <v>5.3265306122448983</v>
      </c>
      <c r="G173" s="119">
        <v>289</v>
      </c>
      <c r="H173" s="120">
        <f t="shared" si="14"/>
        <v>-6.7741935483870974E-2</v>
      </c>
      <c r="I173" s="119">
        <v>452</v>
      </c>
      <c r="J173" s="120">
        <f t="shared" si="14"/>
        <v>0.56401384083044981</v>
      </c>
      <c r="K173" s="119">
        <v>367</v>
      </c>
      <c r="L173" s="120">
        <f t="shared" si="14"/>
        <v>-0.18805309734513276</v>
      </c>
      <c r="M173" s="119"/>
      <c r="N173" s="120"/>
    </row>
    <row r="174" spans="2:14" x14ac:dyDescent="0.25">
      <c r="B174" s="118" t="s">
        <v>95</v>
      </c>
      <c r="C174" s="119">
        <v>202</v>
      </c>
      <c r="D174" s="120">
        <v>-0.40236686390532539</v>
      </c>
      <c r="E174" s="119">
        <v>364</v>
      </c>
      <c r="F174" s="120">
        <f t="shared" si="14"/>
        <v>0.80198019801980203</v>
      </c>
      <c r="G174" s="119">
        <v>357</v>
      </c>
      <c r="H174" s="120">
        <f t="shared" si="14"/>
        <v>-1.9230769230769273E-2</v>
      </c>
      <c r="I174" s="119">
        <v>304</v>
      </c>
      <c r="J174" s="120">
        <f t="shared" si="14"/>
        <v>-0.14845938375350143</v>
      </c>
      <c r="K174" s="119">
        <v>280</v>
      </c>
      <c r="L174" s="120">
        <f t="shared" si="14"/>
        <v>-7.8947368421052655E-2</v>
      </c>
      <c r="M174" s="119"/>
      <c r="N174" s="120"/>
    </row>
    <row r="175" spans="2:14" ht="15.75" x14ac:dyDescent="0.25">
      <c r="B175" s="121" t="s">
        <v>32</v>
      </c>
      <c r="C175" s="122">
        <v>1974</v>
      </c>
      <c r="D175" s="123">
        <v>-0.48780487804878048</v>
      </c>
      <c r="E175" s="122">
        <v>3541</v>
      </c>
      <c r="F175" s="123">
        <f t="shared" si="14"/>
        <v>0.79381965552178313</v>
      </c>
      <c r="G175" s="122">
        <v>3412</v>
      </c>
      <c r="H175" s="123">
        <f t="shared" si="14"/>
        <v>-3.6430386896356914E-2</v>
      </c>
      <c r="I175" s="122">
        <v>3885</v>
      </c>
      <c r="J175" s="123">
        <f t="shared" si="14"/>
        <v>0.13862837045720977</v>
      </c>
      <c r="K175" s="122">
        <v>3685</v>
      </c>
      <c r="L175" s="123">
        <f t="shared" si="14"/>
        <v>-5.1480051480051525E-2</v>
      </c>
      <c r="M175" s="122">
        <v>2030</v>
      </c>
      <c r="N175" s="123">
        <v>-2.4975984630163262E-2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8"/>
      <c r="L177" s="107"/>
      <c r="M177" s="107"/>
      <c r="N177" s="107"/>
    </row>
    <row r="180" spans="1:15" ht="48.75" customHeight="1" thickBot="1" x14ac:dyDescent="0.3">
      <c r="B180" s="278" t="s">
        <v>243</v>
      </c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3" t="s">
        <v>121</v>
      </c>
      <c r="D182" s="304"/>
      <c r="E182" s="304"/>
      <c r="F182" s="304"/>
      <c r="G182" s="304"/>
      <c r="H182" s="304"/>
      <c r="I182" s="304"/>
      <c r="J182" s="304"/>
      <c r="K182" s="304"/>
      <c r="L182" s="304"/>
      <c r="M182" s="304"/>
      <c r="N182" s="304"/>
    </row>
    <row r="183" spans="1:15" ht="22.5" thickTop="1" thickBot="1" x14ac:dyDescent="0.3">
      <c r="B183" s="111"/>
      <c r="C183" s="305">
        <f>C$7</f>
        <v>2020</v>
      </c>
      <c r="D183" s="306"/>
      <c r="E183" s="305">
        <f>E$7</f>
        <v>2021</v>
      </c>
      <c r="F183" s="306"/>
      <c r="G183" s="305">
        <f>G$7</f>
        <v>2022</v>
      </c>
      <c r="H183" s="306"/>
      <c r="I183" s="305">
        <f>I$7</f>
        <v>2023</v>
      </c>
      <c r="J183" s="306"/>
      <c r="K183" s="305">
        <f>K$7</f>
        <v>2024</v>
      </c>
      <c r="L183" s="306"/>
      <c r="M183" s="305">
        <f>M$7</f>
        <v>2025</v>
      </c>
      <c r="N183" s="306"/>
    </row>
    <row r="184" spans="1:15" ht="16.5" thickTop="1" thickBot="1" x14ac:dyDescent="0.3">
      <c r="B184" s="87"/>
      <c r="C184" s="115" t="s">
        <v>71</v>
      </c>
      <c r="D184" s="116" t="str">
        <f>CONCATENATE("var ",RIGHT(C183,2),"/",RIGHT(C183-1,2))</f>
        <v>var 20/19</v>
      </c>
      <c r="E184" s="117" t="s">
        <v>71</v>
      </c>
      <c r="F184" s="116" t="str">
        <f>CONCATENATE("var ",RIGHT(E183,2),"/",RIGHT(E183-1,2))</f>
        <v>var 21/20</v>
      </c>
      <c r="G184" s="117" t="s">
        <v>71</v>
      </c>
      <c r="H184" s="116" t="str">
        <f>CONCATENATE("var ",RIGHT(G183,2),"/",RIGHT(G183-1,2))</f>
        <v>var 22/21</v>
      </c>
      <c r="I184" s="117" t="s">
        <v>71</v>
      </c>
      <c r="J184" s="116" t="str">
        <f>CONCATENATE("var ",RIGHT(I183,2),"/",RIGHT(I183-1,2))</f>
        <v>var 23/22</v>
      </c>
      <c r="K184" s="117" t="s">
        <v>71</v>
      </c>
      <c r="L184" s="116" t="str">
        <f>CONCATENATE("var ",RIGHT(K183,2),"/",RIGHT(K183-1,2))</f>
        <v>var 24/23</v>
      </c>
      <c r="M184" s="117" t="s">
        <v>71</v>
      </c>
      <c r="N184" s="116" t="str">
        <f>CONCATENATE("var ",RIGHT(M183,2),"/",RIGHT(M183-1,2))</f>
        <v>var 25/24</v>
      </c>
    </row>
    <row r="185" spans="1:15" x14ac:dyDescent="0.25">
      <c r="A185" s="124"/>
      <c r="B185" s="118" t="s">
        <v>73</v>
      </c>
      <c r="C185" s="119">
        <v>71</v>
      </c>
      <c r="D185" s="120">
        <v>-4.0540540540540571E-2</v>
      </c>
      <c r="E185" s="119">
        <v>24</v>
      </c>
      <c r="F185" s="120">
        <f t="shared" ref="F185:L197" si="16">IFERROR(E185/C185-1,"-")</f>
        <v>-0.6619718309859155</v>
      </c>
      <c r="G185" s="119">
        <v>89</v>
      </c>
      <c r="H185" s="120">
        <f t="shared" si="16"/>
        <v>2.7083333333333335</v>
      </c>
      <c r="I185" s="119">
        <v>81</v>
      </c>
      <c r="J185" s="120">
        <f t="shared" si="16"/>
        <v>-8.98876404494382E-2</v>
      </c>
      <c r="K185" s="119">
        <v>171</v>
      </c>
      <c r="L185" s="120">
        <f t="shared" si="16"/>
        <v>1.1111111111111112</v>
      </c>
      <c r="M185" s="119">
        <v>130</v>
      </c>
      <c r="N185" s="120">
        <f t="shared" ref="N185:N188" si="17">IFERROR(M185/K185-1,"-")</f>
        <v>-0.23976608187134507</v>
      </c>
    </row>
    <row r="186" spans="1:15" x14ac:dyDescent="0.25">
      <c r="B186" s="118" t="s">
        <v>75</v>
      </c>
      <c r="C186" s="119">
        <v>29</v>
      </c>
      <c r="D186" s="120">
        <v>-0.546875</v>
      </c>
      <c r="E186" s="119">
        <v>14</v>
      </c>
      <c r="F186" s="120">
        <f t="shared" si="16"/>
        <v>-0.51724137931034475</v>
      </c>
      <c r="G186" s="119">
        <v>81</v>
      </c>
      <c r="H186" s="120">
        <f t="shared" si="16"/>
        <v>4.7857142857142856</v>
      </c>
      <c r="I186" s="119">
        <v>33</v>
      </c>
      <c r="J186" s="120">
        <f t="shared" si="16"/>
        <v>-0.59259259259259256</v>
      </c>
      <c r="K186" s="119">
        <v>95</v>
      </c>
      <c r="L186" s="120">
        <f t="shared" si="16"/>
        <v>1.8787878787878789</v>
      </c>
      <c r="M186" s="119">
        <v>92</v>
      </c>
      <c r="N186" s="120">
        <f t="shared" si="17"/>
        <v>-3.157894736842104E-2</v>
      </c>
    </row>
    <row r="187" spans="1:15" x14ac:dyDescent="0.25">
      <c r="B187" s="118" t="s">
        <v>77</v>
      </c>
      <c r="C187" s="119">
        <v>32</v>
      </c>
      <c r="D187" s="120">
        <v>-0.47540983606557374</v>
      </c>
      <c r="E187" s="119">
        <v>12</v>
      </c>
      <c r="F187" s="120">
        <f t="shared" si="16"/>
        <v>-0.625</v>
      </c>
      <c r="G187" s="119">
        <v>80</v>
      </c>
      <c r="H187" s="120">
        <f t="shared" si="16"/>
        <v>5.666666666666667</v>
      </c>
      <c r="I187" s="119">
        <v>71</v>
      </c>
      <c r="J187" s="120">
        <f t="shared" si="16"/>
        <v>-0.11250000000000004</v>
      </c>
      <c r="K187" s="119">
        <v>93</v>
      </c>
      <c r="L187" s="120">
        <f t="shared" si="16"/>
        <v>0.3098591549295775</v>
      </c>
      <c r="M187" s="119">
        <v>112</v>
      </c>
      <c r="N187" s="120">
        <f t="shared" si="17"/>
        <v>0.20430107526881724</v>
      </c>
    </row>
    <row r="188" spans="1:15" x14ac:dyDescent="0.25">
      <c r="B188" s="118" t="s">
        <v>79</v>
      </c>
      <c r="C188" s="119">
        <v>0</v>
      </c>
      <c r="D188" s="120">
        <v>-1</v>
      </c>
      <c r="E188" s="119">
        <v>35</v>
      </c>
      <c r="F188" s="120" t="str">
        <f t="shared" si="16"/>
        <v>-</v>
      </c>
      <c r="G188" s="119">
        <v>60</v>
      </c>
      <c r="H188" s="120">
        <f t="shared" si="16"/>
        <v>0.71428571428571419</v>
      </c>
      <c r="I188" s="119">
        <v>44</v>
      </c>
      <c r="J188" s="120">
        <f t="shared" si="16"/>
        <v>-0.26666666666666672</v>
      </c>
      <c r="K188" s="119">
        <v>87</v>
      </c>
      <c r="L188" s="120">
        <f t="shared" si="16"/>
        <v>0.97727272727272729</v>
      </c>
      <c r="M188" s="119">
        <v>94</v>
      </c>
      <c r="N188" s="120">
        <f t="shared" si="17"/>
        <v>8.0459770114942541E-2</v>
      </c>
    </row>
    <row r="189" spans="1:15" x14ac:dyDescent="0.25">
      <c r="B189" s="118" t="s">
        <v>81</v>
      </c>
      <c r="C189" s="119">
        <v>0</v>
      </c>
      <c r="D189" s="120">
        <v>-1</v>
      </c>
      <c r="E189" s="119">
        <v>44</v>
      </c>
      <c r="F189" s="120" t="str">
        <f t="shared" si="16"/>
        <v>-</v>
      </c>
      <c r="G189" s="119">
        <v>32</v>
      </c>
      <c r="H189" s="120">
        <f t="shared" si="16"/>
        <v>-0.27272727272727271</v>
      </c>
      <c r="I189" s="119">
        <v>32</v>
      </c>
      <c r="J189" s="120">
        <f t="shared" si="16"/>
        <v>0</v>
      </c>
      <c r="K189" s="119">
        <v>49</v>
      </c>
      <c r="L189" s="120">
        <f t="shared" si="16"/>
        <v>0.53125</v>
      </c>
      <c r="M189" s="119">
        <v>38</v>
      </c>
      <c r="N189" s="120">
        <f>IFERROR(M189/K189-1,"-")</f>
        <v>-0.22448979591836737</v>
      </c>
    </row>
    <row r="190" spans="1:15" x14ac:dyDescent="0.25">
      <c r="B190" s="118" t="s">
        <v>122</v>
      </c>
      <c r="C190" s="119">
        <v>0</v>
      </c>
      <c r="D190" s="120">
        <v>-1</v>
      </c>
      <c r="E190" s="119">
        <v>25</v>
      </c>
      <c r="F190" s="120" t="str">
        <f t="shared" si="16"/>
        <v>-</v>
      </c>
      <c r="G190" s="119">
        <v>31</v>
      </c>
      <c r="H190" s="120">
        <f t="shared" si="16"/>
        <v>0.24</v>
      </c>
      <c r="I190" s="119">
        <v>32</v>
      </c>
      <c r="J190" s="120">
        <f t="shared" si="16"/>
        <v>3.2258064516129004E-2</v>
      </c>
      <c r="K190" s="119">
        <v>19</v>
      </c>
      <c r="L190" s="120">
        <f t="shared" si="16"/>
        <v>-0.40625</v>
      </c>
      <c r="M190" s="119">
        <v>18</v>
      </c>
      <c r="N190" s="120">
        <f>IFERROR(M190/K190-1,"-")</f>
        <v>-5.2631578947368474E-2</v>
      </c>
    </row>
    <row r="191" spans="1:15" x14ac:dyDescent="0.25">
      <c r="B191" s="118" t="s">
        <v>85</v>
      </c>
      <c r="C191" s="119">
        <v>0</v>
      </c>
      <c r="D191" s="120">
        <v>-1</v>
      </c>
      <c r="E191" s="119">
        <v>43</v>
      </c>
      <c r="F191" s="120" t="str">
        <f t="shared" si="16"/>
        <v>-</v>
      </c>
      <c r="G191" s="119">
        <v>61</v>
      </c>
      <c r="H191" s="120">
        <f t="shared" si="16"/>
        <v>0.41860465116279078</v>
      </c>
      <c r="I191" s="119">
        <v>43</v>
      </c>
      <c r="J191" s="120">
        <f t="shared" si="16"/>
        <v>-0.29508196721311475</v>
      </c>
      <c r="K191" s="119">
        <v>25</v>
      </c>
      <c r="L191" s="120">
        <f t="shared" si="16"/>
        <v>-0.41860465116279066</v>
      </c>
      <c r="M191" s="119"/>
      <c r="N191" s="120"/>
    </row>
    <row r="192" spans="1:15" x14ac:dyDescent="0.25">
      <c r="B192" s="118" t="s">
        <v>87</v>
      </c>
      <c r="C192" s="119">
        <v>45</v>
      </c>
      <c r="D192" s="120">
        <v>1.0454545454545454</v>
      </c>
      <c r="E192" s="119">
        <v>39</v>
      </c>
      <c r="F192" s="120">
        <f t="shared" si="16"/>
        <v>-0.1333333333333333</v>
      </c>
      <c r="G192" s="119">
        <v>59</v>
      </c>
      <c r="H192" s="120">
        <f t="shared" si="16"/>
        <v>0.51282051282051277</v>
      </c>
      <c r="I192" s="119">
        <v>49</v>
      </c>
      <c r="J192" s="120">
        <f t="shared" si="16"/>
        <v>-0.16949152542372881</v>
      </c>
      <c r="K192" s="119">
        <v>59</v>
      </c>
      <c r="L192" s="120">
        <f t="shared" si="16"/>
        <v>0.20408163265306123</v>
      </c>
      <c r="M192" s="119"/>
      <c r="N192" s="120"/>
    </row>
    <row r="193" spans="2:15" x14ac:dyDescent="0.25">
      <c r="B193" s="118" t="s">
        <v>89</v>
      </c>
      <c r="C193" s="119">
        <v>40</v>
      </c>
      <c r="D193" s="120">
        <v>1.5</v>
      </c>
      <c r="E193" s="119">
        <v>36</v>
      </c>
      <c r="F193" s="120">
        <f t="shared" si="16"/>
        <v>-9.9999999999999978E-2</v>
      </c>
      <c r="G193" s="119">
        <v>30</v>
      </c>
      <c r="H193" s="120">
        <f t="shared" si="16"/>
        <v>-0.16666666666666663</v>
      </c>
      <c r="I193" s="119">
        <v>41</v>
      </c>
      <c r="J193" s="120">
        <f t="shared" si="16"/>
        <v>0.3666666666666667</v>
      </c>
      <c r="K193" s="119">
        <v>41</v>
      </c>
      <c r="L193" s="120">
        <f t="shared" si="16"/>
        <v>0</v>
      </c>
      <c r="M193" s="119"/>
      <c r="N193" s="120"/>
    </row>
    <row r="194" spans="2:15" x14ac:dyDescent="0.25">
      <c r="B194" s="118" t="s">
        <v>91</v>
      </c>
      <c r="C194" s="119">
        <v>39</v>
      </c>
      <c r="D194" s="120">
        <v>0.44444444444444442</v>
      </c>
      <c r="E194" s="119">
        <v>62</v>
      </c>
      <c r="F194" s="120">
        <f t="shared" si="16"/>
        <v>0.58974358974358965</v>
      </c>
      <c r="G194" s="119">
        <v>37</v>
      </c>
      <c r="H194" s="120">
        <f t="shared" si="16"/>
        <v>-0.40322580645161288</v>
      </c>
      <c r="I194" s="119">
        <v>40</v>
      </c>
      <c r="J194" s="120">
        <f t="shared" si="16"/>
        <v>8.1081081081081141E-2</v>
      </c>
      <c r="K194" s="119">
        <v>57</v>
      </c>
      <c r="L194" s="120">
        <f t="shared" si="16"/>
        <v>0.42500000000000004</v>
      </c>
      <c r="M194" s="119"/>
      <c r="N194" s="120"/>
    </row>
    <row r="195" spans="2:15" x14ac:dyDescent="0.25">
      <c r="B195" s="118" t="s">
        <v>93</v>
      </c>
      <c r="C195" s="119">
        <v>51</v>
      </c>
      <c r="D195" s="120">
        <v>-0.35443037974683544</v>
      </c>
      <c r="E195" s="119">
        <v>104</v>
      </c>
      <c r="F195" s="120">
        <f t="shared" si="16"/>
        <v>1.0392156862745097</v>
      </c>
      <c r="G195" s="119">
        <v>70</v>
      </c>
      <c r="H195" s="120">
        <f t="shared" si="16"/>
        <v>-0.32692307692307687</v>
      </c>
      <c r="I195" s="119">
        <v>105</v>
      </c>
      <c r="J195" s="120">
        <f t="shared" si="16"/>
        <v>0.5</v>
      </c>
      <c r="K195" s="119">
        <v>64</v>
      </c>
      <c r="L195" s="120">
        <f t="shared" si="16"/>
        <v>-0.39047619047619042</v>
      </c>
      <c r="M195" s="119"/>
      <c r="N195" s="120"/>
    </row>
    <row r="196" spans="2:15" x14ac:dyDescent="0.25">
      <c r="B196" s="118" t="s">
        <v>95</v>
      </c>
      <c r="C196" s="119">
        <v>20</v>
      </c>
      <c r="D196" s="120">
        <v>-0.5</v>
      </c>
      <c r="E196" s="119">
        <v>69</v>
      </c>
      <c r="F196" s="120">
        <f t="shared" si="16"/>
        <v>2.4500000000000002</v>
      </c>
      <c r="G196" s="119">
        <v>52</v>
      </c>
      <c r="H196" s="120">
        <f t="shared" si="16"/>
        <v>-0.24637681159420288</v>
      </c>
      <c r="I196" s="119">
        <v>79</v>
      </c>
      <c r="J196" s="120">
        <f t="shared" si="16"/>
        <v>0.51923076923076916</v>
      </c>
      <c r="K196" s="119">
        <v>143</v>
      </c>
      <c r="L196" s="120">
        <f t="shared" si="16"/>
        <v>0.81012658227848111</v>
      </c>
      <c r="M196" s="119"/>
      <c r="N196" s="120"/>
    </row>
    <row r="197" spans="2:15" ht="15.75" x14ac:dyDescent="0.25">
      <c r="B197" s="121" t="s">
        <v>32</v>
      </c>
      <c r="C197" s="122">
        <v>351</v>
      </c>
      <c r="D197" s="123">
        <v>-0.32369942196531787</v>
      </c>
      <c r="E197" s="122">
        <v>507</v>
      </c>
      <c r="F197" s="123">
        <f t="shared" si="16"/>
        <v>0.44444444444444442</v>
      </c>
      <c r="G197" s="122">
        <v>682</v>
      </c>
      <c r="H197" s="123">
        <f t="shared" si="16"/>
        <v>0.34516765285996054</v>
      </c>
      <c r="I197" s="122">
        <v>650</v>
      </c>
      <c r="J197" s="123">
        <f t="shared" si="16"/>
        <v>-4.692082111436946E-2</v>
      </c>
      <c r="K197" s="122">
        <v>903</v>
      </c>
      <c r="L197" s="123">
        <f t="shared" si="16"/>
        <v>0.38923076923076927</v>
      </c>
      <c r="M197" s="122">
        <v>484</v>
      </c>
      <c r="N197" s="123">
        <v>-5.8365758754863828E-2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4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78" t="s">
        <v>244</v>
      </c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3" t="s">
        <v>125</v>
      </c>
      <c r="D204" s="304"/>
      <c r="E204" s="304"/>
      <c r="F204" s="304"/>
      <c r="G204" s="304"/>
      <c r="H204" s="304"/>
      <c r="I204" s="304"/>
      <c r="J204" s="304"/>
      <c r="K204" s="304"/>
      <c r="L204" s="304"/>
      <c r="M204" s="304"/>
      <c r="N204" s="304"/>
    </row>
    <row r="205" spans="2:15" ht="22.5" thickTop="1" thickBot="1" x14ac:dyDescent="0.3">
      <c r="B205" s="111"/>
      <c r="C205" s="305">
        <f>C$7</f>
        <v>2020</v>
      </c>
      <c r="D205" s="306"/>
      <c r="E205" s="305">
        <f>E$7</f>
        <v>2021</v>
      </c>
      <c r="F205" s="306"/>
      <c r="G205" s="305">
        <f>G$7</f>
        <v>2022</v>
      </c>
      <c r="H205" s="306"/>
      <c r="I205" s="305">
        <f>I$7</f>
        <v>2023</v>
      </c>
      <c r="J205" s="306"/>
      <c r="K205" s="305">
        <f>K$7</f>
        <v>2024</v>
      </c>
      <c r="L205" s="306"/>
      <c r="M205" s="305">
        <f>M$7</f>
        <v>2025</v>
      </c>
      <c r="N205" s="306"/>
    </row>
    <row r="206" spans="2:15" ht="16.5" thickTop="1" thickBot="1" x14ac:dyDescent="0.3">
      <c r="B206" s="87"/>
      <c r="C206" s="115" t="s">
        <v>71</v>
      </c>
      <c r="D206" s="116" t="str">
        <f>CONCATENATE("var ",RIGHT(C205,2),"/",RIGHT(C205-1,2))</f>
        <v>var 20/19</v>
      </c>
      <c r="E206" s="117" t="s">
        <v>71</v>
      </c>
      <c r="F206" s="116" t="str">
        <f>CONCATENATE("var ",RIGHT(E205,2),"/",RIGHT(E205-1,2))</f>
        <v>var 21/20</v>
      </c>
      <c r="G206" s="117" t="s">
        <v>71</v>
      </c>
      <c r="H206" s="116" t="str">
        <f>CONCATENATE("var ",RIGHT(G205,2),"/",RIGHT(G205-1,2))</f>
        <v>var 22/21</v>
      </c>
      <c r="I206" s="117" t="s">
        <v>71</v>
      </c>
      <c r="J206" s="116" t="str">
        <f>CONCATENATE("var ",RIGHT(I205,2),"/",RIGHT(I205-1,2))</f>
        <v>var 23/22</v>
      </c>
      <c r="K206" s="117" t="s">
        <v>71</v>
      </c>
      <c r="L206" s="116" t="str">
        <f>CONCATENATE("var ",RIGHT(K205,2),"/",RIGHT(K205-1,2))</f>
        <v>var 24/23</v>
      </c>
      <c r="M206" s="117" t="s">
        <v>71</v>
      </c>
      <c r="N206" s="116" t="str">
        <f>CONCATENATE("var ",RIGHT(M205,2),"/",RIGHT(M205-1,2))</f>
        <v>var 25/24</v>
      </c>
    </row>
    <row r="207" spans="2:15" x14ac:dyDescent="0.25">
      <c r="B207" s="118" t="s">
        <v>73</v>
      </c>
      <c r="C207" s="119">
        <v>89</v>
      </c>
      <c r="D207" s="120">
        <v>0.11250000000000004</v>
      </c>
      <c r="E207" s="119">
        <v>5</v>
      </c>
      <c r="F207" s="120">
        <f t="shared" ref="F207:L219" si="18">IFERROR(E207/C207-1,"-")</f>
        <v>-0.9438202247191011</v>
      </c>
      <c r="G207" s="119">
        <v>129</v>
      </c>
      <c r="H207" s="120">
        <f t="shared" si="18"/>
        <v>24.8</v>
      </c>
      <c r="I207" s="119">
        <v>137</v>
      </c>
      <c r="J207" s="120">
        <f t="shared" si="18"/>
        <v>6.2015503875969102E-2</v>
      </c>
      <c r="K207" s="119">
        <v>154</v>
      </c>
      <c r="L207" s="120">
        <f t="shared" si="18"/>
        <v>0.12408759124087587</v>
      </c>
      <c r="M207" s="119">
        <v>182</v>
      </c>
      <c r="N207" s="120">
        <f t="shared" ref="N207:N212" si="19">IFERROR(M207/K207-1,"-")</f>
        <v>0.18181818181818188</v>
      </c>
    </row>
    <row r="208" spans="2:15" x14ac:dyDescent="0.25">
      <c r="B208" s="118" t="s">
        <v>75</v>
      </c>
      <c r="C208" s="119">
        <v>153</v>
      </c>
      <c r="D208" s="120">
        <v>2.1875</v>
      </c>
      <c r="E208" s="119">
        <v>10</v>
      </c>
      <c r="F208" s="120">
        <f t="shared" si="18"/>
        <v>-0.934640522875817</v>
      </c>
      <c r="G208" s="119">
        <v>117</v>
      </c>
      <c r="H208" s="120">
        <f t="shared" si="18"/>
        <v>10.7</v>
      </c>
      <c r="I208" s="119">
        <v>88</v>
      </c>
      <c r="J208" s="120">
        <f t="shared" si="18"/>
        <v>-0.24786324786324787</v>
      </c>
      <c r="K208" s="119">
        <v>146</v>
      </c>
      <c r="L208" s="120">
        <f t="shared" si="18"/>
        <v>0.65909090909090917</v>
      </c>
      <c r="M208" s="119">
        <v>134</v>
      </c>
      <c r="N208" s="120">
        <f t="shared" si="19"/>
        <v>-8.2191780821917804E-2</v>
      </c>
    </row>
    <row r="209" spans="2:15" x14ac:dyDescent="0.25">
      <c r="B209" s="118" t="s">
        <v>77</v>
      </c>
      <c r="C209" s="119">
        <v>23</v>
      </c>
      <c r="D209" s="120">
        <v>-0.77450980392156865</v>
      </c>
      <c r="E209" s="119">
        <v>22</v>
      </c>
      <c r="F209" s="120">
        <f t="shared" si="18"/>
        <v>-4.3478260869565188E-2</v>
      </c>
      <c r="G209" s="119">
        <v>156</v>
      </c>
      <c r="H209" s="120">
        <f t="shared" si="18"/>
        <v>6.0909090909090908</v>
      </c>
      <c r="I209" s="119">
        <v>155</v>
      </c>
      <c r="J209" s="120">
        <f t="shared" si="18"/>
        <v>-6.4102564102563875E-3</v>
      </c>
      <c r="K209" s="119">
        <v>158</v>
      </c>
      <c r="L209" s="120">
        <f t="shared" si="18"/>
        <v>1.9354838709677358E-2</v>
      </c>
      <c r="M209" s="119">
        <v>109</v>
      </c>
      <c r="N209" s="120">
        <f t="shared" si="19"/>
        <v>-0.310126582278481</v>
      </c>
    </row>
    <row r="210" spans="2:15" x14ac:dyDescent="0.25">
      <c r="B210" s="118" t="s">
        <v>79</v>
      </c>
      <c r="C210" s="119">
        <v>0</v>
      </c>
      <c r="D210" s="120">
        <v>-1</v>
      </c>
      <c r="E210" s="119">
        <v>12</v>
      </c>
      <c r="F210" s="120" t="str">
        <f t="shared" si="18"/>
        <v>-</v>
      </c>
      <c r="G210" s="119">
        <v>104</v>
      </c>
      <c r="H210" s="120">
        <f t="shared" si="18"/>
        <v>7.6666666666666661</v>
      </c>
      <c r="I210" s="119">
        <v>80</v>
      </c>
      <c r="J210" s="120">
        <f t="shared" si="18"/>
        <v>-0.23076923076923073</v>
      </c>
      <c r="K210" s="119">
        <v>62</v>
      </c>
      <c r="L210" s="120">
        <f t="shared" si="18"/>
        <v>-0.22499999999999998</v>
      </c>
      <c r="M210" s="119">
        <v>48</v>
      </c>
      <c r="N210" s="120">
        <f t="shared" si="19"/>
        <v>-0.22580645161290325</v>
      </c>
    </row>
    <row r="211" spans="2:15" x14ac:dyDescent="0.25">
      <c r="B211" s="118" t="s">
        <v>81</v>
      </c>
      <c r="C211" s="119">
        <v>0</v>
      </c>
      <c r="D211" s="120">
        <v>-1</v>
      </c>
      <c r="E211" s="119">
        <v>18</v>
      </c>
      <c r="F211" s="120" t="str">
        <f t="shared" si="18"/>
        <v>-</v>
      </c>
      <c r="G211" s="119">
        <v>81</v>
      </c>
      <c r="H211" s="120">
        <f t="shared" si="18"/>
        <v>3.5</v>
      </c>
      <c r="I211" s="119">
        <v>41</v>
      </c>
      <c r="J211" s="120">
        <f t="shared" si="18"/>
        <v>-0.49382716049382713</v>
      </c>
      <c r="K211" s="119">
        <v>42</v>
      </c>
      <c r="L211" s="120">
        <f t="shared" si="18"/>
        <v>2.4390243902439046E-2</v>
      </c>
      <c r="M211" s="119">
        <v>70</v>
      </c>
      <c r="N211" s="120">
        <f t="shared" si="19"/>
        <v>0.66666666666666674</v>
      </c>
    </row>
    <row r="212" spans="2:15" x14ac:dyDescent="0.25">
      <c r="B212" s="118" t="s">
        <v>83</v>
      </c>
      <c r="C212" s="119">
        <v>0</v>
      </c>
      <c r="D212" s="120">
        <v>-1</v>
      </c>
      <c r="E212" s="119">
        <v>17</v>
      </c>
      <c r="F212" s="120" t="str">
        <f t="shared" si="18"/>
        <v>-</v>
      </c>
      <c r="G212" s="119">
        <v>85</v>
      </c>
      <c r="H212" s="120">
        <f t="shared" si="18"/>
        <v>4</v>
      </c>
      <c r="I212" s="119">
        <v>30</v>
      </c>
      <c r="J212" s="120">
        <f t="shared" si="18"/>
        <v>-0.64705882352941169</v>
      </c>
      <c r="K212" s="119">
        <v>36</v>
      </c>
      <c r="L212" s="120">
        <f t="shared" si="18"/>
        <v>0.19999999999999996</v>
      </c>
      <c r="M212" s="119">
        <v>33</v>
      </c>
      <c r="N212" s="120">
        <f t="shared" si="19"/>
        <v>-8.333333333333337E-2</v>
      </c>
    </row>
    <row r="213" spans="2:15" x14ac:dyDescent="0.25">
      <c r="B213" s="118" t="s">
        <v>85</v>
      </c>
      <c r="C213" s="119">
        <v>0</v>
      </c>
      <c r="D213" s="120">
        <v>-1</v>
      </c>
      <c r="E213" s="119">
        <v>15</v>
      </c>
      <c r="F213" s="120" t="str">
        <f t="shared" si="18"/>
        <v>-</v>
      </c>
      <c r="G213" s="119">
        <v>42</v>
      </c>
      <c r="H213" s="120">
        <f t="shared" si="18"/>
        <v>1.7999999999999998</v>
      </c>
      <c r="I213" s="119">
        <v>38</v>
      </c>
      <c r="J213" s="120">
        <f t="shared" si="18"/>
        <v>-9.5238095238095233E-2</v>
      </c>
      <c r="K213" s="119">
        <v>29</v>
      </c>
      <c r="L213" s="120">
        <f t="shared" si="18"/>
        <v>-0.23684210526315785</v>
      </c>
      <c r="M213" s="119"/>
      <c r="N213" s="120"/>
    </row>
    <row r="214" spans="2:15" x14ac:dyDescent="0.25">
      <c r="B214" s="118" t="s">
        <v>87</v>
      </c>
      <c r="C214" s="119">
        <v>9</v>
      </c>
      <c r="D214" s="120">
        <v>-0.76315789473684215</v>
      </c>
      <c r="E214" s="119">
        <v>24</v>
      </c>
      <c r="F214" s="120">
        <f t="shared" si="18"/>
        <v>1.6666666666666665</v>
      </c>
      <c r="G214" s="119">
        <v>106</v>
      </c>
      <c r="H214" s="120">
        <f t="shared" si="18"/>
        <v>3.416666666666667</v>
      </c>
      <c r="I214" s="119">
        <v>46</v>
      </c>
      <c r="J214" s="120">
        <f t="shared" si="18"/>
        <v>-0.56603773584905659</v>
      </c>
      <c r="K214" s="119">
        <v>43</v>
      </c>
      <c r="L214" s="120">
        <f t="shared" si="18"/>
        <v>-6.5217391304347783E-2</v>
      </c>
      <c r="M214" s="119"/>
      <c r="N214" s="120"/>
    </row>
    <row r="215" spans="2:15" x14ac:dyDescent="0.25">
      <c r="B215" s="118" t="s">
        <v>89</v>
      </c>
      <c r="C215" s="119">
        <v>6</v>
      </c>
      <c r="D215" s="120">
        <v>-0.7931034482758621</v>
      </c>
      <c r="E215" s="119">
        <v>39</v>
      </c>
      <c r="F215" s="120">
        <f t="shared" si="18"/>
        <v>5.5</v>
      </c>
      <c r="G215" s="119">
        <v>66</v>
      </c>
      <c r="H215" s="120">
        <f t="shared" si="18"/>
        <v>0.69230769230769229</v>
      </c>
      <c r="I215" s="119">
        <v>31</v>
      </c>
      <c r="J215" s="120">
        <f t="shared" si="18"/>
        <v>-0.53030303030303028</v>
      </c>
      <c r="K215" s="119">
        <v>31</v>
      </c>
      <c r="L215" s="120">
        <f t="shared" si="18"/>
        <v>0</v>
      </c>
      <c r="M215" s="119"/>
      <c r="N215" s="120"/>
    </row>
    <row r="216" spans="2:15" x14ac:dyDescent="0.25">
      <c r="B216" s="118" t="s">
        <v>91</v>
      </c>
      <c r="C216" s="119">
        <v>4</v>
      </c>
      <c r="D216" s="120">
        <v>-0.94366197183098588</v>
      </c>
      <c r="E216" s="119">
        <v>46</v>
      </c>
      <c r="F216" s="120">
        <f t="shared" si="18"/>
        <v>10.5</v>
      </c>
      <c r="G216" s="119">
        <v>72</v>
      </c>
      <c r="H216" s="120">
        <f t="shared" si="18"/>
        <v>0.56521739130434789</v>
      </c>
      <c r="I216" s="119">
        <v>65</v>
      </c>
      <c r="J216" s="120">
        <f t="shared" si="18"/>
        <v>-9.722222222222221E-2</v>
      </c>
      <c r="K216" s="119">
        <v>79</v>
      </c>
      <c r="L216" s="120">
        <f t="shared" si="18"/>
        <v>0.21538461538461529</v>
      </c>
      <c r="M216" s="119"/>
      <c r="N216" s="120"/>
    </row>
    <row r="217" spans="2:15" x14ac:dyDescent="0.25">
      <c r="B217" s="118" t="s">
        <v>93</v>
      </c>
      <c r="C217" s="119">
        <v>18</v>
      </c>
      <c r="D217" s="120">
        <v>-0.83018867924528306</v>
      </c>
      <c r="E217" s="119">
        <v>117</v>
      </c>
      <c r="F217" s="120">
        <f t="shared" si="18"/>
        <v>5.5</v>
      </c>
      <c r="G217" s="119">
        <v>93</v>
      </c>
      <c r="H217" s="120">
        <f t="shared" si="18"/>
        <v>-0.20512820512820518</v>
      </c>
      <c r="I217" s="119">
        <v>114</v>
      </c>
      <c r="J217" s="120">
        <f t="shared" si="18"/>
        <v>0.22580645161290325</v>
      </c>
      <c r="K217" s="119">
        <v>78</v>
      </c>
      <c r="L217" s="120">
        <f t="shared" si="18"/>
        <v>-0.31578947368421051</v>
      </c>
      <c r="M217" s="119"/>
      <c r="N217" s="120"/>
    </row>
    <row r="218" spans="2:15" x14ac:dyDescent="0.25">
      <c r="B218" s="118" t="s">
        <v>95</v>
      </c>
      <c r="C218" s="119">
        <v>14</v>
      </c>
      <c r="D218" s="120">
        <v>-0.82499999999999996</v>
      </c>
      <c r="E218" s="119">
        <v>107</v>
      </c>
      <c r="F218" s="120">
        <f t="shared" si="18"/>
        <v>6.6428571428571432</v>
      </c>
      <c r="G218" s="119">
        <v>121</v>
      </c>
      <c r="H218" s="120">
        <f t="shared" si="18"/>
        <v>0.13084112149532712</v>
      </c>
      <c r="I218" s="119">
        <v>113</v>
      </c>
      <c r="J218" s="120">
        <f t="shared" si="18"/>
        <v>-6.6115702479338845E-2</v>
      </c>
      <c r="K218" s="119">
        <v>75</v>
      </c>
      <c r="L218" s="120">
        <f t="shared" si="18"/>
        <v>-0.33628318584070793</v>
      </c>
      <c r="M218" s="119"/>
      <c r="N218" s="120"/>
    </row>
    <row r="219" spans="2:15" ht="15.75" x14ac:dyDescent="0.25">
      <c r="B219" s="121" t="s">
        <v>32</v>
      </c>
      <c r="C219" s="122">
        <v>323</v>
      </c>
      <c r="D219" s="123">
        <v>-0.53791130185979974</v>
      </c>
      <c r="E219" s="122">
        <v>432</v>
      </c>
      <c r="F219" s="123">
        <f t="shared" si="18"/>
        <v>0.33746130030959742</v>
      </c>
      <c r="G219" s="122">
        <v>1172</v>
      </c>
      <c r="H219" s="123">
        <f t="shared" si="18"/>
        <v>1.7129629629629628</v>
      </c>
      <c r="I219" s="122">
        <v>938</v>
      </c>
      <c r="J219" s="123">
        <f t="shared" si="18"/>
        <v>-0.19965870307167233</v>
      </c>
      <c r="K219" s="122">
        <v>933</v>
      </c>
      <c r="L219" s="123">
        <f t="shared" si="18"/>
        <v>-5.3304904051172386E-3</v>
      </c>
      <c r="M219" s="122">
        <v>576</v>
      </c>
      <c r="N219" s="123">
        <v>-3.6789297658862852E-2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4"/>
      <c r="M222" s="126"/>
    </row>
    <row r="224" spans="2:15" ht="48.75" customHeight="1" thickBot="1" x14ac:dyDescent="0.3">
      <c r="B224" s="278" t="s">
        <v>243</v>
      </c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5" t="str">
        <f>C226</f>
        <v>Bélgica</v>
      </c>
      <c r="C226" s="303" t="s">
        <v>121</v>
      </c>
      <c r="D226" s="304"/>
      <c r="E226" s="304"/>
      <c r="F226" s="304"/>
      <c r="G226" s="304"/>
      <c r="H226" s="304"/>
      <c r="I226" s="304"/>
      <c r="J226" s="304"/>
      <c r="K226" s="304"/>
      <c r="L226" s="304"/>
      <c r="M226" s="304"/>
      <c r="N226" s="304"/>
    </row>
    <row r="227" spans="2:15" ht="22.5" thickTop="1" thickBot="1" x14ac:dyDescent="0.3">
      <c r="B227" s="111"/>
      <c r="C227" s="305">
        <f>C$7</f>
        <v>2020</v>
      </c>
      <c r="D227" s="306"/>
      <c r="E227" s="305">
        <f>E$7</f>
        <v>2021</v>
      </c>
      <c r="F227" s="306"/>
      <c r="G227" s="305">
        <f>G$7</f>
        <v>2022</v>
      </c>
      <c r="H227" s="306"/>
      <c r="I227" s="305">
        <f>I$7</f>
        <v>2023</v>
      </c>
      <c r="J227" s="306"/>
      <c r="K227" s="305">
        <f>K$7</f>
        <v>2024</v>
      </c>
      <c r="L227" s="306"/>
      <c r="M227" s="305">
        <f>M$7</f>
        <v>2025</v>
      </c>
      <c r="N227" s="306"/>
    </row>
    <row r="228" spans="2:15" ht="16.5" thickTop="1" thickBot="1" x14ac:dyDescent="0.3">
      <c r="B228" s="87"/>
      <c r="C228" s="115" t="s">
        <v>71</v>
      </c>
      <c r="D228" s="116" t="str">
        <f>CONCATENATE("var ",RIGHT(C227,2),"/",RIGHT(C227-1,2))</f>
        <v>var 20/19</v>
      </c>
      <c r="E228" s="117" t="s">
        <v>71</v>
      </c>
      <c r="F228" s="116" t="str">
        <f>CONCATENATE("var ",RIGHT(E227,2),"/",RIGHT(E227-1,2))</f>
        <v>var 21/20</v>
      </c>
      <c r="G228" s="117" t="s">
        <v>71</v>
      </c>
      <c r="H228" s="116" t="str">
        <f>CONCATENATE("var ",RIGHT(G227,2),"/",RIGHT(G227-1,2))</f>
        <v>var 22/21</v>
      </c>
      <c r="I228" s="117" t="s">
        <v>71</v>
      </c>
      <c r="J228" s="116" t="str">
        <f>CONCATENATE("var ",RIGHT(I227,2),"/",RIGHT(I227-1,2))</f>
        <v>var 23/22</v>
      </c>
      <c r="K228" s="117" t="s">
        <v>71</v>
      </c>
      <c r="L228" s="116" t="str">
        <f>CONCATENATE("var ",RIGHT(K227,2),"/",RIGHT(K227-1,2))</f>
        <v>var 24/23</v>
      </c>
      <c r="M228" s="117" t="s">
        <v>71</v>
      </c>
      <c r="N228" s="116" t="str">
        <f>CONCATENATE("var ",RIGHT(M227,2),"/",RIGHT(M227-1,2))</f>
        <v>var 25/24</v>
      </c>
    </row>
    <row r="229" spans="2:15" x14ac:dyDescent="0.25">
      <c r="B229" s="118" t="s">
        <v>73</v>
      </c>
      <c r="C229" s="119">
        <v>71</v>
      </c>
      <c r="D229" s="120">
        <v>-4.0540540540540571E-2</v>
      </c>
      <c r="E229" s="119">
        <v>24</v>
      </c>
      <c r="F229" s="120">
        <f t="shared" ref="F229:L241" si="20">IFERROR(E229/C229-1,"-")</f>
        <v>-0.6619718309859155</v>
      </c>
      <c r="G229" s="119">
        <v>89</v>
      </c>
      <c r="H229" s="120">
        <f t="shared" si="20"/>
        <v>2.7083333333333335</v>
      </c>
      <c r="I229" s="119">
        <v>81</v>
      </c>
      <c r="J229" s="120">
        <f t="shared" si="20"/>
        <v>-8.98876404494382E-2</v>
      </c>
      <c r="K229" s="119">
        <v>171</v>
      </c>
      <c r="L229" s="120">
        <f t="shared" si="20"/>
        <v>1.1111111111111112</v>
      </c>
      <c r="M229" s="119">
        <v>130</v>
      </c>
      <c r="N229" s="120">
        <f t="shared" ref="N229:N234" si="21">IFERROR(M229/K229-1,"-")</f>
        <v>-0.23976608187134507</v>
      </c>
    </row>
    <row r="230" spans="2:15" x14ac:dyDescent="0.25">
      <c r="B230" s="118" t="s">
        <v>75</v>
      </c>
      <c r="C230" s="119">
        <v>29</v>
      </c>
      <c r="D230" s="120">
        <v>-0.546875</v>
      </c>
      <c r="E230" s="119">
        <v>14</v>
      </c>
      <c r="F230" s="120">
        <f t="shared" si="20"/>
        <v>-0.51724137931034475</v>
      </c>
      <c r="G230" s="119">
        <v>81</v>
      </c>
      <c r="H230" s="120">
        <f t="shared" si="20"/>
        <v>4.7857142857142856</v>
      </c>
      <c r="I230" s="119">
        <v>33</v>
      </c>
      <c r="J230" s="120">
        <f t="shared" si="20"/>
        <v>-0.59259259259259256</v>
      </c>
      <c r="K230" s="119">
        <v>95</v>
      </c>
      <c r="L230" s="120">
        <f t="shared" si="20"/>
        <v>1.8787878787878789</v>
      </c>
      <c r="M230" s="119">
        <v>92</v>
      </c>
      <c r="N230" s="120">
        <f t="shared" si="21"/>
        <v>-3.157894736842104E-2</v>
      </c>
    </row>
    <row r="231" spans="2:15" x14ac:dyDescent="0.25">
      <c r="B231" s="118" t="s">
        <v>77</v>
      </c>
      <c r="C231" s="119">
        <v>32</v>
      </c>
      <c r="D231" s="120">
        <v>-0.47540983606557374</v>
      </c>
      <c r="E231" s="119">
        <v>12</v>
      </c>
      <c r="F231" s="120">
        <f t="shared" si="20"/>
        <v>-0.625</v>
      </c>
      <c r="G231" s="119">
        <v>80</v>
      </c>
      <c r="H231" s="120">
        <f t="shared" si="20"/>
        <v>5.666666666666667</v>
      </c>
      <c r="I231" s="119">
        <v>71</v>
      </c>
      <c r="J231" s="120">
        <f t="shared" si="20"/>
        <v>-0.11250000000000004</v>
      </c>
      <c r="K231" s="119">
        <v>93</v>
      </c>
      <c r="L231" s="120">
        <f t="shared" si="20"/>
        <v>0.3098591549295775</v>
      </c>
      <c r="M231" s="119">
        <v>112</v>
      </c>
      <c r="N231" s="120">
        <f t="shared" si="21"/>
        <v>0.20430107526881724</v>
      </c>
    </row>
    <row r="232" spans="2:15" x14ac:dyDescent="0.25">
      <c r="B232" s="118" t="s">
        <v>79</v>
      </c>
      <c r="C232" s="119">
        <v>0</v>
      </c>
      <c r="D232" s="120">
        <v>-1</v>
      </c>
      <c r="E232" s="119">
        <v>35</v>
      </c>
      <c r="F232" s="120" t="str">
        <f t="shared" si="20"/>
        <v>-</v>
      </c>
      <c r="G232" s="119">
        <v>60</v>
      </c>
      <c r="H232" s="120">
        <f t="shared" si="20"/>
        <v>0.71428571428571419</v>
      </c>
      <c r="I232" s="119">
        <v>44</v>
      </c>
      <c r="J232" s="120">
        <f t="shared" si="20"/>
        <v>-0.26666666666666672</v>
      </c>
      <c r="K232" s="119">
        <v>87</v>
      </c>
      <c r="L232" s="120">
        <f t="shared" si="20"/>
        <v>0.97727272727272729</v>
      </c>
      <c r="M232" s="119">
        <v>94</v>
      </c>
      <c r="N232" s="120">
        <f t="shared" si="21"/>
        <v>8.0459770114942541E-2</v>
      </c>
    </row>
    <row r="233" spans="2:15" x14ac:dyDescent="0.25">
      <c r="B233" s="118" t="s">
        <v>81</v>
      </c>
      <c r="C233" s="119">
        <v>0</v>
      </c>
      <c r="D233" s="120">
        <v>-1</v>
      </c>
      <c r="E233" s="119">
        <v>44</v>
      </c>
      <c r="F233" s="120" t="str">
        <f t="shared" si="20"/>
        <v>-</v>
      </c>
      <c r="G233" s="119">
        <v>32</v>
      </c>
      <c r="H233" s="120">
        <f t="shared" si="20"/>
        <v>-0.27272727272727271</v>
      </c>
      <c r="I233" s="119">
        <v>32</v>
      </c>
      <c r="J233" s="120">
        <f t="shared" si="20"/>
        <v>0</v>
      </c>
      <c r="K233" s="119">
        <v>49</v>
      </c>
      <c r="L233" s="120">
        <f t="shared" si="20"/>
        <v>0.53125</v>
      </c>
      <c r="M233" s="119">
        <v>38</v>
      </c>
      <c r="N233" s="120">
        <f t="shared" si="21"/>
        <v>-0.22448979591836737</v>
      </c>
    </row>
    <row r="234" spans="2:15" x14ac:dyDescent="0.25">
      <c r="B234" s="118" t="s">
        <v>83</v>
      </c>
      <c r="C234" s="119">
        <v>0</v>
      </c>
      <c r="D234" s="120">
        <v>-1</v>
      </c>
      <c r="E234" s="119">
        <v>25</v>
      </c>
      <c r="F234" s="120" t="str">
        <f t="shared" si="20"/>
        <v>-</v>
      </c>
      <c r="G234" s="119">
        <v>31</v>
      </c>
      <c r="H234" s="120">
        <f t="shared" si="20"/>
        <v>0.24</v>
      </c>
      <c r="I234" s="119">
        <v>32</v>
      </c>
      <c r="J234" s="120">
        <f t="shared" si="20"/>
        <v>3.2258064516129004E-2</v>
      </c>
      <c r="K234" s="119">
        <v>19</v>
      </c>
      <c r="L234" s="120">
        <f t="shared" si="20"/>
        <v>-0.40625</v>
      </c>
      <c r="M234" s="119">
        <v>18</v>
      </c>
      <c r="N234" s="120">
        <f t="shared" si="21"/>
        <v>-5.2631578947368474E-2</v>
      </c>
    </row>
    <row r="235" spans="2:15" x14ac:dyDescent="0.25">
      <c r="B235" s="118" t="s">
        <v>85</v>
      </c>
      <c r="C235" s="119">
        <v>0</v>
      </c>
      <c r="D235" s="120">
        <v>-1</v>
      </c>
      <c r="E235" s="119">
        <v>43</v>
      </c>
      <c r="F235" s="120" t="str">
        <f t="shared" si="20"/>
        <v>-</v>
      </c>
      <c r="G235" s="119">
        <v>61</v>
      </c>
      <c r="H235" s="120">
        <f t="shared" si="20"/>
        <v>0.41860465116279078</v>
      </c>
      <c r="I235" s="119">
        <v>43</v>
      </c>
      <c r="J235" s="120">
        <f t="shared" si="20"/>
        <v>-0.29508196721311475</v>
      </c>
      <c r="K235" s="119">
        <v>25</v>
      </c>
      <c r="L235" s="120">
        <f t="shared" si="20"/>
        <v>-0.41860465116279066</v>
      </c>
      <c r="M235" s="119"/>
      <c r="N235" s="120"/>
    </row>
    <row r="236" spans="2:15" x14ac:dyDescent="0.25">
      <c r="B236" s="118" t="s">
        <v>87</v>
      </c>
      <c r="C236" s="119">
        <v>45</v>
      </c>
      <c r="D236" s="120">
        <v>1.0454545454545454</v>
      </c>
      <c r="E236" s="119">
        <v>39</v>
      </c>
      <c r="F236" s="120">
        <f t="shared" si="20"/>
        <v>-0.1333333333333333</v>
      </c>
      <c r="G236" s="119">
        <v>59</v>
      </c>
      <c r="H236" s="120">
        <f t="shared" si="20"/>
        <v>0.51282051282051277</v>
      </c>
      <c r="I236" s="119">
        <v>49</v>
      </c>
      <c r="J236" s="120">
        <f t="shared" si="20"/>
        <v>-0.16949152542372881</v>
      </c>
      <c r="K236" s="119">
        <v>59</v>
      </c>
      <c r="L236" s="120">
        <f t="shared" si="20"/>
        <v>0.20408163265306123</v>
      </c>
      <c r="M236" s="119"/>
      <c r="N236" s="120"/>
    </row>
    <row r="237" spans="2:15" x14ac:dyDescent="0.25">
      <c r="B237" s="118" t="s">
        <v>89</v>
      </c>
      <c r="C237" s="119">
        <v>40</v>
      </c>
      <c r="D237" s="120">
        <v>1.5</v>
      </c>
      <c r="E237" s="119">
        <v>36</v>
      </c>
      <c r="F237" s="120">
        <f t="shared" si="20"/>
        <v>-9.9999999999999978E-2</v>
      </c>
      <c r="G237" s="119">
        <v>30</v>
      </c>
      <c r="H237" s="120">
        <f t="shared" si="20"/>
        <v>-0.16666666666666663</v>
      </c>
      <c r="I237" s="119">
        <v>41</v>
      </c>
      <c r="J237" s="120">
        <f t="shared" si="20"/>
        <v>0.3666666666666667</v>
      </c>
      <c r="K237" s="119">
        <v>41</v>
      </c>
      <c r="L237" s="120">
        <f t="shared" si="20"/>
        <v>0</v>
      </c>
      <c r="M237" s="119"/>
      <c r="N237" s="120"/>
    </row>
    <row r="238" spans="2:15" x14ac:dyDescent="0.25">
      <c r="B238" s="118" t="s">
        <v>91</v>
      </c>
      <c r="C238" s="119">
        <v>39</v>
      </c>
      <c r="D238" s="120">
        <v>0.44444444444444442</v>
      </c>
      <c r="E238" s="119">
        <v>62</v>
      </c>
      <c r="F238" s="120">
        <f t="shared" si="20"/>
        <v>0.58974358974358965</v>
      </c>
      <c r="G238" s="119">
        <v>37</v>
      </c>
      <c r="H238" s="120">
        <f t="shared" si="20"/>
        <v>-0.40322580645161288</v>
      </c>
      <c r="I238" s="119">
        <v>40</v>
      </c>
      <c r="J238" s="120">
        <f t="shared" si="20"/>
        <v>8.1081081081081141E-2</v>
      </c>
      <c r="K238" s="119">
        <v>57</v>
      </c>
      <c r="L238" s="120">
        <f t="shared" si="20"/>
        <v>0.42500000000000004</v>
      </c>
      <c r="M238" s="119"/>
      <c r="N238" s="120"/>
    </row>
    <row r="239" spans="2:15" x14ac:dyDescent="0.25">
      <c r="B239" s="118" t="s">
        <v>93</v>
      </c>
      <c r="C239" s="119">
        <v>51</v>
      </c>
      <c r="D239" s="120">
        <v>-0.35443037974683544</v>
      </c>
      <c r="E239" s="119">
        <v>104</v>
      </c>
      <c r="F239" s="120">
        <f t="shared" si="20"/>
        <v>1.0392156862745097</v>
      </c>
      <c r="G239" s="119">
        <v>70</v>
      </c>
      <c r="H239" s="120">
        <f t="shared" si="20"/>
        <v>-0.32692307692307687</v>
      </c>
      <c r="I239" s="119">
        <v>105</v>
      </c>
      <c r="J239" s="120">
        <f t="shared" si="20"/>
        <v>0.5</v>
      </c>
      <c r="K239" s="119">
        <v>64</v>
      </c>
      <c r="L239" s="120">
        <f t="shared" si="20"/>
        <v>-0.39047619047619042</v>
      </c>
      <c r="M239" s="119"/>
      <c r="N239" s="120"/>
    </row>
    <row r="240" spans="2:15" x14ac:dyDescent="0.25">
      <c r="B240" s="118" t="s">
        <v>95</v>
      </c>
      <c r="C240" s="119">
        <v>20</v>
      </c>
      <c r="D240" s="120">
        <v>-0.5</v>
      </c>
      <c r="E240" s="119">
        <v>69</v>
      </c>
      <c r="F240" s="120">
        <f t="shared" si="20"/>
        <v>2.4500000000000002</v>
      </c>
      <c r="G240" s="119">
        <v>52</v>
      </c>
      <c r="H240" s="120">
        <f t="shared" si="20"/>
        <v>-0.24637681159420288</v>
      </c>
      <c r="I240" s="119">
        <v>79</v>
      </c>
      <c r="J240" s="120">
        <f t="shared" si="20"/>
        <v>0.51923076923076916</v>
      </c>
      <c r="K240" s="119">
        <v>143</v>
      </c>
      <c r="L240" s="120">
        <f t="shared" si="20"/>
        <v>0.81012658227848111</v>
      </c>
      <c r="M240" s="119"/>
      <c r="N240" s="120"/>
    </row>
    <row r="241" spans="2:15" ht="15.75" x14ac:dyDescent="0.25">
      <c r="B241" s="121" t="s">
        <v>32</v>
      </c>
      <c r="C241" s="122">
        <v>351</v>
      </c>
      <c r="D241" s="123">
        <v>-0.32369942196531787</v>
      </c>
      <c r="E241" s="122">
        <v>507</v>
      </c>
      <c r="F241" s="123">
        <f t="shared" si="20"/>
        <v>0.44444444444444442</v>
      </c>
      <c r="G241" s="122">
        <v>682</v>
      </c>
      <c r="H241" s="123">
        <f t="shared" si="20"/>
        <v>0.34516765285996054</v>
      </c>
      <c r="I241" s="122">
        <v>650</v>
      </c>
      <c r="J241" s="123">
        <f t="shared" si="20"/>
        <v>-4.692082111436946E-2</v>
      </c>
      <c r="K241" s="122">
        <v>903</v>
      </c>
      <c r="L241" s="123">
        <f t="shared" si="20"/>
        <v>0.38923076923076927</v>
      </c>
      <c r="M241" s="122">
        <v>484</v>
      </c>
      <c r="N241" s="123">
        <v>-5.8365758754863828E-2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M244" s="107"/>
    </row>
    <row r="246" spans="2:15" ht="48.75" customHeight="1" thickBot="1" x14ac:dyDescent="0.3">
      <c r="B246" s="278" t="s">
        <v>245</v>
      </c>
      <c r="C246" s="278"/>
      <c r="D246" s="278"/>
      <c r="E246" s="278"/>
      <c r="F246" s="278"/>
      <c r="G246" s="278"/>
      <c r="H246" s="278"/>
      <c r="I246" s="278"/>
      <c r="J246" s="278"/>
      <c r="K246" s="278"/>
      <c r="L246" s="278"/>
      <c r="M246" s="278"/>
      <c r="N246" s="278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5" t="str">
        <f>C248</f>
        <v>Dinamarca</v>
      </c>
      <c r="C248" s="303" t="s">
        <v>130</v>
      </c>
      <c r="D248" s="304"/>
      <c r="E248" s="304"/>
      <c r="F248" s="304"/>
      <c r="G248" s="304"/>
      <c r="H248" s="304"/>
      <c r="I248" s="304"/>
      <c r="J248" s="304"/>
      <c r="K248" s="304"/>
      <c r="L248" s="304"/>
      <c r="M248" s="304"/>
      <c r="N248" s="304"/>
    </row>
    <row r="249" spans="2:15" ht="22.5" thickTop="1" thickBot="1" x14ac:dyDescent="0.3">
      <c r="B249" s="111"/>
      <c r="C249" s="305">
        <f>C$7</f>
        <v>2020</v>
      </c>
      <c r="D249" s="306"/>
      <c r="E249" s="305">
        <f>E$7</f>
        <v>2021</v>
      </c>
      <c r="F249" s="306"/>
      <c r="G249" s="305">
        <f>G$7</f>
        <v>2022</v>
      </c>
      <c r="H249" s="306"/>
      <c r="I249" s="305">
        <f>I$7</f>
        <v>2023</v>
      </c>
      <c r="J249" s="306"/>
      <c r="K249" s="305">
        <f>K$7</f>
        <v>2024</v>
      </c>
      <c r="L249" s="306"/>
      <c r="M249" s="305">
        <f>M$7</f>
        <v>2025</v>
      </c>
      <c r="N249" s="306"/>
    </row>
    <row r="250" spans="2:15" ht="16.5" thickTop="1" thickBot="1" x14ac:dyDescent="0.3">
      <c r="B250" s="87"/>
      <c r="C250" s="115" t="s">
        <v>71</v>
      </c>
      <c r="D250" s="116" t="str">
        <f>CONCATENATE("var ",RIGHT(C249,2),"/",RIGHT(C249-1,2))</f>
        <v>var 20/19</v>
      </c>
      <c r="E250" s="117" t="s">
        <v>71</v>
      </c>
      <c r="F250" s="116" t="str">
        <f>CONCATENATE("var ",RIGHT(E249,2),"/",RIGHT(E249-1,2))</f>
        <v>var 21/20</v>
      </c>
      <c r="G250" s="117" t="s">
        <v>71</v>
      </c>
      <c r="H250" s="116" t="str">
        <f>CONCATENATE("var ",RIGHT(G249,2),"/",RIGHT(G249-1,2))</f>
        <v>var 22/21</v>
      </c>
      <c r="I250" s="117" t="s">
        <v>71</v>
      </c>
      <c r="J250" s="116" t="str">
        <f>CONCATENATE("var ",RIGHT(I249,2),"/",RIGHT(I249-1,2))</f>
        <v>var 23/22</v>
      </c>
      <c r="K250" s="117" t="s">
        <v>71</v>
      </c>
      <c r="L250" s="116" t="str">
        <f>CONCATENATE("var ",RIGHT(K249,2),"/",RIGHT(K249-1,2))</f>
        <v>var 24/23</v>
      </c>
      <c r="M250" s="117" t="s">
        <v>71</v>
      </c>
      <c r="N250" s="116" t="str">
        <f>CONCATENATE("var ",RIGHT(M249,2),"/",RIGHT(M249-1,2))</f>
        <v>var 25/24</v>
      </c>
    </row>
    <row r="251" spans="2:15" x14ac:dyDescent="0.25">
      <c r="B251" s="118" t="s">
        <v>73</v>
      </c>
      <c r="C251" s="119">
        <v>87</v>
      </c>
      <c r="D251" s="120">
        <v>1.4166666666666665</v>
      </c>
      <c r="E251" s="119">
        <v>4</v>
      </c>
      <c r="F251" s="120">
        <f t="shared" ref="F251:L263" si="22">IFERROR(E251/C251-1,"-")</f>
        <v>-0.95402298850574718</v>
      </c>
      <c r="G251" s="119">
        <v>50</v>
      </c>
      <c r="H251" s="120">
        <f t="shared" si="22"/>
        <v>11.5</v>
      </c>
      <c r="I251" s="119">
        <v>36</v>
      </c>
      <c r="J251" s="120">
        <f t="shared" si="22"/>
        <v>-0.28000000000000003</v>
      </c>
      <c r="K251" s="119">
        <v>58</v>
      </c>
      <c r="L251" s="120">
        <f t="shared" si="22"/>
        <v>0.61111111111111116</v>
      </c>
      <c r="M251" s="119">
        <v>22</v>
      </c>
      <c r="N251" s="120">
        <f t="shared" ref="N251:N256" si="23">IFERROR(M251/K251-1,"-")</f>
        <v>-0.62068965517241381</v>
      </c>
    </row>
    <row r="252" spans="2:15" x14ac:dyDescent="0.25">
      <c r="B252" s="118" t="s">
        <v>75</v>
      </c>
      <c r="C252" s="119">
        <v>17</v>
      </c>
      <c r="D252" s="120">
        <v>-0.5</v>
      </c>
      <c r="E252" s="119">
        <v>5</v>
      </c>
      <c r="F252" s="120">
        <f t="shared" si="22"/>
        <v>-0.70588235294117641</v>
      </c>
      <c r="G252" s="119">
        <v>65</v>
      </c>
      <c r="H252" s="120">
        <f t="shared" si="22"/>
        <v>12</v>
      </c>
      <c r="I252" s="119">
        <v>17</v>
      </c>
      <c r="J252" s="120">
        <f t="shared" si="22"/>
        <v>-0.7384615384615385</v>
      </c>
      <c r="K252" s="119">
        <v>33</v>
      </c>
      <c r="L252" s="120">
        <f t="shared" si="22"/>
        <v>0.94117647058823528</v>
      </c>
      <c r="M252" s="119">
        <v>78</v>
      </c>
      <c r="N252" s="120">
        <f t="shared" si="23"/>
        <v>1.3636363636363638</v>
      </c>
    </row>
    <row r="253" spans="2:15" x14ac:dyDescent="0.25">
      <c r="B253" s="118" t="s">
        <v>77</v>
      </c>
      <c r="C253" s="119">
        <v>8</v>
      </c>
      <c r="D253" s="120">
        <v>-0.46666666666666667</v>
      </c>
      <c r="E253" s="119">
        <v>1</v>
      </c>
      <c r="F253" s="120">
        <f t="shared" si="22"/>
        <v>-0.875</v>
      </c>
      <c r="G253" s="119">
        <v>44</v>
      </c>
      <c r="H253" s="120">
        <f t="shared" si="22"/>
        <v>43</v>
      </c>
      <c r="I253" s="119">
        <v>14</v>
      </c>
      <c r="J253" s="120">
        <f t="shared" si="22"/>
        <v>-0.68181818181818188</v>
      </c>
      <c r="K253" s="119">
        <v>13</v>
      </c>
      <c r="L253" s="120">
        <f t="shared" si="22"/>
        <v>-7.1428571428571397E-2</v>
      </c>
      <c r="M253" s="119">
        <v>10</v>
      </c>
      <c r="N253" s="120">
        <f t="shared" si="23"/>
        <v>-0.23076923076923073</v>
      </c>
    </row>
    <row r="254" spans="2:15" x14ac:dyDescent="0.25">
      <c r="B254" s="118" t="s">
        <v>79</v>
      </c>
      <c r="C254" s="119">
        <v>0</v>
      </c>
      <c r="D254" s="120">
        <v>-1</v>
      </c>
      <c r="E254" s="119">
        <v>5</v>
      </c>
      <c r="F254" s="120" t="str">
        <f t="shared" si="22"/>
        <v>-</v>
      </c>
      <c r="G254" s="119">
        <v>10</v>
      </c>
      <c r="H254" s="120">
        <f t="shared" si="22"/>
        <v>1</v>
      </c>
      <c r="I254" s="119">
        <v>16</v>
      </c>
      <c r="J254" s="120">
        <f t="shared" si="22"/>
        <v>0.60000000000000009</v>
      </c>
      <c r="K254" s="119">
        <v>0</v>
      </c>
      <c r="L254" s="120">
        <f t="shared" si="22"/>
        <v>-1</v>
      </c>
      <c r="M254" s="119">
        <v>12</v>
      </c>
      <c r="N254" s="120" t="str">
        <f t="shared" si="23"/>
        <v>-</v>
      </c>
    </row>
    <row r="255" spans="2:15" x14ac:dyDescent="0.25">
      <c r="B255" s="118" t="s">
        <v>81</v>
      </c>
      <c r="C255" s="119">
        <v>0</v>
      </c>
      <c r="D255" s="120">
        <v>-1</v>
      </c>
      <c r="E255" s="119">
        <v>2</v>
      </c>
      <c r="F255" s="120" t="str">
        <f t="shared" si="22"/>
        <v>-</v>
      </c>
      <c r="G255" s="119">
        <v>6</v>
      </c>
      <c r="H255" s="120">
        <f t="shared" si="22"/>
        <v>2</v>
      </c>
      <c r="I255" s="119">
        <v>2</v>
      </c>
      <c r="J255" s="120">
        <f t="shared" si="22"/>
        <v>-0.66666666666666674</v>
      </c>
      <c r="K255" s="119">
        <v>0</v>
      </c>
      <c r="L255" s="120">
        <f t="shared" si="22"/>
        <v>-1</v>
      </c>
      <c r="M255" s="119">
        <v>4</v>
      </c>
      <c r="N255" s="120" t="str">
        <f t="shared" si="23"/>
        <v>-</v>
      </c>
    </row>
    <row r="256" spans="2:15" x14ac:dyDescent="0.25">
      <c r="B256" s="118" t="s">
        <v>83</v>
      </c>
      <c r="C256" s="119">
        <v>0</v>
      </c>
      <c r="D256" s="120">
        <v>-1</v>
      </c>
      <c r="E256" s="119">
        <v>0</v>
      </c>
      <c r="F256" s="120" t="str">
        <f t="shared" si="22"/>
        <v>-</v>
      </c>
      <c r="G256" s="119">
        <v>7</v>
      </c>
      <c r="H256" s="120" t="str">
        <f t="shared" si="22"/>
        <v>-</v>
      </c>
      <c r="I256" s="119">
        <v>2</v>
      </c>
      <c r="J256" s="120">
        <f t="shared" si="22"/>
        <v>-0.7142857142857143</v>
      </c>
      <c r="K256" s="119">
        <v>47</v>
      </c>
      <c r="L256" s="120">
        <f t="shared" si="22"/>
        <v>22.5</v>
      </c>
      <c r="M256" s="119">
        <v>2</v>
      </c>
      <c r="N256" s="120">
        <f t="shared" si="23"/>
        <v>-0.95744680851063835</v>
      </c>
    </row>
    <row r="257" spans="2:15" x14ac:dyDescent="0.25">
      <c r="B257" s="118" t="s">
        <v>85</v>
      </c>
      <c r="C257" s="119">
        <v>0</v>
      </c>
      <c r="D257" s="120">
        <v>-1</v>
      </c>
      <c r="E257" s="119">
        <v>2</v>
      </c>
      <c r="F257" s="120" t="str">
        <f t="shared" si="22"/>
        <v>-</v>
      </c>
      <c r="G257" s="119">
        <v>8</v>
      </c>
      <c r="H257" s="120">
        <f t="shared" si="22"/>
        <v>3</v>
      </c>
      <c r="I257" s="119">
        <v>9</v>
      </c>
      <c r="J257" s="120">
        <f t="shared" si="22"/>
        <v>0.125</v>
      </c>
      <c r="K257" s="119">
        <v>10</v>
      </c>
      <c r="L257" s="120">
        <f t="shared" si="22"/>
        <v>0.11111111111111116</v>
      </c>
      <c r="M257" s="119"/>
      <c r="N257" s="120"/>
    </row>
    <row r="258" spans="2:15" x14ac:dyDescent="0.25">
      <c r="B258" s="118" t="s">
        <v>87</v>
      </c>
      <c r="C258" s="119">
        <v>1</v>
      </c>
      <c r="D258" s="120">
        <v>0</v>
      </c>
      <c r="E258" s="119">
        <v>0</v>
      </c>
      <c r="F258" s="120">
        <f t="shared" si="22"/>
        <v>-1</v>
      </c>
      <c r="G258" s="119">
        <v>27</v>
      </c>
      <c r="H258" s="120" t="str">
        <f t="shared" si="22"/>
        <v>-</v>
      </c>
      <c r="I258" s="119">
        <v>6</v>
      </c>
      <c r="J258" s="120">
        <f t="shared" si="22"/>
        <v>-0.77777777777777779</v>
      </c>
      <c r="K258" s="119">
        <v>4</v>
      </c>
      <c r="L258" s="120">
        <f t="shared" si="22"/>
        <v>-0.33333333333333337</v>
      </c>
      <c r="M258" s="119"/>
      <c r="N258" s="120"/>
    </row>
    <row r="259" spans="2:15" x14ac:dyDescent="0.25">
      <c r="B259" s="118" t="s">
        <v>89</v>
      </c>
      <c r="C259" s="119">
        <v>1</v>
      </c>
      <c r="D259" s="120">
        <v>-0.5</v>
      </c>
      <c r="E259" s="119">
        <v>1</v>
      </c>
      <c r="F259" s="120">
        <f t="shared" si="22"/>
        <v>0</v>
      </c>
      <c r="G259" s="119">
        <v>5</v>
      </c>
      <c r="H259" s="120">
        <f t="shared" si="22"/>
        <v>4</v>
      </c>
      <c r="I259" s="119">
        <v>4</v>
      </c>
      <c r="J259" s="120">
        <f t="shared" si="22"/>
        <v>-0.19999999999999996</v>
      </c>
      <c r="K259" s="119">
        <v>13</v>
      </c>
      <c r="L259" s="120">
        <f t="shared" si="22"/>
        <v>2.25</v>
      </c>
      <c r="M259" s="119"/>
      <c r="N259" s="120"/>
    </row>
    <row r="260" spans="2:15" x14ac:dyDescent="0.25">
      <c r="B260" s="118" t="s">
        <v>91</v>
      </c>
      <c r="C260" s="119">
        <v>0</v>
      </c>
      <c r="D260" s="120">
        <v>-1</v>
      </c>
      <c r="E260" s="119">
        <v>31</v>
      </c>
      <c r="F260" s="120" t="str">
        <f t="shared" si="22"/>
        <v>-</v>
      </c>
      <c r="G260" s="119">
        <v>14</v>
      </c>
      <c r="H260" s="120">
        <f t="shared" si="22"/>
        <v>-0.54838709677419351</v>
      </c>
      <c r="I260" s="119">
        <v>6</v>
      </c>
      <c r="J260" s="120">
        <f t="shared" si="22"/>
        <v>-0.5714285714285714</v>
      </c>
      <c r="K260" s="119">
        <v>10</v>
      </c>
      <c r="L260" s="120">
        <f t="shared" si="22"/>
        <v>0.66666666666666674</v>
      </c>
      <c r="M260" s="119"/>
      <c r="N260" s="120"/>
    </row>
    <row r="261" spans="2:15" x14ac:dyDescent="0.25">
      <c r="B261" s="118" t="s">
        <v>93</v>
      </c>
      <c r="C261" s="119">
        <v>4</v>
      </c>
      <c r="D261" s="120">
        <v>-0.75</v>
      </c>
      <c r="E261" s="119">
        <v>22</v>
      </c>
      <c r="F261" s="120">
        <f t="shared" si="22"/>
        <v>4.5</v>
      </c>
      <c r="G261" s="119">
        <v>12</v>
      </c>
      <c r="H261" s="120">
        <f t="shared" si="22"/>
        <v>-0.45454545454545459</v>
      </c>
      <c r="I261" s="119">
        <v>24</v>
      </c>
      <c r="J261" s="120">
        <f t="shared" si="22"/>
        <v>1</v>
      </c>
      <c r="K261" s="119">
        <v>38</v>
      </c>
      <c r="L261" s="120">
        <f t="shared" si="22"/>
        <v>0.58333333333333326</v>
      </c>
      <c r="M261" s="119"/>
      <c r="N261" s="120"/>
    </row>
    <row r="262" spans="2:15" x14ac:dyDescent="0.25">
      <c r="B262" s="118" t="s">
        <v>95</v>
      </c>
      <c r="C262" s="119">
        <v>2</v>
      </c>
      <c r="D262" s="120">
        <v>-0.9</v>
      </c>
      <c r="E262" s="119">
        <v>32</v>
      </c>
      <c r="F262" s="120">
        <f t="shared" si="22"/>
        <v>15</v>
      </c>
      <c r="G262" s="119">
        <v>22</v>
      </c>
      <c r="H262" s="120">
        <f t="shared" si="22"/>
        <v>-0.3125</v>
      </c>
      <c r="I262" s="119">
        <v>17</v>
      </c>
      <c r="J262" s="120">
        <f t="shared" si="22"/>
        <v>-0.22727272727272729</v>
      </c>
      <c r="K262" s="119">
        <v>4</v>
      </c>
      <c r="L262" s="120">
        <f t="shared" si="22"/>
        <v>-0.76470588235294112</v>
      </c>
      <c r="M262" s="119"/>
      <c r="N262" s="120"/>
    </row>
    <row r="263" spans="2:15" ht="15.75" x14ac:dyDescent="0.25">
      <c r="B263" s="121" t="s">
        <v>32</v>
      </c>
      <c r="C263" s="122">
        <v>124</v>
      </c>
      <c r="D263" s="123">
        <v>-0.19999999999999996</v>
      </c>
      <c r="E263" s="122">
        <v>105</v>
      </c>
      <c r="F263" s="123">
        <f t="shared" si="22"/>
        <v>-0.15322580645161288</v>
      </c>
      <c r="G263" s="122">
        <v>270</v>
      </c>
      <c r="H263" s="123">
        <f t="shared" si="22"/>
        <v>1.5714285714285716</v>
      </c>
      <c r="I263" s="122">
        <v>153</v>
      </c>
      <c r="J263" s="123">
        <f t="shared" si="22"/>
        <v>-0.43333333333333335</v>
      </c>
      <c r="K263" s="122">
        <v>230</v>
      </c>
      <c r="L263" s="123">
        <f t="shared" si="22"/>
        <v>0.50326797385620914</v>
      </c>
      <c r="M263" s="122">
        <v>128</v>
      </c>
      <c r="N263" s="123">
        <v>-0.15231788079470199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4"/>
    </row>
    <row r="268" spans="2:15" ht="48.75" customHeight="1" thickBot="1" x14ac:dyDescent="0.3">
      <c r="B268" s="278" t="s">
        <v>246</v>
      </c>
      <c r="C268" s="278"/>
      <c r="D268" s="278"/>
      <c r="E268" s="278"/>
      <c r="F268" s="278"/>
      <c r="G268" s="278"/>
      <c r="H268" s="278"/>
      <c r="I268" s="278"/>
      <c r="J268" s="278"/>
      <c r="K268" s="278"/>
      <c r="L268" s="278"/>
      <c r="M268" s="278"/>
      <c r="N268" s="278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5" t="str">
        <f>C270</f>
        <v>Suecia</v>
      </c>
      <c r="C270" s="303" t="s">
        <v>133</v>
      </c>
      <c r="D270" s="304"/>
      <c r="E270" s="304"/>
      <c r="F270" s="304"/>
      <c r="G270" s="304"/>
      <c r="H270" s="304"/>
      <c r="I270" s="304"/>
      <c r="J270" s="304"/>
      <c r="K270" s="304"/>
      <c r="L270" s="304"/>
      <c r="M270" s="304"/>
      <c r="N270" s="304"/>
    </row>
    <row r="271" spans="2:15" ht="22.5" thickTop="1" thickBot="1" x14ac:dyDescent="0.3">
      <c r="B271" s="111"/>
      <c r="C271" s="305">
        <f>C$7</f>
        <v>2020</v>
      </c>
      <c r="D271" s="306"/>
      <c r="E271" s="305">
        <f>E$7</f>
        <v>2021</v>
      </c>
      <c r="F271" s="306"/>
      <c r="G271" s="305">
        <f>G$7</f>
        <v>2022</v>
      </c>
      <c r="H271" s="306"/>
      <c r="I271" s="305">
        <f>I$7</f>
        <v>2023</v>
      </c>
      <c r="J271" s="306"/>
      <c r="K271" s="305">
        <f>K$7</f>
        <v>2024</v>
      </c>
      <c r="L271" s="306"/>
      <c r="M271" s="305">
        <f>M$7</f>
        <v>2025</v>
      </c>
      <c r="N271" s="306"/>
    </row>
    <row r="272" spans="2:15" ht="16.5" thickTop="1" thickBot="1" x14ac:dyDescent="0.3">
      <c r="B272" s="87"/>
      <c r="C272" s="115" t="s">
        <v>71</v>
      </c>
      <c r="D272" s="116" t="str">
        <f>CONCATENATE("var ",RIGHT(C271,2),"/",RIGHT(C271-1,2))</f>
        <v>var 20/19</v>
      </c>
      <c r="E272" s="117" t="s">
        <v>71</v>
      </c>
      <c r="F272" s="116" t="str">
        <f>CONCATENATE("var ",RIGHT(E271,2),"/",RIGHT(E271-1,2))</f>
        <v>var 21/20</v>
      </c>
      <c r="G272" s="117" t="s">
        <v>71</v>
      </c>
      <c r="H272" s="116" t="str">
        <f>CONCATENATE("var ",RIGHT(G271,2),"/",RIGHT(G271-1,2))</f>
        <v>var 22/21</v>
      </c>
      <c r="I272" s="117" t="s">
        <v>71</v>
      </c>
      <c r="J272" s="116" t="str">
        <f>CONCATENATE("var ",RIGHT(I271,2),"/",RIGHT(I271-1,2))</f>
        <v>var 23/22</v>
      </c>
      <c r="K272" s="117" t="s">
        <v>71</v>
      </c>
      <c r="L272" s="116" t="str">
        <f>CONCATENATE("var ",RIGHT(K271,2),"/",RIGHT(K271-1,2))</f>
        <v>var 24/23</v>
      </c>
      <c r="M272" s="117" t="s">
        <v>71</v>
      </c>
      <c r="N272" s="116" t="str">
        <f>CONCATENATE("var ",RIGHT(M271,2),"/",RIGHT(M271-1,2))</f>
        <v>var 25/24</v>
      </c>
    </row>
    <row r="273" spans="2:14" x14ac:dyDescent="0.25">
      <c r="B273" s="118" t="s">
        <v>73</v>
      </c>
      <c r="C273" s="119">
        <v>30</v>
      </c>
      <c r="D273" s="120">
        <v>0.875</v>
      </c>
      <c r="E273" s="119">
        <v>7</v>
      </c>
      <c r="F273" s="120">
        <f t="shared" ref="F273:L285" si="24">IFERROR(E273/C273-1,"-")</f>
        <v>-0.76666666666666661</v>
      </c>
      <c r="G273" s="119">
        <v>37</v>
      </c>
      <c r="H273" s="120">
        <f t="shared" si="24"/>
        <v>4.2857142857142856</v>
      </c>
      <c r="I273" s="119">
        <v>64</v>
      </c>
      <c r="J273" s="120">
        <f t="shared" si="24"/>
        <v>0.72972972972972983</v>
      </c>
      <c r="K273" s="119">
        <v>161</v>
      </c>
      <c r="L273" s="120">
        <f t="shared" si="24"/>
        <v>1.515625</v>
      </c>
      <c r="M273" s="119">
        <v>83</v>
      </c>
      <c r="N273" s="120">
        <f t="shared" ref="N273:N278" si="25">IFERROR(M273/K273-1,"-")</f>
        <v>-0.48447204968944102</v>
      </c>
    </row>
    <row r="274" spans="2:14" x14ac:dyDescent="0.25">
      <c r="B274" s="118" t="s">
        <v>75</v>
      </c>
      <c r="C274" s="119">
        <v>26</v>
      </c>
      <c r="D274" s="120">
        <v>-0.21212121212121215</v>
      </c>
      <c r="E274" s="119">
        <v>2</v>
      </c>
      <c r="F274" s="120">
        <f t="shared" si="24"/>
        <v>-0.92307692307692313</v>
      </c>
      <c r="G274" s="119">
        <v>10</v>
      </c>
      <c r="H274" s="120">
        <f t="shared" si="24"/>
        <v>4</v>
      </c>
      <c r="I274" s="119">
        <v>16</v>
      </c>
      <c r="J274" s="120">
        <f t="shared" si="24"/>
        <v>0.60000000000000009</v>
      </c>
      <c r="K274" s="119">
        <v>45</v>
      </c>
      <c r="L274" s="120">
        <f t="shared" si="24"/>
        <v>1.8125</v>
      </c>
      <c r="M274" s="119">
        <v>11</v>
      </c>
      <c r="N274" s="120">
        <f t="shared" si="25"/>
        <v>-0.75555555555555554</v>
      </c>
    </row>
    <row r="275" spans="2:14" x14ac:dyDescent="0.25">
      <c r="B275" s="118" t="s">
        <v>77</v>
      </c>
      <c r="C275" s="119">
        <v>5</v>
      </c>
      <c r="D275" s="120">
        <v>-0.86842105263157898</v>
      </c>
      <c r="E275" s="119">
        <v>8</v>
      </c>
      <c r="F275" s="120">
        <f t="shared" si="24"/>
        <v>0.60000000000000009</v>
      </c>
      <c r="G275" s="119">
        <v>22</v>
      </c>
      <c r="H275" s="120">
        <f t="shared" si="24"/>
        <v>1.75</v>
      </c>
      <c r="I275" s="119">
        <v>38</v>
      </c>
      <c r="J275" s="120">
        <f t="shared" si="24"/>
        <v>0.72727272727272729</v>
      </c>
      <c r="K275" s="119">
        <v>35</v>
      </c>
      <c r="L275" s="120">
        <f t="shared" si="24"/>
        <v>-7.8947368421052655E-2</v>
      </c>
      <c r="M275" s="119">
        <v>29</v>
      </c>
      <c r="N275" s="120">
        <f t="shared" si="25"/>
        <v>-0.17142857142857137</v>
      </c>
    </row>
    <row r="276" spans="2:14" x14ac:dyDescent="0.25">
      <c r="B276" s="118" t="s">
        <v>79</v>
      </c>
      <c r="C276" s="119">
        <v>0</v>
      </c>
      <c r="D276" s="120">
        <v>-1</v>
      </c>
      <c r="E276" s="119">
        <v>8</v>
      </c>
      <c r="F276" s="120" t="str">
        <f t="shared" si="24"/>
        <v>-</v>
      </c>
      <c r="G276" s="119">
        <v>2</v>
      </c>
      <c r="H276" s="120">
        <f t="shared" si="24"/>
        <v>-0.75</v>
      </c>
      <c r="I276" s="119">
        <v>22</v>
      </c>
      <c r="J276" s="120">
        <f t="shared" si="24"/>
        <v>10</v>
      </c>
      <c r="K276" s="119">
        <v>20</v>
      </c>
      <c r="L276" s="120">
        <f t="shared" si="24"/>
        <v>-9.0909090909090939E-2</v>
      </c>
      <c r="M276" s="119">
        <v>6</v>
      </c>
      <c r="N276" s="120">
        <f t="shared" si="25"/>
        <v>-0.7</v>
      </c>
    </row>
    <row r="277" spans="2:14" x14ac:dyDescent="0.25">
      <c r="B277" s="118" t="s">
        <v>81</v>
      </c>
      <c r="C277" s="119">
        <v>0</v>
      </c>
      <c r="D277" s="120">
        <v>-1</v>
      </c>
      <c r="E277" s="119">
        <v>12</v>
      </c>
      <c r="F277" s="120" t="str">
        <f t="shared" si="24"/>
        <v>-</v>
      </c>
      <c r="G277" s="119">
        <v>6</v>
      </c>
      <c r="H277" s="120">
        <f t="shared" si="24"/>
        <v>-0.5</v>
      </c>
      <c r="I277" s="119">
        <v>6</v>
      </c>
      <c r="J277" s="120">
        <f t="shared" si="24"/>
        <v>0</v>
      </c>
      <c r="K277" s="119">
        <v>4</v>
      </c>
      <c r="L277" s="120">
        <f t="shared" si="24"/>
        <v>-0.33333333333333337</v>
      </c>
      <c r="M277" s="119">
        <v>10</v>
      </c>
      <c r="N277" s="120">
        <f t="shared" si="25"/>
        <v>1.5</v>
      </c>
    </row>
    <row r="278" spans="2:14" x14ac:dyDescent="0.25">
      <c r="B278" s="118" t="s">
        <v>83</v>
      </c>
      <c r="C278" s="119">
        <v>0</v>
      </c>
      <c r="D278" s="120">
        <v>-1</v>
      </c>
      <c r="E278" s="119">
        <v>5</v>
      </c>
      <c r="F278" s="120" t="str">
        <f t="shared" si="24"/>
        <v>-</v>
      </c>
      <c r="G278" s="119">
        <v>22</v>
      </c>
      <c r="H278" s="120">
        <f t="shared" si="24"/>
        <v>3.4000000000000004</v>
      </c>
      <c r="I278" s="119">
        <v>9</v>
      </c>
      <c r="J278" s="120">
        <f t="shared" si="24"/>
        <v>-0.59090909090909083</v>
      </c>
      <c r="K278" s="119">
        <v>0</v>
      </c>
      <c r="L278" s="120">
        <f t="shared" si="24"/>
        <v>-1</v>
      </c>
      <c r="M278" s="119">
        <v>4</v>
      </c>
      <c r="N278" s="120" t="str">
        <f t="shared" si="25"/>
        <v>-</v>
      </c>
    </row>
    <row r="279" spans="2:14" x14ac:dyDescent="0.25">
      <c r="B279" s="118" t="s">
        <v>85</v>
      </c>
      <c r="C279" s="119">
        <v>0</v>
      </c>
      <c r="D279" s="120">
        <v>-1</v>
      </c>
      <c r="E279" s="119">
        <v>2</v>
      </c>
      <c r="F279" s="120" t="str">
        <f t="shared" si="24"/>
        <v>-</v>
      </c>
      <c r="G279" s="119">
        <v>4</v>
      </c>
      <c r="H279" s="120">
        <f t="shared" si="24"/>
        <v>1</v>
      </c>
      <c r="I279" s="119">
        <v>9</v>
      </c>
      <c r="J279" s="120">
        <f t="shared" si="24"/>
        <v>1.25</v>
      </c>
      <c r="K279" s="119">
        <v>2</v>
      </c>
      <c r="L279" s="120">
        <f t="shared" si="24"/>
        <v>-0.77777777777777779</v>
      </c>
      <c r="M279" s="119"/>
      <c r="N279" s="120"/>
    </row>
    <row r="280" spans="2:14" x14ac:dyDescent="0.25">
      <c r="B280" s="118" t="s">
        <v>87</v>
      </c>
      <c r="C280" s="119">
        <v>3</v>
      </c>
      <c r="D280" s="120">
        <v>-0.5714285714285714</v>
      </c>
      <c r="E280" s="119">
        <v>9</v>
      </c>
      <c r="F280" s="120">
        <f t="shared" si="24"/>
        <v>2</v>
      </c>
      <c r="G280" s="119">
        <v>5</v>
      </c>
      <c r="H280" s="120">
        <f t="shared" si="24"/>
        <v>-0.44444444444444442</v>
      </c>
      <c r="I280" s="119">
        <v>14</v>
      </c>
      <c r="J280" s="120">
        <f t="shared" si="24"/>
        <v>1.7999999999999998</v>
      </c>
      <c r="K280" s="119">
        <v>5</v>
      </c>
      <c r="L280" s="120">
        <f t="shared" si="24"/>
        <v>-0.64285714285714279</v>
      </c>
      <c r="M280" s="119"/>
      <c r="N280" s="120"/>
    </row>
    <row r="281" spans="2:14" x14ac:dyDescent="0.25">
      <c r="B281" s="118" t="s">
        <v>89</v>
      </c>
      <c r="C281" s="119">
        <v>2</v>
      </c>
      <c r="D281" s="120" t="s">
        <v>229</v>
      </c>
      <c r="E281" s="119">
        <v>10</v>
      </c>
      <c r="F281" s="120">
        <f t="shared" si="24"/>
        <v>4</v>
      </c>
      <c r="G281" s="119">
        <v>6</v>
      </c>
      <c r="H281" s="120">
        <f t="shared" si="24"/>
        <v>-0.4</v>
      </c>
      <c r="I281" s="119">
        <v>12</v>
      </c>
      <c r="J281" s="120">
        <f t="shared" si="24"/>
        <v>1</v>
      </c>
      <c r="K281" s="119">
        <v>10</v>
      </c>
      <c r="L281" s="120">
        <f t="shared" si="24"/>
        <v>-0.16666666666666663</v>
      </c>
      <c r="M281" s="119"/>
      <c r="N281" s="120"/>
    </row>
    <row r="282" spans="2:14" x14ac:dyDescent="0.25">
      <c r="B282" s="118" t="s">
        <v>91</v>
      </c>
      <c r="C282" s="119">
        <v>4</v>
      </c>
      <c r="D282" s="120">
        <v>-0.81818181818181812</v>
      </c>
      <c r="E282" s="119">
        <v>4</v>
      </c>
      <c r="F282" s="120">
        <f t="shared" si="24"/>
        <v>0</v>
      </c>
      <c r="G282" s="119">
        <v>11</v>
      </c>
      <c r="H282" s="120">
        <f t="shared" si="24"/>
        <v>1.75</v>
      </c>
      <c r="I282" s="119">
        <v>16</v>
      </c>
      <c r="J282" s="120">
        <f t="shared" si="24"/>
        <v>0.45454545454545459</v>
      </c>
      <c r="K282" s="119">
        <v>26</v>
      </c>
      <c r="L282" s="120">
        <f t="shared" si="24"/>
        <v>0.625</v>
      </c>
      <c r="M282" s="119"/>
      <c r="N282" s="120"/>
    </row>
    <row r="283" spans="2:14" x14ac:dyDescent="0.25">
      <c r="B283" s="118" t="s">
        <v>93</v>
      </c>
      <c r="C283" s="119">
        <v>12</v>
      </c>
      <c r="D283" s="120">
        <v>-0.80645161290322576</v>
      </c>
      <c r="E283" s="119">
        <v>13</v>
      </c>
      <c r="F283" s="120">
        <f t="shared" si="24"/>
        <v>8.3333333333333259E-2</v>
      </c>
      <c r="G283" s="119">
        <v>8</v>
      </c>
      <c r="H283" s="120">
        <f t="shared" si="24"/>
        <v>-0.38461538461538458</v>
      </c>
      <c r="I283" s="119">
        <v>32</v>
      </c>
      <c r="J283" s="120">
        <f t="shared" si="24"/>
        <v>3</v>
      </c>
      <c r="K283" s="119">
        <v>34</v>
      </c>
      <c r="L283" s="120">
        <f t="shared" si="24"/>
        <v>6.25E-2</v>
      </c>
      <c r="M283" s="119"/>
      <c r="N283" s="120"/>
    </row>
    <row r="284" spans="2:14" x14ac:dyDescent="0.25">
      <c r="B284" s="118" t="s">
        <v>95</v>
      </c>
      <c r="C284" s="119">
        <v>5</v>
      </c>
      <c r="D284" s="120">
        <v>-0.87804878048780488</v>
      </c>
      <c r="E284" s="119">
        <v>16</v>
      </c>
      <c r="F284" s="120">
        <f t="shared" si="24"/>
        <v>2.2000000000000002</v>
      </c>
      <c r="G284" s="119">
        <v>35</v>
      </c>
      <c r="H284" s="120">
        <f t="shared" si="24"/>
        <v>1.1875</v>
      </c>
      <c r="I284" s="119">
        <v>32</v>
      </c>
      <c r="J284" s="120">
        <f t="shared" si="24"/>
        <v>-8.5714285714285743E-2</v>
      </c>
      <c r="K284" s="119">
        <v>42</v>
      </c>
      <c r="L284" s="120">
        <f t="shared" si="24"/>
        <v>0.3125</v>
      </c>
      <c r="M284" s="119"/>
      <c r="N284" s="120"/>
    </row>
    <row r="285" spans="2:14" ht="15.75" x14ac:dyDescent="0.25">
      <c r="B285" s="121" t="s">
        <v>32</v>
      </c>
      <c r="C285" s="122">
        <v>89</v>
      </c>
      <c r="D285" s="123">
        <v>-0.67158671586715868</v>
      </c>
      <c r="E285" s="122">
        <v>96</v>
      </c>
      <c r="F285" s="123">
        <f t="shared" si="24"/>
        <v>7.8651685393258397E-2</v>
      </c>
      <c r="G285" s="122">
        <v>168</v>
      </c>
      <c r="H285" s="123">
        <f t="shared" si="24"/>
        <v>0.75</v>
      </c>
      <c r="I285" s="122">
        <v>270</v>
      </c>
      <c r="J285" s="123">
        <f t="shared" si="24"/>
        <v>0.60714285714285721</v>
      </c>
      <c r="K285" s="122">
        <v>384</v>
      </c>
      <c r="L285" s="123">
        <f t="shared" si="24"/>
        <v>0.42222222222222228</v>
      </c>
      <c r="M285" s="122">
        <v>143</v>
      </c>
      <c r="N285" s="123">
        <v>-0.46037735849056605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4"/>
      <c r="K288" s="124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4:N4"/>
    <mergeCell ref="C6:N6"/>
    <mergeCell ref="C7:D7"/>
    <mergeCell ref="E7:F7"/>
    <mergeCell ref="G7:H7"/>
    <mergeCell ref="I7:J7"/>
    <mergeCell ref="K7:L7"/>
    <mergeCell ref="M7:N7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74014-507B-4158-A3AB-028460C23899}">
  <sheetPr>
    <tabColor theme="7" tint="0.79998168889431442"/>
  </sheetPr>
  <dimension ref="A4:R2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2" max="2" width="14.28515625" customWidth="1"/>
    <col min="17" max="17" width="13.5703125" bestFit="1" customWidth="1"/>
  </cols>
  <sheetData>
    <row r="4" spans="1:18" ht="48.75" customHeight="1" thickBot="1" x14ac:dyDescent="0.3">
      <c r="B4" s="278" t="s">
        <v>235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1" t="s">
        <v>68</v>
      </c>
    </row>
    <row r="5" spans="1:18" ht="10.5" customHeight="1" thickBot="1" x14ac:dyDescent="0.3">
      <c r="B5" s="108"/>
      <c r="C5" s="108"/>
      <c r="D5" s="108"/>
      <c r="E5" s="108"/>
      <c r="F5" s="108"/>
      <c r="G5" s="108"/>
      <c r="H5" s="108"/>
      <c r="I5" s="108"/>
      <c r="J5" s="109"/>
      <c r="K5" s="108"/>
      <c r="L5" s="108"/>
      <c r="M5" s="108"/>
      <c r="N5" s="108"/>
      <c r="O5" s="108"/>
      <c r="P5" s="4"/>
      <c r="Q5" s="4"/>
      <c r="R5" s="1" t="s">
        <v>69</v>
      </c>
    </row>
    <row r="6" spans="1:18" ht="22.5" thickTop="1" thickBot="1" x14ac:dyDescent="0.3">
      <c r="B6" s="110" t="s">
        <v>32</v>
      </c>
      <c r="C6" s="303" t="s">
        <v>134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</row>
    <row r="7" spans="1:18" ht="22.5" thickTop="1" thickBot="1" x14ac:dyDescent="0.3">
      <c r="B7" s="111"/>
      <c r="C7" s="112">
        <v>2018</v>
      </c>
      <c r="D7" s="305">
        <v>2019</v>
      </c>
      <c r="E7" s="306"/>
      <c r="F7" s="305">
        <v>2020</v>
      </c>
      <c r="G7" s="306"/>
      <c r="H7" s="305">
        <v>2021</v>
      </c>
      <c r="I7" s="306"/>
      <c r="J7" s="305">
        <v>2022</v>
      </c>
      <c r="K7" s="306"/>
      <c r="L7" s="307">
        <v>2023</v>
      </c>
      <c r="M7" s="306"/>
      <c r="N7" s="307">
        <v>2024</v>
      </c>
      <c r="O7" s="308"/>
      <c r="P7" s="307">
        <v>2025</v>
      </c>
      <c r="Q7" s="308"/>
    </row>
    <row r="8" spans="1:18" ht="16.5" thickTop="1" thickBot="1" x14ac:dyDescent="0.3">
      <c r="B8" s="87"/>
      <c r="C8" s="115" t="s">
        <v>71</v>
      </c>
      <c r="D8" s="115" t="s">
        <v>71</v>
      </c>
      <c r="E8" s="116" t="s">
        <v>135</v>
      </c>
      <c r="F8" s="115" t="s">
        <v>71</v>
      </c>
      <c r="G8" s="116" t="s">
        <v>136</v>
      </c>
      <c r="H8" s="115" t="s">
        <v>71</v>
      </c>
      <c r="I8" s="116" t="s">
        <v>137</v>
      </c>
      <c r="J8" s="115" t="s">
        <v>71</v>
      </c>
      <c r="K8" s="116" t="s">
        <v>138</v>
      </c>
      <c r="L8" s="117" t="s">
        <v>71</v>
      </c>
      <c r="M8" s="116" t="s">
        <v>247</v>
      </c>
      <c r="N8" s="117" t="s">
        <v>71</v>
      </c>
      <c r="O8" s="116" t="s">
        <v>248</v>
      </c>
      <c r="P8" s="117" t="s">
        <v>71</v>
      </c>
      <c r="Q8" s="116" t="s">
        <v>138</v>
      </c>
    </row>
    <row r="9" spans="1:18" x14ac:dyDescent="0.25">
      <c r="A9" s="1" t="s">
        <v>72</v>
      </c>
      <c r="B9" s="118" t="s">
        <v>73</v>
      </c>
      <c r="C9" s="119">
        <v>4847</v>
      </c>
      <c r="D9" s="119">
        <v>4716</v>
      </c>
      <c r="E9" s="120">
        <f t="shared" ref="E9:E21" si="0">D9/C9-1</f>
        <v>-2.7027027027026973E-2</v>
      </c>
      <c r="F9" s="119">
        <v>5197</v>
      </c>
      <c r="G9" s="120">
        <f>F9/D9-1</f>
        <v>0.10199321458863442</v>
      </c>
      <c r="H9" s="119">
        <v>1146</v>
      </c>
      <c r="I9" s="120">
        <f>IFERROR(H9/F9-1,"-")</f>
        <v>-0.77948816624975947</v>
      </c>
      <c r="J9" s="119">
        <v>3527</v>
      </c>
      <c r="K9" s="120">
        <f>IFERROR(J9/H9-1,"-")</f>
        <v>2.0776614310645725</v>
      </c>
      <c r="L9" s="119">
        <v>5390</v>
      </c>
      <c r="M9" s="120">
        <f t="shared" ref="M9:M21" si="1">IFERROR(L9/J9-1,"-")</f>
        <v>0.52821094414516589</v>
      </c>
      <c r="N9" s="119">
        <v>5217</v>
      </c>
      <c r="O9" s="120">
        <f>IFERROR(N9/L9-1,"-")</f>
        <v>-3.2096474953617782E-2</v>
      </c>
      <c r="P9" s="119">
        <v>5311</v>
      </c>
      <c r="Q9" s="120">
        <f t="shared" ref="Q9:Q20" si="2">IFERROR(P9/N9-1,"-")</f>
        <v>1.8018018018018056E-2</v>
      </c>
    </row>
    <row r="10" spans="1:18" x14ac:dyDescent="0.25">
      <c r="A10" s="1" t="s">
        <v>74</v>
      </c>
      <c r="B10" s="118" t="s">
        <v>75</v>
      </c>
      <c r="C10" s="119">
        <v>4884</v>
      </c>
      <c r="D10" s="119">
        <v>4935</v>
      </c>
      <c r="E10" s="120">
        <f t="shared" si="0"/>
        <v>1.0442260442260487E-2</v>
      </c>
      <c r="F10" s="119">
        <v>5359</v>
      </c>
      <c r="G10" s="120">
        <f t="shared" ref="G10:G20" si="3">F10/D10-1</f>
        <v>8.5916919959473148E-2</v>
      </c>
      <c r="H10" s="119">
        <v>1385</v>
      </c>
      <c r="I10" s="120">
        <f t="shared" ref="I10:I21" si="4">IFERROR(H10/F10-1,"-")</f>
        <v>-0.74155626049636125</v>
      </c>
      <c r="J10" s="119">
        <v>4177</v>
      </c>
      <c r="K10" s="120">
        <f t="shared" ref="K10:K21" si="5">IFERROR(J10/H10-1,"-")</f>
        <v>2.0158844765342958</v>
      </c>
      <c r="L10" s="119">
        <v>5270</v>
      </c>
      <c r="M10" s="120">
        <f t="shared" si="1"/>
        <v>0.2616710557816615</v>
      </c>
      <c r="N10" s="119">
        <v>4803</v>
      </c>
      <c r="O10" s="120">
        <f t="shared" ref="O10:O21" si="6">IFERROR(N10/L10-1,"-")</f>
        <v>-8.861480075901329E-2</v>
      </c>
      <c r="P10" s="119">
        <v>4194</v>
      </c>
      <c r="Q10" s="120">
        <f t="shared" si="2"/>
        <v>-0.12679575265459087</v>
      </c>
    </row>
    <row r="11" spans="1:18" x14ac:dyDescent="0.25">
      <c r="A11" s="1" t="s">
        <v>76</v>
      </c>
      <c r="B11" s="118" t="s">
        <v>77</v>
      </c>
      <c r="C11" s="119">
        <v>5201</v>
      </c>
      <c r="D11" s="119">
        <v>5148</v>
      </c>
      <c r="E11" s="120">
        <f t="shared" si="0"/>
        <v>-1.0190348009998074E-2</v>
      </c>
      <c r="F11" s="119">
        <v>2198</v>
      </c>
      <c r="G11" s="120">
        <f t="shared" si="3"/>
        <v>-0.57303807303807308</v>
      </c>
      <c r="H11" s="119">
        <v>2288</v>
      </c>
      <c r="I11" s="120">
        <f t="shared" si="4"/>
        <v>4.0946314831665109E-2</v>
      </c>
      <c r="J11" s="119">
        <v>4740</v>
      </c>
      <c r="K11" s="120">
        <f t="shared" si="5"/>
        <v>1.0716783216783217</v>
      </c>
      <c r="L11" s="119">
        <v>5659</v>
      </c>
      <c r="M11" s="120">
        <f t="shared" si="1"/>
        <v>0.19388185654008439</v>
      </c>
      <c r="N11" s="119">
        <v>5168</v>
      </c>
      <c r="O11" s="120">
        <f t="shared" si="6"/>
        <v>-8.6764446015197061E-2</v>
      </c>
      <c r="P11" s="119">
        <v>5342</v>
      </c>
      <c r="Q11" s="120">
        <f t="shared" si="2"/>
        <v>3.3668730650154854E-2</v>
      </c>
    </row>
    <row r="12" spans="1:18" x14ac:dyDescent="0.25">
      <c r="A12" s="1" t="s">
        <v>78</v>
      </c>
      <c r="B12" s="118" t="s">
        <v>79</v>
      </c>
      <c r="C12" s="119">
        <v>4789</v>
      </c>
      <c r="D12" s="119">
        <v>4194</v>
      </c>
      <c r="E12" s="120">
        <f t="shared" si="0"/>
        <v>-0.12424305700563787</v>
      </c>
      <c r="F12" s="119">
        <v>0</v>
      </c>
      <c r="G12" s="120">
        <f t="shared" si="3"/>
        <v>-1</v>
      </c>
      <c r="H12" s="119">
        <v>1830</v>
      </c>
      <c r="I12" s="120" t="str">
        <f t="shared" si="4"/>
        <v>-</v>
      </c>
      <c r="J12" s="119">
        <v>4075</v>
      </c>
      <c r="K12" s="120">
        <f t="shared" si="5"/>
        <v>1.2267759562841531</v>
      </c>
      <c r="L12" s="119">
        <v>5170</v>
      </c>
      <c r="M12" s="120">
        <f t="shared" si="1"/>
        <v>0.26871165644171779</v>
      </c>
      <c r="N12" s="119">
        <v>5054</v>
      </c>
      <c r="O12" s="120">
        <f t="shared" si="6"/>
        <v>-2.2437137330754364E-2</v>
      </c>
      <c r="P12" s="119">
        <v>4308</v>
      </c>
      <c r="Q12" s="120">
        <f t="shared" si="2"/>
        <v>-0.147605856747131</v>
      </c>
    </row>
    <row r="13" spans="1:18" x14ac:dyDescent="0.25">
      <c r="A13" s="1" t="s">
        <v>80</v>
      </c>
      <c r="B13" s="118" t="s">
        <v>81</v>
      </c>
      <c r="C13" s="119">
        <v>4097</v>
      </c>
      <c r="D13" s="119">
        <v>4065</v>
      </c>
      <c r="E13" s="120">
        <f t="shared" si="0"/>
        <v>-7.810593116914788E-3</v>
      </c>
      <c r="F13" s="119">
        <v>0</v>
      </c>
      <c r="G13" s="120">
        <f t="shared" si="3"/>
        <v>-1</v>
      </c>
      <c r="H13" s="119">
        <v>2659</v>
      </c>
      <c r="I13" s="120" t="str">
        <f t="shared" si="4"/>
        <v>-</v>
      </c>
      <c r="J13" s="119">
        <v>3632</v>
      </c>
      <c r="K13" s="120">
        <f t="shared" si="5"/>
        <v>0.365927040240692</v>
      </c>
      <c r="L13" s="119">
        <v>5013</v>
      </c>
      <c r="M13" s="120">
        <f t="shared" si="1"/>
        <v>0.38023127753303965</v>
      </c>
      <c r="N13" s="119">
        <v>4992</v>
      </c>
      <c r="O13" s="120">
        <f t="shared" si="6"/>
        <v>-4.1891083183722699E-3</v>
      </c>
      <c r="P13" s="119">
        <v>4998</v>
      </c>
      <c r="Q13" s="120">
        <f t="shared" si="2"/>
        <v>1.2019230769231282E-3</v>
      </c>
    </row>
    <row r="14" spans="1:18" x14ac:dyDescent="0.25">
      <c r="A14" s="1" t="s">
        <v>82</v>
      </c>
      <c r="B14" s="118" t="s">
        <v>83</v>
      </c>
      <c r="C14" s="119">
        <v>4053</v>
      </c>
      <c r="D14" s="119">
        <v>3920</v>
      </c>
      <c r="E14" s="120">
        <f t="shared" si="0"/>
        <v>-3.2815198618307395E-2</v>
      </c>
      <c r="F14" s="119">
        <v>0</v>
      </c>
      <c r="G14" s="120">
        <f t="shared" si="3"/>
        <v>-1</v>
      </c>
      <c r="H14" s="119">
        <v>2494</v>
      </c>
      <c r="I14" s="120" t="str">
        <f t="shared" si="4"/>
        <v>-</v>
      </c>
      <c r="J14" s="119">
        <v>4520</v>
      </c>
      <c r="K14" s="120">
        <f t="shared" si="5"/>
        <v>0.81234963913392133</v>
      </c>
      <c r="L14" s="119">
        <v>4181</v>
      </c>
      <c r="M14" s="120">
        <f t="shared" si="1"/>
        <v>-7.4999999999999956E-2</v>
      </c>
      <c r="N14" s="119">
        <v>3964</v>
      </c>
      <c r="O14" s="120">
        <f t="shared" si="6"/>
        <v>-5.1901458981104986E-2</v>
      </c>
      <c r="P14" s="119">
        <v>4119</v>
      </c>
      <c r="Q14" s="120">
        <f t="shared" si="2"/>
        <v>3.9101917255297769E-2</v>
      </c>
    </row>
    <row r="15" spans="1:18" x14ac:dyDescent="0.25">
      <c r="A15" s="1" t="s">
        <v>84</v>
      </c>
      <c r="B15" s="118" t="s">
        <v>85</v>
      </c>
      <c r="C15" s="119">
        <v>4147</v>
      </c>
      <c r="D15" s="119">
        <v>4387</v>
      </c>
      <c r="E15" s="120">
        <f t="shared" si="0"/>
        <v>5.7873161321437161E-2</v>
      </c>
      <c r="F15" s="119">
        <v>0</v>
      </c>
      <c r="G15" s="120">
        <f t="shared" si="3"/>
        <v>-1</v>
      </c>
      <c r="H15" s="119">
        <v>2428</v>
      </c>
      <c r="I15" s="120" t="str">
        <f t="shared" si="4"/>
        <v>-</v>
      </c>
      <c r="J15" s="119">
        <v>4275</v>
      </c>
      <c r="K15" s="120">
        <f t="shared" si="5"/>
        <v>0.76070840197693568</v>
      </c>
      <c r="L15" s="119">
        <v>4340</v>
      </c>
      <c r="M15" s="120">
        <f t="shared" si="1"/>
        <v>1.5204678362572999E-2</v>
      </c>
      <c r="N15" s="119">
        <v>4593</v>
      </c>
      <c r="O15" s="120">
        <f t="shared" si="6"/>
        <v>5.8294930875576023E-2</v>
      </c>
      <c r="P15" s="119" t="s">
        <v>229</v>
      </c>
      <c r="Q15" s="120" t="str">
        <f t="shared" si="2"/>
        <v>-</v>
      </c>
    </row>
    <row r="16" spans="1:18" x14ac:dyDescent="0.25">
      <c r="A16" s="1" t="s">
        <v>86</v>
      </c>
      <c r="B16" s="118" t="s">
        <v>87</v>
      </c>
      <c r="C16" s="119">
        <v>3443</v>
      </c>
      <c r="D16" s="119">
        <v>4223</v>
      </c>
      <c r="E16" s="120">
        <f t="shared" si="0"/>
        <v>0.22654661632297413</v>
      </c>
      <c r="F16" s="119">
        <v>2777</v>
      </c>
      <c r="G16" s="120">
        <f t="shared" si="3"/>
        <v>-0.34241060857210515</v>
      </c>
      <c r="H16" s="119">
        <v>2929</v>
      </c>
      <c r="I16" s="120">
        <f t="shared" si="4"/>
        <v>5.473532589124952E-2</v>
      </c>
      <c r="J16" s="119">
        <v>3932</v>
      </c>
      <c r="K16" s="120">
        <f t="shared" si="5"/>
        <v>0.34243769204506647</v>
      </c>
      <c r="L16" s="119">
        <v>4645</v>
      </c>
      <c r="M16" s="120">
        <f t="shared" si="1"/>
        <v>0.18133265513733465</v>
      </c>
      <c r="N16" s="119">
        <v>2899</v>
      </c>
      <c r="O16" s="120">
        <f t="shared" si="6"/>
        <v>-0.37588805166846073</v>
      </c>
      <c r="P16" s="119" t="s">
        <v>229</v>
      </c>
      <c r="Q16" s="120" t="str">
        <f t="shared" si="2"/>
        <v>-</v>
      </c>
    </row>
    <row r="17" spans="1:17" x14ac:dyDescent="0.25">
      <c r="A17" s="1" t="s">
        <v>88</v>
      </c>
      <c r="B17" s="118" t="s">
        <v>89</v>
      </c>
      <c r="C17" s="119">
        <v>3174</v>
      </c>
      <c r="D17" s="119">
        <v>3835</v>
      </c>
      <c r="E17" s="120">
        <f t="shared" si="0"/>
        <v>0.20825456836798995</v>
      </c>
      <c r="F17" s="119">
        <v>1764</v>
      </c>
      <c r="G17" s="120">
        <f t="shared" si="3"/>
        <v>-0.54002607561929594</v>
      </c>
      <c r="H17" s="119">
        <v>3914</v>
      </c>
      <c r="I17" s="120">
        <f t="shared" si="4"/>
        <v>1.2188208616780045</v>
      </c>
      <c r="J17" s="119">
        <v>4578</v>
      </c>
      <c r="K17" s="120">
        <f t="shared" si="5"/>
        <v>0.16964741951967288</v>
      </c>
      <c r="L17" s="119">
        <v>4521</v>
      </c>
      <c r="M17" s="120">
        <f t="shared" si="1"/>
        <v>-1.2450851900393189E-2</v>
      </c>
      <c r="N17" s="119">
        <v>5087</v>
      </c>
      <c r="O17" s="120">
        <f t="shared" si="6"/>
        <v>0.12519354125193538</v>
      </c>
      <c r="P17" s="119" t="s">
        <v>229</v>
      </c>
      <c r="Q17" s="120" t="str">
        <f t="shared" si="2"/>
        <v>-</v>
      </c>
    </row>
    <row r="18" spans="1:17" x14ac:dyDescent="0.25">
      <c r="A18" s="1" t="s">
        <v>90</v>
      </c>
      <c r="B18" s="118" t="s">
        <v>91</v>
      </c>
      <c r="C18" s="119">
        <v>4636</v>
      </c>
      <c r="D18" s="119">
        <v>4677</v>
      </c>
      <c r="E18" s="120">
        <f t="shared" si="0"/>
        <v>8.8438308886971129E-3</v>
      </c>
      <c r="F18" s="119">
        <v>1764</v>
      </c>
      <c r="G18" s="120">
        <f t="shared" si="3"/>
        <v>-0.62283515073765239</v>
      </c>
      <c r="H18" s="119">
        <v>3380</v>
      </c>
      <c r="I18" s="120">
        <f t="shared" si="4"/>
        <v>0.91609977324263037</v>
      </c>
      <c r="J18" s="119">
        <v>4025</v>
      </c>
      <c r="K18" s="120">
        <f t="shared" si="5"/>
        <v>0.19082840236686383</v>
      </c>
      <c r="L18" s="119">
        <v>4419</v>
      </c>
      <c r="M18" s="120">
        <f t="shared" si="1"/>
        <v>9.7888198757764E-2</v>
      </c>
      <c r="N18" s="119">
        <v>4919</v>
      </c>
      <c r="O18" s="120">
        <f t="shared" si="6"/>
        <v>0.11314777098891149</v>
      </c>
      <c r="P18" s="119" t="s">
        <v>229</v>
      </c>
      <c r="Q18" s="120" t="str">
        <f t="shared" si="2"/>
        <v>-</v>
      </c>
    </row>
    <row r="19" spans="1:17" x14ac:dyDescent="0.25">
      <c r="A19" s="1" t="s">
        <v>92</v>
      </c>
      <c r="B19" s="118" t="s">
        <v>93</v>
      </c>
      <c r="C19" s="119">
        <v>5331</v>
      </c>
      <c r="D19" s="119">
        <v>6020</v>
      </c>
      <c r="E19" s="120">
        <f t="shared" si="0"/>
        <v>0.12924404426936786</v>
      </c>
      <c r="F19" s="119">
        <v>1763</v>
      </c>
      <c r="G19" s="120">
        <f t="shared" si="3"/>
        <v>-0.70714285714285707</v>
      </c>
      <c r="H19" s="119">
        <v>4448</v>
      </c>
      <c r="I19" s="120">
        <f t="shared" si="4"/>
        <v>1.5229722064662505</v>
      </c>
      <c r="J19" s="119">
        <v>4838</v>
      </c>
      <c r="K19" s="120">
        <f t="shared" si="5"/>
        <v>8.7679856115107979E-2</v>
      </c>
      <c r="L19" s="119">
        <v>4964</v>
      </c>
      <c r="M19" s="120">
        <f t="shared" si="1"/>
        <v>2.6043819760231512E-2</v>
      </c>
      <c r="N19" s="119">
        <v>5464</v>
      </c>
      <c r="O19" s="120">
        <f t="shared" si="6"/>
        <v>0.10072522159548747</v>
      </c>
      <c r="P19" s="119" t="s">
        <v>229</v>
      </c>
      <c r="Q19" s="120" t="str">
        <f t="shared" si="2"/>
        <v>-</v>
      </c>
    </row>
    <row r="20" spans="1:17" x14ac:dyDescent="0.25">
      <c r="A20" s="1" t="s">
        <v>94</v>
      </c>
      <c r="B20" s="118" t="s">
        <v>95</v>
      </c>
      <c r="C20" s="119">
        <v>5384</v>
      </c>
      <c r="D20" s="119">
        <v>5767</v>
      </c>
      <c r="E20" s="120">
        <f t="shared" si="0"/>
        <v>7.113670133729566E-2</v>
      </c>
      <c r="F20" s="119">
        <v>1794</v>
      </c>
      <c r="G20" s="120">
        <f t="shared" si="3"/>
        <v>-0.6889197156233744</v>
      </c>
      <c r="H20" s="119">
        <v>4543</v>
      </c>
      <c r="I20" s="120">
        <f t="shared" si="4"/>
        <v>1.5323299888517279</v>
      </c>
      <c r="J20" s="119">
        <v>5166</v>
      </c>
      <c r="K20" s="120">
        <f t="shared" si="5"/>
        <v>0.13713405238828957</v>
      </c>
      <c r="L20" s="119">
        <v>4585</v>
      </c>
      <c r="M20" s="120">
        <f t="shared" si="1"/>
        <v>-0.11246612466124661</v>
      </c>
      <c r="N20" s="119">
        <v>5228</v>
      </c>
      <c r="O20" s="120">
        <f t="shared" si="6"/>
        <v>0.14023991275899683</v>
      </c>
      <c r="P20" s="119" t="s">
        <v>229</v>
      </c>
      <c r="Q20" s="120" t="str">
        <f t="shared" si="2"/>
        <v>-</v>
      </c>
    </row>
    <row r="21" spans="1:17" ht="15.75" x14ac:dyDescent="0.25">
      <c r="A21" s="1" t="s">
        <v>0</v>
      </c>
      <c r="B21" s="121" t="s">
        <v>32</v>
      </c>
      <c r="C21" s="122">
        <v>53986</v>
      </c>
      <c r="D21" s="122">
        <v>55887</v>
      </c>
      <c r="E21" s="123">
        <f t="shared" si="0"/>
        <v>3.521283295669253E-2</v>
      </c>
      <c r="F21" s="122">
        <v>24221</v>
      </c>
      <c r="G21" s="123">
        <f>F21/D21-1</f>
        <v>-0.56660761894537193</v>
      </c>
      <c r="H21" s="122">
        <v>33444</v>
      </c>
      <c r="I21" s="123">
        <f t="shared" si="4"/>
        <v>0.38078526898146237</v>
      </c>
      <c r="J21" s="122">
        <v>51485</v>
      </c>
      <c r="K21" s="123">
        <f t="shared" si="5"/>
        <v>0.53943906231312044</v>
      </c>
      <c r="L21" s="122">
        <v>58157</v>
      </c>
      <c r="M21" s="123">
        <f t="shared" si="1"/>
        <v>0.12959114305137409</v>
      </c>
      <c r="N21" s="122">
        <v>57388</v>
      </c>
      <c r="O21" s="123">
        <f t="shared" si="6"/>
        <v>-1.3222827862510056E-2</v>
      </c>
      <c r="P21" s="122">
        <v>28272</v>
      </c>
      <c r="Q21" s="123">
        <v>-3.1714500993218708E-2</v>
      </c>
    </row>
    <row r="22" spans="1:17" ht="6" customHeight="1" x14ac:dyDescent="0.25"/>
    <row r="23" spans="1:17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19"/>
      <c r="Q23" s="107"/>
    </row>
  </sheetData>
  <mergeCells count="9">
    <mergeCell ref="B4:Q4"/>
    <mergeCell ref="C6:Q6"/>
    <mergeCell ref="D7:E7"/>
    <mergeCell ref="F7:G7"/>
    <mergeCell ref="H7:I7"/>
    <mergeCell ref="J7:K7"/>
    <mergeCell ref="L7:M7"/>
    <mergeCell ref="N7:O7"/>
    <mergeCell ref="P7:Q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BFAD8-C3A7-4157-A956-30424A2AA426}">
  <sheetPr>
    <tabColor theme="7" tint="0.79998168889431442"/>
  </sheetPr>
  <dimension ref="A4:O92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8" t="s">
        <v>249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3" t="s">
        <v>134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5" ht="22.5" thickTop="1" thickBot="1" x14ac:dyDescent="0.3">
      <c r="B7" s="111"/>
      <c r="C7" s="305">
        <f>E7-1</f>
        <v>2020</v>
      </c>
      <c r="D7" s="306"/>
      <c r="E7" s="307">
        <f t="shared" ref="E7" si="0">G7-1</f>
        <v>2021</v>
      </c>
      <c r="F7" s="306"/>
      <c r="G7" s="307">
        <f t="shared" ref="G7" si="1">I7-1</f>
        <v>2022</v>
      </c>
      <c r="H7" s="306"/>
      <c r="I7" s="307">
        <f t="shared" ref="I7" si="2">K7-1</f>
        <v>2023</v>
      </c>
      <c r="J7" s="306"/>
      <c r="K7" s="307">
        <f>M7-1</f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",RIGHT(E7,2),"/",RIGHT(E7-1,2))</f>
        <v>var 21/20</v>
      </c>
      <c r="G8" s="117" t="s">
        <v>71</v>
      </c>
      <c r="H8" s="116" t="str">
        <f>CONCATENATE("var ",RIGHT(G7,2),"/",RIGHT(G7-1,2))</f>
        <v>var 22/21</v>
      </c>
      <c r="I8" s="117" t="s">
        <v>71</v>
      </c>
      <c r="J8" s="116" t="str">
        <f>CONCATENATE("var ",RIGHT(I7,2),"/",RIGHT(I7-1,2))</f>
        <v>var 23/22</v>
      </c>
      <c r="K8" s="117" t="s">
        <v>71</v>
      </c>
      <c r="L8" s="116" t="str">
        <f>CONCATENATE("var ",RIGHT(K7,2),"/",RIGHT(K7-1,2))</f>
        <v>var 24/23</v>
      </c>
      <c r="M8" s="117" t="s">
        <v>71</v>
      </c>
      <c r="N8" s="116" t="str">
        <f>CONCATENATE("var ",RIGHT(M7,2),"/",RIGHT(M7-1,2))</f>
        <v>var 25/24</v>
      </c>
    </row>
    <row r="9" spans="1:15" x14ac:dyDescent="0.25">
      <c r="A9" s="1" t="s">
        <v>72</v>
      </c>
      <c r="B9" s="118" t="s">
        <v>73</v>
      </c>
      <c r="C9" s="119">
        <v>5197</v>
      </c>
      <c r="D9" s="120">
        <v>0.10199321458863442</v>
      </c>
      <c r="E9" s="119">
        <v>1146</v>
      </c>
      <c r="F9" s="120">
        <f t="shared" ref="F9:L21" si="3">IFERROR(E9/C9-1,"-")</f>
        <v>-0.77948816624975947</v>
      </c>
      <c r="G9" s="119">
        <v>3527</v>
      </c>
      <c r="H9" s="120">
        <f t="shared" si="3"/>
        <v>2.0776614310645725</v>
      </c>
      <c r="I9" s="119">
        <v>5390</v>
      </c>
      <c r="J9" s="120">
        <f t="shared" si="3"/>
        <v>0.52821094414516589</v>
      </c>
      <c r="K9" s="119">
        <v>5217</v>
      </c>
      <c r="L9" s="120">
        <f t="shared" si="3"/>
        <v>-3.2096474953617782E-2</v>
      </c>
      <c r="M9" s="119">
        <v>5311</v>
      </c>
      <c r="N9" s="120">
        <f t="shared" ref="N9" si="4">IFERROR(M9/K9-1,"-")</f>
        <v>1.8018018018018056E-2</v>
      </c>
    </row>
    <row r="10" spans="1:15" x14ac:dyDescent="0.25">
      <c r="A10" s="1" t="s">
        <v>74</v>
      </c>
      <c r="B10" s="118" t="s">
        <v>75</v>
      </c>
      <c r="C10" s="119">
        <v>5359</v>
      </c>
      <c r="D10" s="120">
        <v>8.5916919959473148E-2</v>
      </c>
      <c r="E10" s="119">
        <v>1385</v>
      </c>
      <c r="F10" s="120">
        <f t="shared" si="3"/>
        <v>-0.74155626049636125</v>
      </c>
      <c r="G10" s="119">
        <v>4177</v>
      </c>
      <c r="H10" s="120">
        <f t="shared" si="3"/>
        <v>2.0158844765342958</v>
      </c>
      <c r="I10" s="119">
        <v>5270</v>
      </c>
      <c r="J10" s="120">
        <f t="shared" si="3"/>
        <v>0.2616710557816615</v>
      </c>
      <c r="K10" s="119">
        <v>4803</v>
      </c>
      <c r="L10" s="120">
        <f t="shared" si="3"/>
        <v>-8.861480075901329E-2</v>
      </c>
      <c r="M10" s="119">
        <v>4194</v>
      </c>
      <c r="N10" s="120">
        <f>IFERROR(M10/K10-1,"-")</f>
        <v>-0.12679575265459087</v>
      </c>
    </row>
    <row r="11" spans="1:15" x14ac:dyDescent="0.25">
      <c r="A11" s="1" t="s">
        <v>76</v>
      </c>
      <c r="B11" s="118" t="s">
        <v>77</v>
      </c>
      <c r="C11" s="119">
        <v>2198</v>
      </c>
      <c r="D11" s="120">
        <v>-0.57303807303807308</v>
      </c>
      <c r="E11" s="119">
        <v>2288</v>
      </c>
      <c r="F11" s="120">
        <f t="shared" si="3"/>
        <v>4.0946314831665109E-2</v>
      </c>
      <c r="G11" s="119">
        <v>4740</v>
      </c>
      <c r="H11" s="120">
        <f t="shared" si="3"/>
        <v>1.0716783216783217</v>
      </c>
      <c r="I11" s="119">
        <v>5659</v>
      </c>
      <c r="J11" s="120">
        <f t="shared" si="3"/>
        <v>0.19388185654008439</v>
      </c>
      <c r="K11" s="119">
        <v>5168</v>
      </c>
      <c r="L11" s="120">
        <f t="shared" si="3"/>
        <v>-8.6764446015197061E-2</v>
      </c>
      <c r="M11" s="119">
        <v>5342</v>
      </c>
      <c r="N11" s="120">
        <f>IFERROR(M11/K11-1,"-")</f>
        <v>3.3668730650154854E-2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1830</v>
      </c>
      <c r="F12" s="120" t="str">
        <f t="shared" si="3"/>
        <v>-</v>
      </c>
      <c r="G12" s="119">
        <v>4075</v>
      </c>
      <c r="H12" s="120">
        <f t="shared" si="3"/>
        <v>1.2267759562841531</v>
      </c>
      <c r="I12" s="119">
        <v>5170</v>
      </c>
      <c r="J12" s="120">
        <f t="shared" si="3"/>
        <v>0.26871165644171779</v>
      </c>
      <c r="K12" s="119">
        <v>5054</v>
      </c>
      <c r="L12" s="120">
        <f t="shared" si="3"/>
        <v>-2.2437137330754364E-2</v>
      </c>
      <c r="M12" s="119">
        <v>4308</v>
      </c>
      <c r="N12" s="120">
        <f>IFERROR(M12/K12-1,"-")</f>
        <v>-0.147605856747131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2659</v>
      </c>
      <c r="F13" s="120" t="str">
        <f t="shared" si="3"/>
        <v>-</v>
      </c>
      <c r="G13" s="119">
        <v>3632</v>
      </c>
      <c r="H13" s="120">
        <f t="shared" si="3"/>
        <v>0.365927040240692</v>
      </c>
      <c r="I13" s="119">
        <v>5013</v>
      </c>
      <c r="J13" s="120">
        <f t="shared" si="3"/>
        <v>0.38023127753303965</v>
      </c>
      <c r="K13" s="119">
        <v>4992</v>
      </c>
      <c r="L13" s="120">
        <f t="shared" si="3"/>
        <v>-4.1891083183722699E-3</v>
      </c>
      <c r="M13" s="119">
        <v>4998</v>
      </c>
      <c r="N13" s="120">
        <f>IFERROR(M13/K13-1,"-")</f>
        <v>1.2019230769231282E-3</v>
      </c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2494</v>
      </c>
      <c r="F14" s="120" t="str">
        <f t="shared" si="3"/>
        <v>-</v>
      </c>
      <c r="G14" s="119">
        <v>4520</v>
      </c>
      <c r="H14" s="120">
        <f t="shared" si="3"/>
        <v>0.81234963913392133</v>
      </c>
      <c r="I14" s="119">
        <v>4181</v>
      </c>
      <c r="J14" s="120">
        <f t="shared" si="3"/>
        <v>-7.4999999999999956E-2</v>
      </c>
      <c r="K14" s="119">
        <v>3964</v>
      </c>
      <c r="L14" s="120">
        <f t="shared" si="3"/>
        <v>-5.1901458981104986E-2</v>
      </c>
      <c r="M14" s="119">
        <v>4119</v>
      </c>
      <c r="N14" s="120">
        <f>IFERROR(M14/K14-1,"-")</f>
        <v>3.9101917255297769E-2</v>
      </c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2428</v>
      </c>
      <c r="F15" s="120" t="str">
        <f t="shared" si="3"/>
        <v>-</v>
      </c>
      <c r="G15" s="119">
        <v>4275</v>
      </c>
      <c r="H15" s="120">
        <f t="shared" si="3"/>
        <v>0.76070840197693568</v>
      </c>
      <c r="I15" s="119">
        <v>4340</v>
      </c>
      <c r="J15" s="120">
        <f t="shared" si="3"/>
        <v>1.5204678362572999E-2</v>
      </c>
      <c r="K15" s="119">
        <v>4593</v>
      </c>
      <c r="L15" s="120">
        <f t="shared" si="3"/>
        <v>5.8294930875576023E-2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2777</v>
      </c>
      <c r="D16" s="120">
        <v>-0.34241060857210515</v>
      </c>
      <c r="E16" s="119">
        <v>2929</v>
      </c>
      <c r="F16" s="120">
        <f t="shared" si="3"/>
        <v>5.473532589124952E-2</v>
      </c>
      <c r="G16" s="119">
        <v>3932</v>
      </c>
      <c r="H16" s="120">
        <f t="shared" si="3"/>
        <v>0.34243769204506647</v>
      </c>
      <c r="I16" s="119">
        <v>4645</v>
      </c>
      <c r="J16" s="120">
        <f t="shared" si="3"/>
        <v>0.18133265513733465</v>
      </c>
      <c r="K16" s="119">
        <v>2899</v>
      </c>
      <c r="L16" s="120">
        <f t="shared" si="3"/>
        <v>-0.37588805166846073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1764</v>
      </c>
      <c r="D17" s="120">
        <v>-0.54002607561929594</v>
      </c>
      <c r="E17" s="119">
        <v>3914</v>
      </c>
      <c r="F17" s="120">
        <f t="shared" si="3"/>
        <v>1.2188208616780045</v>
      </c>
      <c r="G17" s="119">
        <v>4578</v>
      </c>
      <c r="H17" s="120">
        <f t="shared" si="3"/>
        <v>0.16964741951967288</v>
      </c>
      <c r="I17" s="119">
        <v>4521</v>
      </c>
      <c r="J17" s="120">
        <f t="shared" si="3"/>
        <v>-1.2450851900393189E-2</v>
      </c>
      <c r="K17" s="119">
        <v>5087</v>
      </c>
      <c r="L17" s="120">
        <f t="shared" si="3"/>
        <v>0.12519354125193538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1764</v>
      </c>
      <c r="D18" s="120">
        <v>-0.62283515073765239</v>
      </c>
      <c r="E18" s="119">
        <v>3380</v>
      </c>
      <c r="F18" s="120">
        <f t="shared" si="3"/>
        <v>0.91609977324263037</v>
      </c>
      <c r="G18" s="119">
        <v>4025</v>
      </c>
      <c r="H18" s="120">
        <f t="shared" si="3"/>
        <v>0.19082840236686383</v>
      </c>
      <c r="I18" s="119">
        <v>4419</v>
      </c>
      <c r="J18" s="120">
        <f t="shared" si="3"/>
        <v>9.7888198757764E-2</v>
      </c>
      <c r="K18" s="119">
        <v>4919</v>
      </c>
      <c r="L18" s="120">
        <f t="shared" si="3"/>
        <v>0.11314777098891149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1763</v>
      </c>
      <c r="D19" s="120">
        <v>-0.70714285714285707</v>
      </c>
      <c r="E19" s="119">
        <v>4448</v>
      </c>
      <c r="F19" s="120">
        <f t="shared" si="3"/>
        <v>1.5229722064662505</v>
      </c>
      <c r="G19" s="119">
        <v>4838</v>
      </c>
      <c r="H19" s="120">
        <f t="shared" si="3"/>
        <v>8.7679856115107979E-2</v>
      </c>
      <c r="I19" s="119">
        <v>4964</v>
      </c>
      <c r="J19" s="120">
        <f t="shared" si="3"/>
        <v>2.6043819760231512E-2</v>
      </c>
      <c r="K19" s="119">
        <v>5464</v>
      </c>
      <c r="L19" s="120">
        <f t="shared" si="3"/>
        <v>0.10072522159548747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1794</v>
      </c>
      <c r="D20" s="120">
        <v>-0.6889197156233744</v>
      </c>
      <c r="E20" s="119">
        <v>4543</v>
      </c>
      <c r="F20" s="120">
        <f t="shared" si="3"/>
        <v>1.5323299888517279</v>
      </c>
      <c r="G20" s="119">
        <v>5166</v>
      </c>
      <c r="H20" s="120">
        <f t="shared" si="3"/>
        <v>0.13713405238828957</v>
      </c>
      <c r="I20" s="119">
        <v>4585</v>
      </c>
      <c r="J20" s="120">
        <f t="shared" si="3"/>
        <v>-0.11246612466124661</v>
      </c>
      <c r="K20" s="119">
        <v>5228</v>
      </c>
      <c r="L20" s="120">
        <f t="shared" si="3"/>
        <v>0.14023991275899683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24221</v>
      </c>
      <c r="D21" s="123">
        <v>-0.56660761894537193</v>
      </c>
      <c r="E21" s="122">
        <v>33444</v>
      </c>
      <c r="F21" s="123">
        <f t="shared" si="3"/>
        <v>0.38078526898146237</v>
      </c>
      <c r="G21" s="122">
        <v>51485</v>
      </c>
      <c r="H21" s="123">
        <f t="shared" si="3"/>
        <v>0.53943906231312044</v>
      </c>
      <c r="I21" s="122">
        <v>58157</v>
      </c>
      <c r="J21" s="123">
        <f t="shared" si="3"/>
        <v>0.12959114305137409</v>
      </c>
      <c r="K21" s="122">
        <v>57388</v>
      </c>
      <c r="L21" s="123">
        <f t="shared" si="3"/>
        <v>-1.3222827862510056E-2</v>
      </c>
      <c r="M21" s="122">
        <v>28272</v>
      </c>
      <c r="N21" s="123">
        <v>-3.1714500993218708E-2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19"/>
      <c r="N23" s="107"/>
    </row>
    <row r="24" spans="1:15" x14ac:dyDescent="0.25">
      <c r="K24" s="124"/>
      <c r="N24" s="81"/>
    </row>
    <row r="26" spans="1:15" ht="48.75" customHeight="1" thickBot="1" x14ac:dyDescent="0.3">
      <c r="B26" s="278" t="s">
        <v>250</v>
      </c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3" t="s">
        <v>139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5" ht="22.5" thickTop="1" thickBot="1" x14ac:dyDescent="0.3">
      <c r="B29" s="111"/>
      <c r="C29" s="305">
        <f>E29-1</f>
        <v>2020</v>
      </c>
      <c r="D29" s="306"/>
      <c r="E29" s="307">
        <f t="shared" ref="E29" si="5">G29-1</f>
        <v>2021</v>
      </c>
      <c r="F29" s="306"/>
      <c r="G29" s="307">
        <f t="shared" ref="G29" si="6">I29-1</f>
        <v>2022</v>
      </c>
      <c r="H29" s="306"/>
      <c r="I29" s="307">
        <f t="shared" ref="I29" si="7">K29-1</f>
        <v>2023</v>
      </c>
      <c r="J29" s="306"/>
      <c r="K29" s="307">
        <f>M29-1</f>
        <v>2024</v>
      </c>
      <c r="L29" s="306"/>
      <c r="M29" s="307">
        <v>2025</v>
      </c>
      <c r="N29" s="308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",RIGHT(E29,2),"/",RIGHT(E29-1,2))</f>
        <v>var 21/20</v>
      </c>
      <c r="G30" s="117" t="s">
        <v>71</v>
      </c>
      <c r="H30" s="116" t="str">
        <f>CONCATENATE("var ",RIGHT(G29,2),"/",RIGHT(G29-1,2))</f>
        <v>var 22/21</v>
      </c>
      <c r="I30" s="117" t="s">
        <v>71</v>
      </c>
      <c r="J30" s="116" t="str">
        <f>CONCATENATE("var ",RIGHT(I29,2),"/",RIGHT(I29-1,2))</f>
        <v>var 23/22</v>
      </c>
      <c r="K30" s="117" t="s">
        <v>71</v>
      </c>
      <c r="L30" s="116" t="str">
        <f>CONCATENATE("var ",RIGHT(K29,2),"/",RIGHT(K29-1,2))</f>
        <v>var 24/23</v>
      </c>
      <c r="M30" s="117" t="s">
        <v>71</v>
      </c>
      <c r="N30" s="116" t="str">
        <f>CONCATENATE("var ",RIGHT(M29,2),"/",RIGHT(M29-1,2))</f>
        <v>var 25/24</v>
      </c>
    </row>
    <row r="31" spans="1:15" x14ac:dyDescent="0.25">
      <c r="B31" s="118" t="s">
        <v>73</v>
      </c>
      <c r="C31" s="119">
        <v>5197</v>
      </c>
      <c r="D31" s="120">
        <v>0.10199321458863442</v>
      </c>
      <c r="E31" s="119">
        <v>1146</v>
      </c>
      <c r="F31" s="120">
        <f t="shared" ref="F31:L43" si="8">IFERROR(E31/C31-1,"-")</f>
        <v>-0.77948816624975947</v>
      </c>
      <c r="G31" s="119">
        <v>3527</v>
      </c>
      <c r="H31" s="120">
        <f t="shared" si="8"/>
        <v>2.0776614310645725</v>
      </c>
      <c r="I31" s="119">
        <v>5390</v>
      </c>
      <c r="J31" s="120">
        <f t="shared" si="8"/>
        <v>0.52821094414516589</v>
      </c>
      <c r="K31" s="119">
        <v>5217</v>
      </c>
      <c r="L31" s="120">
        <f t="shared" si="8"/>
        <v>-3.2096474953617782E-2</v>
      </c>
      <c r="M31" s="119">
        <v>5311</v>
      </c>
      <c r="N31" s="120">
        <f t="shared" ref="N31:N36" si="9">IFERROR(M31/K31-1,"-")</f>
        <v>1.8018018018018056E-2</v>
      </c>
    </row>
    <row r="32" spans="1:15" x14ac:dyDescent="0.25">
      <c r="B32" s="118" t="s">
        <v>75</v>
      </c>
      <c r="C32" s="119">
        <v>5359</v>
      </c>
      <c r="D32" s="120">
        <v>8.5916919959473148E-2</v>
      </c>
      <c r="E32" s="119">
        <v>1385</v>
      </c>
      <c r="F32" s="120">
        <f t="shared" si="8"/>
        <v>-0.74155626049636125</v>
      </c>
      <c r="G32" s="119">
        <v>4177</v>
      </c>
      <c r="H32" s="120">
        <f t="shared" si="8"/>
        <v>2.0158844765342958</v>
      </c>
      <c r="I32" s="119">
        <v>5270</v>
      </c>
      <c r="J32" s="120">
        <f t="shared" si="8"/>
        <v>0.2616710557816615</v>
      </c>
      <c r="K32" s="119">
        <v>4803</v>
      </c>
      <c r="L32" s="120">
        <f t="shared" si="8"/>
        <v>-8.861480075901329E-2</v>
      </c>
      <c r="M32" s="119">
        <v>4194</v>
      </c>
      <c r="N32" s="120">
        <f t="shared" si="9"/>
        <v>-0.12679575265459087</v>
      </c>
    </row>
    <row r="33" spans="2:15" x14ac:dyDescent="0.25">
      <c r="B33" s="118" t="s">
        <v>77</v>
      </c>
      <c r="C33" s="119">
        <v>2198</v>
      </c>
      <c r="D33" s="120">
        <v>-0.57303807303807308</v>
      </c>
      <c r="E33" s="119">
        <v>2288</v>
      </c>
      <c r="F33" s="120">
        <f t="shared" si="8"/>
        <v>4.0946314831665109E-2</v>
      </c>
      <c r="G33" s="119">
        <v>4740</v>
      </c>
      <c r="H33" s="120">
        <f t="shared" si="8"/>
        <v>1.0716783216783217</v>
      </c>
      <c r="I33" s="119">
        <v>5659</v>
      </c>
      <c r="J33" s="120">
        <f t="shared" si="8"/>
        <v>0.19388185654008439</v>
      </c>
      <c r="K33" s="119">
        <v>5168</v>
      </c>
      <c r="L33" s="120">
        <f t="shared" si="8"/>
        <v>-8.6764446015197061E-2</v>
      </c>
      <c r="M33" s="119">
        <v>5342</v>
      </c>
      <c r="N33" s="120">
        <f t="shared" si="9"/>
        <v>3.3668730650154854E-2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1830</v>
      </c>
      <c r="F34" s="120" t="str">
        <f t="shared" si="8"/>
        <v>-</v>
      </c>
      <c r="G34" s="119">
        <v>4075</v>
      </c>
      <c r="H34" s="120">
        <f t="shared" si="8"/>
        <v>1.2267759562841531</v>
      </c>
      <c r="I34" s="119">
        <v>5170</v>
      </c>
      <c r="J34" s="120">
        <f t="shared" si="8"/>
        <v>0.26871165644171779</v>
      </c>
      <c r="K34" s="119">
        <v>5054</v>
      </c>
      <c r="L34" s="120">
        <f t="shared" si="8"/>
        <v>-2.2437137330754364E-2</v>
      </c>
      <c r="M34" s="119">
        <v>4308</v>
      </c>
      <c r="N34" s="120">
        <f t="shared" si="9"/>
        <v>-0.147605856747131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2659</v>
      </c>
      <c r="F35" s="120" t="str">
        <f t="shared" si="8"/>
        <v>-</v>
      </c>
      <c r="G35" s="119">
        <v>3632</v>
      </c>
      <c r="H35" s="120">
        <f t="shared" si="8"/>
        <v>0.365927040240692</v>
      </c>
      <c r="I35" s="119">
        <v>5013</v>
      </c>
      <c r="J35" s="120">
        <f t="shared" si="8"/>
        <v>0.38023127753303965</v>
      </c>
      <c r="K35" s="119">
        <v>4992</v>
      </c>
      <c r="L35" s="120">
        <f t="shared" si="8"/>
        <v>-4.1891083183722699E-3</v>
      </c>
      <c r="M35" s="119">
        <v>4998</v>
      </c>
      <c r="N35" s="120">
        <f t="shared" si="9"/>
        <v>1.2019230769231282E-3</v>
      </c>
    </row>
    <row r="36" spans="2:15" x14ac:dyDescent="0.25">
      <c r="B36" s="118" t="s">
        <v>83</v>
      </c>
      <c r="C36" s="119">
        <v>0</v>
      </c>
      <c r="D36" s="120">
        <v>-1</v>
      </c>
      <c r="E36" s="119">
        <v>2494</v>
      </c>
      <c r="F36" s="120" t="str">
        <f t="shared" si="8"/>
        <v>-</v>
      </c>
      <c r="G36" s="119">
        <v>4520</v>
      </c>
      <c r="H36" s="120">
        <f t="shared" si="8"/>
        <v>0.81234963913392133</v>
      </c>
      <c r="I36" s="119">
        <v>4181</v>
      </c>
      <c r="J36" s="120">
        <f t="shared" si="8"/>
        <v>-7.4999999999999956E-2</v>
      </c>
      <c r="K36" s="119">
        <v>3964</v>
      </c>
      <c r="L36" s="120">
        <f t="shared" si="8"/>
        <v>-5.1901458981104986E-2</v>
      </c>
      <c r="M36" s="119">
        <v>4119</v>
      </c>
      <c r="N36" s="120">
        <f t="shared" si="9"/>
        <v>3.9101917255297769E-2</v>
      </c>
    </row>
    <row r="37" spans="2:15" x14ac:dyDescent="0.25">
      <c r="B37" s="118" t="s">
        <v>85</v>
      </c>
      <c r="C37" s="119">
        <v>0</v>
      </c>
      <c r="D37" s="120">
        <v>-1</v>
      </c>
      <c r="E37" s="119">
        <v>2428</v>
      </c>
      <c r="F37" s="120" t="str">
        <f t="shared" si="8"/>
        <v>-</v>
      </c>
      <c r="G37" s="119">
        <v>4275</v>
      </c>
      <c r="H37" s="120">
        <f t="shared" si="8"/>
        <v>0.76070840197693568</v>
      </c>
      <c r="I37" s="119">
        <v>4340</v>
      </c>
      <c r="J37" s="120">
        <f t="shared" si="8"/>
        <v>1.5204678362572999E-2</v>
      </c>
      <c r="K37" s="119">
        <v>4593</v>
      </c>
      <c r="L37" s="120">
        <f t="shared" si="8"/>
        <v>5.8294930875576023E-2</v>
      </c>
      <c r="M37" s="119"/>
      <c r="N37" s="120"/>
    </row>
    <row r="38" spans="2:15" x14ac:dyDescent="0.25">
      <c r="B38" s="118" t="s">
        <v>87</v>
      </c>
      <c r="C38" s="119">
        <v>2777</v>
      </c>
      <c r="D38" s="120">
        <v>-0.34241060857210515</v>
      </c>
      <c r="E38" s="119">
        <v>2929</v>
      </c>
      <c r="F38" s="120">
        <f t="shared" si="8"/>
        <v>5.473532589124952E-2</v>
      </c>
      <c r="G38" s="119">
        <v>3932</v>
      </c>
      <c r="H38" s="120">
        <f t="shared" si="8"/>
        <v>0.34243769204506647</v>
      </c>
      <c r="I38" s="119">
        <v>4645</v>
      </c>
      <c r="J38" s="120">
        <f t="shared" si="8"/>
        <v>0.18133265513733465</v>
      </c>
      <c r="K38" s="119">
        <v>2899</v>
      </c>
      <c r="L38" s="120">
        <f t="shared" si="8"/>
        <v>-0.37588805166846073</v>
      </c>
      <c r="M38" s="119"/>
      <c r="N38" s="120"/>
    </row>
    <row r="39" spans="2:15" x14ac:dyDescent="0.25">
      <c r="B39" s="118" t="s">
        <v>89</v>
      </c>
      <c r="C39" s="119">
        <v>1764</v>
      </c>
      <c r="D39" s="120">
        <v>-0.54002607561929594</v>
      </c>
      <c r="E39" s="119">
        <v>3914</v>
      </c>
      <c r="F39" s="120">
        <f t="shared" si="8"/>
        <v>1.2188208616780045</v>
      </c>
      <c r="G39" s="119">
        <v>4578</v>
      </c>
      <c r="H39" s="120">
        <f t="shared" si="8"/>
        <v>0.16964741951967288</v>
      </c>
      <c r="I39" s="119">
        <v>4521</v>
      </c>
      <c r="J39" s="120">
        <f t="shared" si="8"/>
        <v>-1.2450851900393189E-2</v>
      </c>
      <c r="K39" s="119">
        <v>5087</v>
      </c>
      <c r="L39" s="120">
        <f t="shared" si="8"/>
        <v>0.12519354125193538</v>
      </c>
      <c r="M39" s="119"/>
      <c r="N39" s="120"/>
    </row>
    <row r="40" spans="2:15" x14ac:dyDescent="0.25">
      <c r="B40" s="118" t="s">
        <v>91</v>
      </c>
      <c r="C40" s="119">
        <v>1764</v>
      </c>
      <c r="D40" s="120">
        <v>-0.62283515073765239</v>
      </c>
      <c r="E40" s="119">
        <v>3380</v>
      </c>
      <c r="F40" s="120">
        <f t="shared" si="8"/>
        <v>0.91609977324263037</v>
      </c>
      <c r="G40" s="119">
        <v>4025</v>
      </c>
      <c r="H40" s="120">
        <f t="shared" si="8"/>
        <v>0.19082840236686383</v>
      </c>
      <c r="I40" s="119">
        <v>4419</v>
      </c>
      <c r="J40" s="120">
        <f t="shared" si="8"/>
        <v>9.7888198757764E-2</v>
      </c>
      <c r="K40" s="119">
        <v>4919</v>
      </c>
      <c r="L40" s="120">
        <f t="shared" si="8"/>
        <v>0.11314777098891149</v>
      </c>
      <c r="M40" s="119"/>
      <c r="N40" s="120"/>
    </row>
    <row r="41" spans="2:15" x14ac:dyDescent="0.25">
      <c r="B41" s="118" t="s">
        <v>93</v>
      </c>
      <c r="C41" s="119">
        <v>1763</v>
      </c>
      <c r="D41" s="120">
        <v>-0.70714285714285707</v>
      </c>
      <c r="E41" s="119">
        <v>4448</v>
      </c>
      <c r="F41" s="120">
        <f t="shared" si="8"/>
        <v>1.5229722064662505</v>
      </c>
      <c r="G41" s="119">
        <v>4838</v>
      </c>
      <c r="H41" s="120">
        <f t="shared" si="8"/>
        <v>8.7679856115107979E-2</v>
      </c>
      <c r="I41" s="119">
        <v>4964</v>
      </c>
      <c r="J41" s="120">
        <f t="shared" si="8"/>
        <v>2.6043819760231512E-2</v>
      </c>
      <c r="K41" s="119">
        <v>5464</v>
      </c>
      <c r="L41" s="120">
        <f t="shared" si="8"/>
        <v>0.10072522159548747</v>
      </c>
      <c r="M41" s="119"/>
      <c r="N41" s="120"/>
    </row>
    <row r="42" spans="2:15" x14ac:dyDescent="0.25">
      <c r="B42" s="118" t="s">
        <v>95</v>
      </c>
      <c r="C42" s="119">
        <v>1794</v>
      </c>
      <c r="D42" s="120">
        <v>-0.6889197156233744</v>
      </c>
      <c r="E42" s="119">
        <v>4543</v>
      </c>
      <c r="F42" s="120">
        <f t="shared" si="8"/>
        <v>1.5323299888517279</v>
      </c>
      <c r="G42" s="119">
        <v>5166</v>
      </c>
      <c r="H42" s="120">
        <f t="shared" si="8"/>
        <v>0.13713405238828957</v>
      </c>
      <c r="I42" s="119">
        <v>4585</v>
      </c>
      <c r="J42" s="120">
        <f t="shared" si="8"/>
        <v>-0.11246612466124661</v>
      </c>
      <c r="K42" s="119">
        <v>5228</v>
      </c>
      <c r="L42" s="120">
        <f t="shared" si="8"/>
        <v>0.14023991275899683</v>
      </c>
      <c r="M42" s="119"/>
      <c r="N42" s="120"/>
    </row>
    <row r="43" spans="2:15" ht="15.75" x14ac:dyDescent="0.25">
      <c r="B43" s="121" t="s">
        <v>32</v>
      </c>
      <c r="C43" s="122">
        <v>24221</v>
      </c>
      <c r="D43" s="123">
        <v>-0.56660761894537193</v>
      </c>
      <c r="E43" s="122">
        <v>33444</v>
      </c>
      <c r="F43" s="123">
        <f t="shared" si="8"/>
        <v>0.38078526898146237</v>
      </c>
      <c r="G43" s="122">
        <v>51485</v>
      </c>
      <c r="H43" s="123">
        <f t="shared" si="8"/>
        <v>0.53943906231312044</v>
      </c>
      <c r="I43" s="122">
        <v>58157</v>
      </c>
      <c r="J43" s="123">
        <f t="shared" si="8"/>
        <v>0.12959114305137409</v>
      </c>
      <c r="K43" s="122">
        <v>57388</v>
      </c>
      <c r="L43" s="123">
        <f t="shared" si="8"/>
        <v>-1.3222827862510056E-2</v>
      </c>
      <c r="M43" s="122">
        <v>28272</v>
      </c>
      <c r="N43" s="123">
        <v>-3.1714500993218708E-2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K46" s="81"/>
    </row>
    <row r="48" spans="2:15" ht="48.75" customHeight="1" thickBot="1" x14ac:dyDescent="0.3">
      <c r="B48" s="278" t="s">
        <v>251</v>
      </c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3" t="s">
        <v>63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1:15" ht="22.5" thickTop="1" thickBot="1" x14ac:dyDescent="0.3">
      <c r="B51" s="111"/>
      <c r="C51" s="305">
        <f>E51-1</f>
        <v>2020</v>
      </c>
      <c r="D51" s="306"/>
      <c r="E51" s="307">
        <f t="shared" ref="E51" si="10">G51-1</f>
        <v>2021</v>
      </c>
      <c r="F51" s="306"/>
      <c r="G51" s="307">
        <f t="shared" ref="G51" si="11">I51-1</f>
        <v>2022</v>
      </c>
      <c r="H51" s="306"/>
      <c r="I51" s="307">
        <f t="shared" ref="I51" si="12">K51-1</f>
        <v>2023</v>
      </c>
      <c r="J51" s="306"/>
      <c r="K51" s="307">
        <f>M51-1</f>
        <v>2024</v>
      </c>
      <c r="L51" s="306"/>
      <c r="M51" s="307">
        <v>2025</v>
      </c>
      <c r="N51" s="308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",RIGHT(E51,2),"/",RIGHT(E51-1,2))</f>
        <v>var 21/20</v>
      </c>
      <c r="G52" s="117" t="s">
        <v>71</v>
      </c>
      <c r="H52" s="116" t="str">
        <f>CONCATENATE("var ",RIGHT(G51,2),"/",RIGHT(G51-1,2))</f>
        <v>var 22/21</v>
      </c>
      <c r="I52" s="117" t="s">
        <v>71</v>
      </c>
      <c r="J52" s="116" t="str">
        <f>CONCATENATE("var ",RIGHT(I51,2),"/",RIGHT(I51-1,2))</f>
        <v>var 23/22</v>
      </c>
      <c r="K52" s="117" t="s">
        <v>71</v>
      </c>
      <c r="L52" s="116" t="str">
        <f>CONCATENATE("var ",RIGHT(K51,2),"/",RIGHT(K51-1,2))</f>
        <v>var 24/23</v>
      </c>
      <c r="M52" s="117" t="s">
        <v>71</v>
      </c>
      <c r="N52" s="116" t="str">
        <f>CONCATENATE("var ",RIGHT(M51,2),"/",RIGHT(M51-1,2))</f>
        <v>var 25/24</v>
      </c>
    </row>
    <row r="53" spans="1:15" x14ac:dyDescent="0.25">
      <c r="A53" s="1">
        <v>1</v>
      </c>
      <c r="B53" s="118" t="s">
        <v>73</v>
      </c>
      <c r="C53" s="119">
        <v>3703</v>
      </c>
      <c r="D53" s="120">
        <v>1.0368349249658904E-2</v>
      </c>
      <c r="E53" s="119">
        <v>0</v>
      </c>
      <c r="F53" s="120">
        <f t="shared" ref="F53:L65" si="13">IFERROR(E53/C53-1,"-")</f>
        <v>-1</v>
      </c>
      <c r="G53" s="119">
        <v>0</v>
      </c>
      <c r="H53" s="120" t="str">
        <f t="shared" si="13"/>
        <v>-</v>
      </c>
      <c r="I53" s="119">
        <v>4641</v>
      </c>
      <c r="J53" s="120" t="str">
        <f t="shared" si="13"/>
        <v>-</v>
      </c>
      <c r="K53" s="119">
        <v>4486</v>
      </c>
      <c r="L53" s="120">
        <f t="shared" si="13"/>
        <v>-3.3397974574445155E-2</v>
      </c>
      <c r="M53" s="119">
        <v>4485</v>
      </c>
      <c r="N53" s="120">
        <f t="shared" ref="N53:N58" si="14">IFERROR(M53/K53-1,"-")</f>
        <v>-2.2291573785104823E-4</v>
      </c>
    </row>
    <row r="54" spans="1:15" x14ac:dyDescent="0.25">
      <c r="A54" s="1">
        <v>2</v>
      </c>
      <c r="B54" s="118" t="s">
        <v>75</v>
      </c>
      <c r="C54" s="119">
        <v>3601</v>
      </c>
      <c r="D54" s="120">
        <v>-5.4607508532423243E-2</v>
      </c>
      <c r="E54" s="119">
        <v>0</v>
      </c>
      <c r="F54" s="120">
        <f t="shared" si="13"/>
        <v>-1</v>
      </c>
      <c r="G54" s="119">
        <v>0</v>
      </c>
      <c r="H54" s="120" t="str">
        <f t="shared" si="13"/>
        <v>-</v>
      </c>
      <c r="I54" s="119">
        <v>4493</v>
      </c>
      <c r="J54" s="120" t="str">
        <f t="shared" si="13"/>
        <v>-</v>
      </c>
      <c r="K54" s="119">
        <v>4023</v>
      </c>
      <c r="L54" s="120">
        <f t="shared" si="13"/>
        <v>-0.10460716670376136</v>
      </c>
      <c r="M54" s="119">
        <v>3377</v>
      </c>
      <c r="N54" s="120">
        <f t="shared" si="14"/>
        <v>-0.16057668406661696</v>
      </c>
    </row>
    <row r="55" spans="1:15" x14ac:dyDescent="0.25">
      <c r="A55" s="1">
        <v>3</v>
      </c>
      <c r="B55" s="118" t="s">
        <v>77</v>
      </c>
      <c r="C55" s="119">
        <v>1389</v>
      </c>
      <c r="D55" s="120">
        <v>-0.62821199143468953</v>
      </c>
      <c r="E55" s="119">
        <v>0</v>
      </c>
      <c r="F55" s="120">
        <f t="shared" si="13"/>
        <v>-1</v>
      </c>
      <c r="G55" s="119">
        <v>0</v>
      </c>
      <c r="H55" s="120" t="str">
        <f t="shared" si="13"/>
        <v>-</v>
      </c>
      <c r="I55" s="119">
        <v>4830</v>
      </c>
      <c r="J55" s="120" t="str">
        <f t="shared" si="13"/>
        <v>-</v>
      </c>
      <c r="K55" s="119">
        <v>4388</v>
      </c>
      <c r="L55" s="120">
        <f t="shared" si="13"/>
        <v>-9.1511387163561109E-2</v>
      </c>
      <c r="M55" s="119">
        <v>4503</v>
      </c>
      <c r="N55" s="120">
        <f t="shared" si="14"/>
        <v>2.6207839562442992E-2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0</v>
      </c>
      <c r="F56" s="120" t="str">
        <f t="shared" si="13"/>
        <v>-</v>
      </c>
      <c r="G56" s="119">
        <v>3637</v>
      </c>
      <c r="H56" s="120" t="str">
        <f t="shared" si="13"/>
        <v>-</v>
      </c>
      <c r="I56" s="119">
        <v>4467</v>
      </c>
      <c r="J56" s="120">
        <f t="shared" si="13"/>
        <v>0.22821006323893323</v>
      </c>
      <c r="K56" s="119">
        <v>4407</v>
      </c>
      <c r="L56" s="120">
        <f t="shared" si="13"/>
        <v>-1.3431833445265329E-2</v>
      </c>
      <c r="M56" s="119">
        <v>3648</v>
      </c>
      <c r="N56" s="120">
        <f t="shared" si="14"/>
        <v>-0.17222600408441113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0</v>
      </c>
      <c r="F57" s="120" t="str">
        <f t="shared" si="13"/>
        <v>-</v>
      </c>
      <c r="G57" s="119">
        <v>3101</v>
      </c>
      <c r="H57" s="120" t="str">
        <f t="shared" si="13"/>
        <v>-</v>
      </c>
      <c r="I57" s="119">
        <v>4524</v>
      </c>
      <c r="J57" s="120">
        <f t="shared" si="13"/>
        <v>0.45888423089326014</v>
      </c>
      <c r="K57" s="119">
        <v>4496</v>
      </c>
      <c r="L57" s="120">
        <f t="shared" si="13"/>
        <v>-6.1892130857648109E-3</v>
      </c>
      <c r="M57" s="119">
        <v>4275</v>
      </c>
      <c r="N57" s="120">
        <f t="shared" si="14"/>
        <v>-4.9154804270462593E-2</v>
      </c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0</v>
      </c>
      <c r="F58" s="120" t="str">
        <f t="shared" si="13"/>
        <v>-</v>
      </c>
      <c r="G58" s="119">
        <v>4107</v>
      </c>
      <c r="H58" s="120" t="str">
        <f t="shared" si="13"/>
        <v>-</v>
      </c>
      <c r="I58" s="119">
        <v>3719</v>
      </c>
      <c r="J58" s="120">
        <f t="shared" si="13"/>
        <v>-9.4472851229608024E-2</v>
      </c>
      <c r="K58" s="119">
        <v>3480</v>
      </c>
      <c r="L58" s="120">
        <f t="shared" si="13"/>
        <v>-6.426458725463835E-2</v>
      </c>
      <c r="M58" s="119">
        <v>3490</v>
      </c>
      <c r="N58" s="120">
        <f t="shared" si="14"/>
        <v>2.8735632183907178E-3</v>
      </c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0</v>
      </c>
      <c r="F59" s="120" t="str">
        <f t="shared" si="13"/>
        <v>-</v>
      </c>
      <c r="G59" s="119">
        <v>3890</v>
      </c>
      <c r="H59" s="120" t="str">
        <f t="shared" si="13"/>
        <v>-</v>
      </c>
      <c r="I59" s="119">
        <v>0</v>
      </c>
      <c r="J59" s="120">
        <f t="shared" si="13"/>
        <v>-1</v>
      </c>
      <c r="K59" s="119">
        <v>3932</v>
      </c>
      <c r="L59" s="120" t="str">
        <f t="shared" si="13"/>
        <v>-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0</v>
      </c>
      <c r="D60" s="120">
        <v>-1</v>
      </c>
      <c r="E60" s="119">
        <v>0</v>
      </c>
      <c r="F60" s="120" t="str">
        <f t="shared" si="13"/>
        <v>-</v>
      </c>
      <c r="G60" s="119">
        <v>3368</v>
      </c>
      <c r="H60" s="120" t="str">
        <f t="shared" si="13"/>
        <v>-</v>
      </c>
      <c r="I60" s="119">
        <v>0</v>
      </c>
      <c r="J60" s="120">
        <f t="shared" si="13"/>
        <v>-1</v>
      </c>
      <c r="K60" s="119">
        <v>2669</v>
      </c>
      <c r="L60" s="120" t="str">
        <f t="shared" si="13"/>
        <v>-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0</v>
      </c>
      <c r="D61" s="120">
        <v>-1</v>
      </c>
      <c r="E61" s="119">
        <v>0</v>
      </c>
      <c r="F61" s="120" t="str">
        <f t="shared" si="13"/>
        <v>-</v>
      </c>
      <c r="G61" s="119">
        <v>4017</v>
      </c>
      <c r="H61" s="120" t="str">
        <f t="shared" si="13"/>
        <v>-</v>
      </c>
      <c r="I61" s="119">
        <v>4039</v>
      </c>
      <c r="J61" s="120">
        <f t="shared" si="13"/>
        <v>5.4767239233257659E-3</v>
      </c>
      <c r="K61" s="119">
        <v>4491</v>
      </c>
      <c r="L61" s="120">
        <f t="shared" si="13"/>
        <v>0.11190888833869761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0</v>
      </c>
      <c r="D62" s="120">
        <v>-1</v>
      </c>
      <c r="E62" s="119">
        <v>0</v>
      </c>
      <c r="F62" s="120" t="str">
        <f t="shared" si="13"/>
        <v>-</v>
      </c>
      <c r="G62" s="119">
        <v>3524</v>
      </c>
      <c r="H62" s="120" t="str">
        <f t="shared" si="13"/>
        <v>-</v>
      </c>
      <c r="I62" s="119">
        <v>3716</v>
      </c>
      <c r="J62" s="120">
        <f t="shared" si="13"/>
        <v>5.4483541430192961E-2</v>
      </c>
      <c r="K62" s="119">
        <v>4146</v>
      </c>
      <c r="L62" s="120">
        <f t="shared" si="13"/>
        <v>0.11571582346609266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0</v>
      </c>
      <c r="D63" s="120">
        <v>-1</v>
      </c>
      <c r="E63" s="119">
        <v>0</v>
      </c>
      <c r="F63" s="120" t="str">
        <f t="shared" si="13"/>
        <v>-</v>
      </c>
      <c r="G63" s="119">
        <v>4148</v>
      </c>
      <c r="H63" s="120" t="str">
        <f t="shared" si="13"/>
        <v>-</v>
      </c>
      <c r="I63" s="119">
        <v>4138</v>
      </c>
      <c r="J63" s="120">
        <f t="shared" si="13"/>
        <v>-2.4108003857280513E-3</v>
      </c>
      <c r="K63" s="119">
        <v>4532</v>
      </c>
      <c r="L63" s="120">
        <f t="shared" si="13"/>
        <v>9.5215079748670828E-2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0</v>
      </c>
      <c r="D64" s="120">
        <v>-1</v>
      </c>
      <c r="E64" s="119">
        <v>0</v>
      </c>
      <c r="F64" s="120" t="str">
        <f t="shared" si="13"/>
        <v>-</v>
      </c>
      <c r="G64" s="119">
        <v>4483</v>
      </c>
      <c r="H64" s="120" t="str">
        <f t="shared" si="13"/>
        <v>-</v>
      </c>
      <c r="I64" s="119">
        <v>3751</v>
      </c>
      <c r="J64" s="120">
        <f t="shared" si="13"/>
        <v>-0.16328351550301134</v>
      </c>
      <c r="K64" s="119">
        <v>4415</v>
      </c>
      <c r="L64" s="120">
        <f t="shared" si="13"/>
        <v>0.17701946147693959</v>
      </c>
      <c r="M64" s="119"/>
      <c r="N64" s="120"/>
    </row>
    <row r="65" spans="1:15" ht="15.75" x14ac:dyDescent="0.25">
      <c r="B65" s="121" t="s">
        <v>32</v>
      </c>
      <c r="C65" s="122">
        <v>0</v>
      </c>
      <c r="D65" s="123">
        <v>-1</v>
      </c>
      <c r="E65" s="122">
        <v>0</v>
      </c>
      <c r="F65" s="123" t="str">
        <f t="shared" si="13"/>
        <v>-</v>
      </c>
      <c r="G65" s="122">
        <v>46354</v>
      </c>
      <c r="H65" s="123" t="str">
        <f t="shared" si="13"/>
        <v>-</v>
      </c>
      <c r="I65" s="122">
        <v>50550</v>
      </c>
      <c r="J65" s="123">
        <f t="shared" si="13"/>
        <v>9.0520774906156953E-2</v>
      </c>
      <c r="K65" s="122">
        <v>49465</v>
      </c>
      <c r="L65" s="123">
        <f t="shared" si="13"/>
        <v>-2.1463897131552945E-2</v>
      </c>
      <c r="M65" s="122">
        <v>23778</v>
      </c>
      <c r="N65" s="123">
        <v>-5.9414556962025356E-2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78" t="s">
        <v>252</v>
      </c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3" t="s">
        <v>64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1:15" ht="22.5" thickTop="1" thickBot="1" x14ac:dyDescent="0.3">
      <c r="B73" s="111"/>
      <c r="C73" s="305">
        <f>E73-1</f>
        <v>2020</v>
      </c>
      <c r="D73" s="306"/>
      <c r="E73" s="307">
        <f t="shared" ref="E73" si="15">G73-1</f>
        <v>2021</v>
      </c>
      <c r="F73" s="306"/>
      <c r="G73" s="307">
        <f t="shared" ref="G73" si="16">I73-1</f>
        <v>2022</v>
      </c>
      <c r="H73" s="306"/>
      <c r="I73" s="307">
        <f t="shared" ref="I73" si="17">K73-1</f>
        <v>2023</v>
      </c>
      <c r="J73" s="306"/>
      <c r="K73" s="307">
        <f>M73-1</f>
        <v>2024</v>
      </c>
      <c r="L73" s="306"/>
      <c r="M73" s="307">
        <v>2025</v>
      </c>
      <c r="N73" s="308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",RIGHT(E73,2),"/",RIGHT(E73-1,2))</f>
        <v>var 21/20</v>
      </c>
      <c r="G74" s="117" t="s">
        <v>71</v>
      </c>
      <c r="H74" s="116" t="str">
        <f>CONCATENATE("var ",RIGHT(G73,2),"/",RIGHT(G73-1,2))</f>
        <v>var 22/21</v>
      </c>
      <c r="I74" s="117" t="s">
        <v>71</v>
      </c>
      <c r="J74" s="116" t="str">
        <f>CONCATENATE("var ",RIGHT(I73,2),"/",RIGHT(I73-1,2))</f>
        <v>var 23/22</v>
      </c>
      <c r="K74" s="117" t="s">
        <v>71</v>
      </c>
      <c r="L74" s="116" t="str">
        <f>CONCATENATE("var ",RIGHT(K73,2),"/",RIGHT(K73-1,2))</f>
        <v>var 24/23</v>
      </c>
      <c r="M74" s="117" t="s">
        <v>71</v>
      </c>
      <c r="N74" s="116" t="str">
        <f>CONCATENATE("var ",RIGHT(M73,2),"/",RIGHT(M73-1,2))</f>
        <v>var 25/24</v>
      </c>
    </row>
    <row r="75" spans="1:15" x14ac:dyDescent="0.25">
      <c r="A75" s="1">
        <v>1</v>
      </c>
      <c r="B75" s="118" t="s">
        <v>73</v>
      </c>
      <c r="C75" s="119">
        <v>1494</v>
      </c>
      <c r="D75" s="120">
        <v>0.42150333016175079</v>
      </c>
      <c r="E75" s="119">
        <v>0</v>
      </c>
      <c r="F75" s="120">
        <f t="shared" ref="F75:L87" si="18">IFERROR(E75/C75-1,"-")</f>
        <v>-1</v>
      </c>
      <c r="G75" s="119">
        <v>0</v>
      </c>
      <c r="H75" s="120" t="str">
        <f t="shared" si="18"/>
        <v>-</v>
      </c>
      <c r="I75" s="119">
        <v>749</v>
      </c>
      <c r="J75" s="120" t="str">
        <f t="shared" si="18"/>
        <v>-</v>
      </c>
      <c r="K75" s="119">
        <v>731</v>
      </c>
      <c r="L75" s="120">
        <f t="shared" si="18"/>
        <v>-2.4032042723631464E-2</v>
      </c>
      <c r="M75" s="119">
        <v>826</v>
      </c>
      <c r="N75" s="120">
        <f t="shared" ref="N75:N80" si="19">IFERROR(M75/K75-1,"-")</f>
        <v>0.12995896032831733</v>
      </c>
    </row>
    <row r="76" spans="1:15" x14ac:dyDescent="0.25">
      <c r="A76" s="1">
        <v>2</v>
      </c>
      <c r="B76" s="118" t="s">
        <v>75</v>
      </c>
      <c r="C76" s="119">
        <v>1758</v>
      </c>
      <c r="D76" s="120">
        <v>0.56127886323268217</v>
      </c>
      <c r="E76" s="119">
        <v>0</v>
      </c>
      <c r="F76" s="120">
        <f t="shared" si="18"/>
        <v>-1</v>
      </c>
      <c r="G76" s="119">
        <v>0</v>
      </c>
      <c r="H76" s="120" t="str">
        <f t="shared" si="18"/>
        <v>-</v>
      </c>
      <c r="I76" s="119">
        <v>777</v>
      </c>
      <c r="J76" s="120" t="str">
        <f t="shared" si="18"/>
        <v>-</v>
      </c>
      <c r="K76" s="119">
        <v>780</v>
      </c>
      <c r="L76" s="120">
        <f t="shared" si="18"/>
        <v>3.8610038610038533E-3</v>
      </c>
      <c r="M76" s="119">
        <v>817</v>
      </c>
      <c r="N76" s="120">
        <f t="shared" si="19"/>
        <v>4.7435897435897489E-2</v>
      </c>
    </row>
    <row r="77" spans="1:15" x14ac:dyDescent="0.25">
      <c r="A77" s="1">
        <v>3</v>
      </c>
      <c r="B77" s="118" t="s">
        <v>77</v>
      </c>
      <c r="C77" s="119">
        <v>809</v>
      </c>
      <c r="D77" s="120">
        <v>-0.42705382436260619</v>
      </c>
      <c r="E77" s="119">
        <v>0</v>
      </c>
      <c r="F77" s="120">
        <f t="shared" si="18"/>
        <v>-1</v>
      </c>
      <c r="G77" s="119">
        <v>0</v>
      </c>
      <c r="H77" s="120" t="str">
        <f t="shared" si="18"/>
        <v>-</v>
      </c>
      <c r="I77" s="119">
        <v>829</v>
      </c>
      <c r="J77" s="120" t="str">
        <f t="shared" si="18"/>
        <v>-</v>
      </c>
      <c r="K77" s="119">
        <v>780</v>
      </c>
      <c r="L77" s="120">
        <f t="shared" si="18"/>
        <v>-5.9107358262967424E-2</v>
      </c>
      <c r="M77" s="119">
        <v>839</v>
      </c>
      <c r="N77" s="120">
        <f t="shared" si="19"/>
        <v>7.5641025641025594E-2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0</v>
      </c>
      <c r="F78" s="120" t="str">
        <f t="shared" si="18"/>
        <v>-</v>
      </c>
      <c r="G78" s="119">
        <v>438</v>
      </c>
      <c r="H78" s="120" t="str">
        <f t="shared" si="18"/>
        <v>-</v>
      </c>
      <c r="I78" s="119">
        <v>703</v>
      </c>
      <c r="J78" s="120">
        <f t="shared" si="18"/>
        <v>0.60502283105022836</v>
      </c>
      <c r="K78" s="119">
        <v>647</v>
      </c>
      <c r="L78" s="120">
        <f t="shared" si="18"/>
        <v>-7.9658605974395447E-2</v>
      </c>
      <c r="M78" s="119">
        <v>660</v>
      </c>
      <c r="N78" s="120">
        <f t="shared" si="19"/>
        <v>2.0092735703245657E-2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0</v>
      </c>
      <c r="F79" s="120" t="str">
        <f t="shared" si="18"/>
        <v>-</v>
      </c>
      <c r="G79" s="119">
        <v>531</v>
      </c>
      <c r="H79" s="120" t="str">
        <f t="shared" si="18"/>
        <v>-</v>
      </c>
      <c r="I79" s="119">
        <v>489</v>
      </c>
      <c r="J79" s="120">
        <f t="shared" si="18"/>
        <v>-7.9096045197740161E-2</v>
      </c>
      <c r="K79" s="119">
        <v>496</v>
      </c>
      <c r="L79" s="120">
        <f t="shared" si="18"/>
        <v>1.4314928425357865E-2</v>
      </c>
      <c r="M79" s="119">
        <v>723</v>
      </c>
      <c r="N79" s="120">
        <f t="shared" si="19"/>
        <v>0.45766129032258074</v>
      </c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0</v>
      </c>
      <c r="F80" s="120" t="str">
        <f t="shared" si="18"/>
        <v>-</v>
      </c>
      <c r="G80" s="119">
        <v>413</v>
      </c>
      <c r="H80" s="120" t="str">
        <f t="shared" si="18"/>
        <v>-</v>
      </c>
      <c r="I80" s="119">
        <v>462</v>
      </c>
      <c r="J80" s="120">
        <f t="shared" si="18"/>
        <v>0.11864406779661008</v>
      </c>
      <c r="K80" s="119">
        <v>484</v>
      </c>
      <c r="L80" s="120">
        <f t="shared" si="18"/>
        <v>4.7619047619047672E-2</v>
      </c>
      <c r="M80" s="119">
        <v>629</v>
      </c>
      <c r="N80" s="120">
        <f t="shared" si="19"/>
        <v>0.29958677685950419</v>
      </c>
    </row>
    <row r="81" spans="1:14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0</v>
      </c>
      <c r="F81" s="120" t="str">
        <f t="shared" si="18"/>
        <v>-</v>
      </c>
      <c r="G81" s="119">
        <v>385</v>
      </c>
      <c r="H81" s="120" t="str">
        <f t="shared" si="18"/>
        <v>-</v>
      </c>
      <c r="I81" s="119">
        <v>0</v>
      </c>
      <c r="J81" s="120">
        <f t="shared" si="18"/>
        <v>-1</v>
      </c>
      <c r="K81" s="119">
        <v>661</v>
      </c>
      <c r="L81" s="120" t="str">
        <f t="shared" si="18"/>
        <v>-</v>
      </c>
      <c r="M81" s="119"/>
      <c r="N81" s="120"/>
    </row>
    <row r="82" spans="1:14" x14ac:dyDescent="0.25">
      <c r="A82" s="1">
        <v>8</v>
      </c>
      <c r="B82" s="118" t="s">
        <v>87</v>
      </c>
      <c r="C82" s="119">
        <v>0</v>
      </c>
      <c r="D82" s="120">
        <v>-1</v>
      </c>
      <c r="E82" s="119">
        <v>0</v>
      </c>
      <c r="F82" s="120" t="str">
        <f t="shared" si="18"/>
        <v>-</v>
      </c>
      <c r="G82" s="119">
        <v>564</v>
      </c>
      <c r="H82" s="120" t="str">
        <f t="shared" si="18"/>
        <v>-</v>
      </c>
      <c r="I82" s="119">
        <v>0</v>
      </c>
      <c r="J82" s="120">
        <f t="shared" si="18"/>
        <v>-1</v>
      </c>
      <c r="K82" s="119">
        <v>230</v>
      </c>
      <c r="L82" s="120" t="str">
        <f t="shared" si="18"/>
        <v>-</v>
      </c>
      <c r="M82" s="119"/>
      <c r="N82" s="120"/>
    </row>
    <row r="83" spans="1:14" x14ac:dyDescent="0.25">
      <c r="A83" s="1">
        <v>9</v>
      </c>
      <c r="B83" s="118" t="s">
        <v>89</v>
      </c>
      <c r="C83" s="119">
        <v>0</v>
      </c>
      <c r="D83" s="120">
        <v>-1</v>
      </c>
      <c r="E83" s="119">
        <v>0</v>
      </c>
      <c r="F83" s="120" t="str">
        <f t="shared" si="18"/>
        <v>-</v>
      </c>
      <c r="G83" s="119">
        <v>561</v>
      </c>
      <c r="H83" s="120" t="str">
        <f t="shared" si="18"/>
        <v>-</v>
      </c>
      <c r="I83" s="119">
        <v>482</v>
      </c>
      <c r="J83" s="120">
        <f t="shared" si="18"/>
        <v>-0.14081996434937616</v>
      </c>
      <c r="K83" s="119">
        <v>596</v>
      </c>
      <c r="L83" s="120">
        <f t="shared" si="18"/>
        <v>0.23651452282157681</v>
      </c>
      <c r="M83" s="119"/>
      <c r="N83" s="120"/>
    </row>
    <row r="84" spans="1:14" x14ac:dyDescent="0.25">
      <c r="A84" s="1">
        <v>10</v>
      </c>
      <c r="B84" s="118" t="s">
        <v>91</v>
      </c>
      <c r="C84" s="119">
        <v>0</v>
      </c>
      <c r="D84" s="120">
        <v>-1</v>
      </c>
      <c r="E84" s="119">
        <v>0</v>
      </c>
      <c r="F84" s="120" t="str">
        <f t="shared" si="18"/>
        <v>-</v>
      </c>
      <c r="G84" s="119">
        <v>501</v>
      </c>
      <c r="H84" s="120" t="str">
        <f t="shared" si="18"/>
        <v>-</v>
      </c>
      <c r="I84" s="119">
        <v>703</v>
      </c>
      <c r="J84" s="120">
        <f t="shared" si="18"/>
        <v>0.40319361277445109</v>
      </c>
      <c r="K84" s="119">
        <v>773</v>
      </c>
      <c r="L84" s="120">
        <f t="shared" si="18"/>
        <v>9.9573257467994392E-2</v>
      </c>
      <c r="M84" s="119"/>
      <c r="N84" s="120"/>
    </row>
    <row r="85" spans="1:14" x14ac:dyDescent="0.25">
      <c r="A85" s="1">
        <v>11</v>
      </c>
      <c r="B85" s="118" t="s">
        <v>93</v>
      </c>
      <c r="C85" s="119">
        <v>0</v>
      </c>
      <c r="D85" s="120">
        <v>-1</v>
      </c>
      <c r="E85" s="119">
        <v>0</v>
      </c>
      <c r="F85" s="120" t="str">
        <f t="shared" si="18"/>
        <v>-</v>
      </c>
      <c r="G85" s="119">
        <v>690</v>
      </c>
      <c r="H85" s="120" t="str">
        <f t="shared" si="18"/>
        <v>-</v>
      </c>
      <c r="I85" s="119">
        <v>826</v>
      </c>
      <c r="J85" s="120">
        <f t="shared" si="18"/>
        <v>0.19710144927536222</v>
      </c>
      <c r="K85" s="119">
        <v>932</v>
      </c>
      <c r="L85" s="120">
        <f t="shared" si="18"/>
        <v>0.12832929782082325</v>
      </c>
      <c r="M85" s="119"/>
      <c r="N85" s="120"/>
    </row>
    <row r="86" spans="1:14" x14ac:dyDescent="0.25">
      <c r="A86" s="1">
        <v>12</v>
      </c>
      <c r="B86" s="118" t="s">
        <v>95</v>
      </c>
      <c r="C86" s="119">
        <v>0</v>
      </c>
      <c r="D86" s="120">
        <v>-1</v>
      </c>
      <c r="E86" s="119">
        <v>0</v>
      </c>
      <c r="F86" s="120" t="str">
        <f t="shared" si="18"/>
        <v>-</v>
      </c>
      <c r="G86" s="119">
        <v>683</v>
      </c>
      <c r="H86" s="120" t="str">
        <f t="shared" si="18"/>
        <v>-</v>
      </c>
      <c r="I86" s="119">
        <v>834</v>
      </c>
      <c r="J86" s="120">
        <f t="shared" si="18"/>
        <v>0.22108345534407037</v>
      </c>
      <c r="K86" s="119">
        <v>813</v>
      </c>
      <c r="L86" s="120">
        <f t="shared" si="18"/>
        <v>-2.5179856115107868E-2</v>
      </c>
      <c r="M86" s="119"/>
      <c r="N86" s="120"/>
    </row>
    <row r="87" spans="1:14" ht="15.75" x14ac:dyDescent="0.25">
      <c r="B87" s="121" t="s">
        <v>32</v>
      </c>
      <c r="C87" s="122">
        <v>0</v>
      </c>
      <c r="D87" s="123">
        <v>-1</v>
      </c>
      <c r="E87" s="122">
        <v>0</v>
      </c>
      <c r="F87" s="123" t="str">
        <f t="shared" si="18"/>
        <v>-</v>
      </c>
      <c r="G87" s="122">
        <v>5131</v>
      </c>
      <c r="H87" s="123" t="str">
        <f t="shared" si="18"/>
        <v>-</v>
      </c>
      <c r="I87" s="122">
        <v>7607</v>
      </c>
      <c r="J87" s="123">
        <f t="shared" si="18"/>
        <v>0.48255700643149479</v>
      </c>
      <c r="K87" s="122">
        <v>7923</v>
      </c>
      <c r="L87" s="123">
        <f t="shared" si="18"/>
        <v>4.1540686210069566E-2</v>
      </c>
      <c r="M87" s="122">
        <v>4494</v>
      </c>
      <c r="N87" s="123">
        <v>0.14701378254211339</v>
      </c>
    </row>
    <row r="88" spans="1:14" ht="6" customHeight="1" x14ac:dyDescent="0.25"/>
    <row r="89" spans="1:14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4" x14ac:dyDescent="0.25">
      <c r="K92" s="124"/>
    </row>
  </sheetData>
  <mergeCells count="32"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4EABE-F402-430C-AB7D-41AE6B62B7CF}">
  <sheetPr>
    <tabColor theme="7" tint="0.79998168889431442"/>
  </sheetPr>
  <dimension ref="A4:O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8" t="s">
        <v>249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3" t="s">
        <v>134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5" ht="22.5" thickTop="1" thickBot="1" x14ac:dyDescent="0.3">
      <c r="B7" s="111"/>
      <c r="C7" s="305">
        <f>E7-1</f>
        <v>2020</v>
      </c>
      <c r="D7" s="306"/>
      <c r="E7" s="307">
        <f t="shared" ref="E7" si="0">G7-1</f>
        <v>2021</v>
      </c>
      <c r="F7" s="306"/>
      <c r="G7" s="307">
        <f t="shared" ref="G7" si="1">I7-1</f>
        <v>2022</v>
      </c>
      <c r="H7" s="306"/>
      <c r="I7" s="307">
        <f t="shared" ref="I7" si="2">K7-1</f>
        <v>2023</v>
      </c>
      <c r="J7" s="306"/>
      <c r="K7" s="307">
        <f>M7-1</f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",RIGHT(E7,2),"/",RIGHT(E7-1,2))</f>
        <v>var 21/20</v>
      </c>
      <c r="G8" s="117" t="s">
        <v>71</v>
      </c>
      <c r="H8" s="116" t="str">
        <f>CONCATENATE("var ",RIGHT(G7,2),"/",RIGHT(G7-1,2))</f>
        <v>var 22/21</v>
      </c>
      <c r="I8" s="117" t="s">
        <v>71</v>
      </c>
      <c r="J8" s="116" t="str">
        <f>CONCATENATE("var ",RIGHT(I7,2),"/",RIGHT(I7-1,2))</f>
        <v>var 23/22</v>
      </c>
      <c r="K8" s="117" t="s">
        <v>71</v>
      </c>
      <c r="L8" s="116" t="str">
        <f>CONCATENATE("var ",RIGHT(K7,2),"/",RIGHT(K7-1,2))</f>
        <v>var 24/23</v>
      </c>
      <c r="M8" s="117" t="s">
        <v>71</v>
      </c>
      <c r="N8" s="116" t="str">
        <f>CONCATENATE("var ",RIGHT(M7,2),"/",RIGHT(M7-1,2))</f>
        <v>var 25/24</v>
      </c>
    </row>
    <row r="9" spans="1:15" x14ac:dyDescent="0.25">
      <c r="A9" s="1" t="s">
        <v>72</v>
      </c>
      <c r="B9" s="118" t="s">
        <v>73</v>
      </c>
      <c r="C9" s="119">
        <v>5197</v>
      </c>
      <c r="D9" s="120">
        <v>0.10199321458863442</v>
      </c>
      <c r="E9" s="119">
        <v>1146</v>
      </c>
      <c r="F9" s="120">
        <f t="shared" ref="F9:L21" si="3">IFERROR(E9/C9-1,"-")</f>
        <v>-0.77948816624975947</v>
      </c>
      <c r="G9" s="119">
        <v>3527</v>
      </c>
      <c r="H9" s="120">
        <f t="shared" si="3"/>
        <v>2.0776614310645725</v>
      </c>
      <c r="I9" s="119">
        <v>5390</v>
      </c>
      <c r="J9" s="120">
        <f t="shared" si="3"/>
        <v>0.52821094414516589</v>
      </c>
      <c r="K9" s="119">
        <v>5217</v>
      </c>
      <c r="L9" s="120">
        <f t="shared" si="3"/>
        <v>-3.2096474953617782E-2</v>
      </c>
      <c r="M9" s="119">
        <v>5311</v>
      </c>
      <c r="N9" s="120">
        <f t="shared" ref="N9" si="4">IFERROR(M9/K9-1,"-")</f>
        <v>1.8018018018018056E-2</v>
      </c>
    </row>
    <row r="10" spans="1:15" x14ac:dyDescent="0.25">
      <c r="A10" s="1" t="s">
        <v>74</v>
      </c>
      <c r="B10" s="118" t="s">
        <v>75</v>
      </c>
      <c r="C10" s="119">
        <v>5359</v>
      </c>
      <c r="D10" s="120">
        <v>8.5916919959473148E-2</v>
      </c>
      <c r="E10" s="119">
        <v>1385</v>
      </c>
      <c r="F10" s="120">
        <f t="shared" si="3"/>
        <v>-0.74155626049636125</v>
      </c>
      <c r="G10" s="119">
        <v>4177</v>
      </c>
      <c r="H10" s="120">
        <f t="shared" si="3"/>
        <v>2.0158844765342958</v>
      </c>
      <c r="I10" s="119">
        <v>5270</v>
      </c>
      <c r="J10" s="120">
        <f t="shared" si="3"/>
        <v>0.2616710557816615</v>
      </c>
      <c r="K10" s="119">
        <v>4803</v>
      </c>
      <c r="L10" s="120">
        <f t="shared" si="3"/>
        <v>-8.861480075901329E-2</v>
      </c>
      <c r="M10" s="119">
        <v>4194</v>
      </c>
      <c r="N10" s="120">
        <f>IFERROR(M10/K10-1,"-")</f>
        <v>-0.12679575265459087</v>
      </c>
    </row>
    <row r="11" spans="1:15" x14ac:dyDescent="0.25">
      <c r="A11" s="1" t="s">
        <v>76</v>
      </c>
      <c r="B11" s="118" t="s">
        <v>77</v>
      </c>
      <c r="C11" s="119">
        <v>2198</v>
      </c>
      <c r="D11" s="120">
        <v>-0.57303807303807308</v>
      </c>
      <c r="E11" s="119">
        <v>2288</v>
      </c>
      <c r="F11" s="120">
        <f t="shared" si="3"/>
        <v>4.0946314831665109E-2</v>
      </c>
      <c r="G11" s="119">
        <v>4740</v>
      </c>
      <c r="H11" s="120">
        <f t="shared" si="3"/>
        <v>1.0716783216783217</v>
      </c>
      <c r="I11" s="119">
        <v>5659</v>
      </c>
      <c r="J11" s="120">
        <f t="shared" si="3"/>
        <v>0.19388185654008439</v>
      </c>
      <c r="K11" s="119">
        <v>5168</v>
      </c>
      <c r="L11" s="120">
        <f t="shared" si="3"/>
        <v>-8.6764446015197061E-2</v>
      </c>
      <c r="M11" s="119">
        <v>5342</v>
      </c>
      <c r="N11" s="120">
        <f>IFERROR(M11/K11-1,"-")</f>
        <v>3.3668730650154854E-2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1830</v>
      </c>
      <c r="F12" s="120" t="str">
        <f t="shared" si="3"/>
        <v>-</v>
      </c>
      <c r="G12" s="119">
        <v>4075</v>
      </c>
      <c r="H12" s="120">
        <f t="shared" si="3"/>
        <v>1.2267759562841531</v>
      </c>
      <c r="I12" s="119">
        <v>5170</v>
      </c>
      <c r="J12" s="120">
        <f t="shared" si="3"/>
        <v>0.26871165644171779</v>
      </c>
      <c r="K12" s="119">
        <v>5054</v>
      </c>
      <c r="L12" s="120">
        <f t="shared" si="3"/>
        <v>-2.2437137330754364E-2</v>
      </c>
      <c r="M12" s="119">
        <v>4308</v>
      </c>
      <c r="N12" s="120">
        <f>IFERROR(M12/K12-1,"-")</f>
        <v>-0.147605856747131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2659</v>
      </c>
      <c r="F13" s="120" t="str">
        <f t="shared" si="3"/>
        <v>-</v>
      </c>
      <c r="G13" s="119">
        <v>3632</v>
      </c>
      <c r="H13" s="120">
        <f t="shared" si="3"/>
        <v>0.365927040240692</v>
      </c>
      <c r="I13" s="119">
        <v>5013</v>
      </c>
      <c r="J13" s="120">
        <f t="shared" si="3"/>
        <v>0.38023127753303965</v>
      </c>
      <c r="K13" s="119">
        <v>4992</v>
      </c>
      <c r="L13" s="120">
        <f t="shared" si="3"/>
        <v>-4.1891083183722699E-3</v>
      </c>
      <c r="M13" s="119">
        <v>4998</v>
      </c>
      <c r="N13" s="120">
        <f>IFERROR(M13/K13-1,"-")</f>
        <v>1.2019230769231282E-3</v>
      </c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2494</v>
      </c>
      <c r="F14" s="120" t="str">
        <f t="shared" si="3"/>
        <v>-</v>
      </c>
      <c r="G14" s="119">
        <v>4520</v>
      </c>
      <c r="H14" s="120">
        <f t="shared" si="3"/>
        <v>0.81234963913392133</v>
      </c>
      <c r="I14" s="119">
        <v>4181</v>
      </c>
      <c r="J14" s="120">
        <f t="shared" si="3"/>
        <v>-7.4999999999999956E-2</v>
      </c>
      <c r="K14" s="119">
        <v>3964</v>
      </c>
      <c r="L14" s="120">
        <f t="shared" si="3"/>
        <v>-5.1901458981104986E-2</v>
      </c>
      <c r="M14" s="119">
        <v>4119</v>
      </c>
      <c r="N14" s="120">
        <f>IFERROR(M14/K14-1,"-")</f>
        <v>3.9101917255297769E-2</v>
      </c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2428</v>
      </c>
      <c r="F15" s="120" t="str">
        <f t="shared" si="3"/>
        <v>-</v>
      </c>
      <c r="G15" s="119">
        <v>4275</v>
      </c>
      <c r="H15" s="120">
        <f t="shared" si="3"/>
        <v>0.76070840197693568</v>
      </c>
      <c r="I15" s="119">
        <v>4340</v>
      </c>
      <c r="J15" s="120">
        <f t="shared" si="3"/>
        <v>1.5204678362572999E-2</v>
      </c>
      <c r="K15" s="119">
        <v>4593</v>
      </c>
      <c r="L15" s="120">
        <f t="shared" si="3"/>
        <v>5.8294930875576023E-2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2777</v>
      </c>
      <c r="D16" s="120">
        <v>-0.34241060857210515</v>
      </c>
      <c r="E16" s="119">
        <v>2929</v>
      </c>
      <c r="F16" s="120">
        <f t="shared" si="3"/>
        <v>5.473532589124952E-2</v>
      </c>
      <c r="G16" s="119">
        <v>3932</v>
      </c>
      <c r="H16" s="120">
        <f t="shared" si="3"/>
        <v>0.34243769204506647</v>
      </c>
      <c r="I16" s="119">
        <v>4645</v>
      </c>
      <c r="J16" s="120">
        <f t="shared" si="3"/>
        <v>0.18133265513733465</v>
      </c>
      <c r="K16" s="119">
        <v>2899</v>
      </c>
      <c r="L16" s="120">
        <f t="shared" si="3"/>
        <v>-0.37588805166846073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1764</v>
      </c>
      <c r="D17" s="120">
        <v>-0.54002607561929594</v>
      </c>
      <c r="E17" s="119">
        <v>3914</v>
      </c>
      <c r="F17" s="120">
        <f t="shared" si="3"/>
        <v>1.2188208616780045</v>
      </c>
      <c r="G17" s="119">
        <v>4578</v>
      </c>
      <c r="H17" s="120">
        <f t="shared" si="3"/>
        <v>0.16964741951967288</v>
      </c>
      <c r="I17" s="119">
        <v>4521</v>
      </c>
      <c r="J17" s="120">
        <f t="shared" si="3"/>
        <v>-1.2450851900393189E-2</v>
      </c>
      <c r="K17" s="119">
        <v>5087</v>
      </c>
      <c r="L17" s="120">
        <f t="shared" si="3"/>
        <v>0.12519354125193538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1764</v>
      </c>
      <c r="D18" s="120">
        <v>-0.62283515073765239</v>
      </c>
      <c r="E18" s="119">
        <v>3380</v>
      </c>
      <c r="F18" s="120">
        <f t="shared" si="3"/>
        <v>0.91609977324263037</v>
      </c>
      <c r="G18" s="119">
        <v>4025</v>
      </c>
      <c r="H18" s="120">
        <f t="shared" si="3"/>
        <v>0.19082840236686383</v>
      </c>
      <c r="I18" s="119">
        <v>4419</v>
      </c>
      <c r="J18" s="120">
        <f t="shared" si="3"/>
        <v>9.7888198757764E-2</v>
      </c>
      <c r="K18" s="119">
        <v>4919</v>
      </c>
      <c r="L18" s="120">
        <f t="shared" si="3"/>
        <v>0.11314777098891149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1763</v>
      </c>
      <c r="D19" s="120">
        <v>-0.70714285714285707</v>
      </c>
      <c r="E19" s="119">
        <v>4448</v>
      </c>
      <c r="F19" s="120">
        <f t="shared" si="3"/>
        <v>1.5229722064662505</v>
      </c>
      <c r="G19" s="119">
        <v>4838</v>
      </c>
      <c r="H19" s="120">
        <f t="shared" si="3"/>
        <v>8.7679856115107979E-2</v>
      </c>
      <c r="I19" s="119">
        <v>4964</v>
      </c>
      <c r="J19" s="120">
        <f t="shared" si="3"/>
        <v>2.6043819760231512E-2</v>
      </c>
      <c r="K19" s="119">
        <v>5464</v>
      </c>
      <c r="L19" s="120">
        <f t="shared" si="3"/>
        <v>0.10072522159548747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1794</v>
      </c>
      <c r="D20" s="120">
        <v>-0.6889197156233744</v>
      </c>
      <c r="E20" s="119">
        <v>4543</v>
      </c>
      <c r="F20" s="120">
        <f t="shared" si="3"/>
        <v>1.5323299888517279</v>
      </c>
      <c r="G20" s="119">
        <v>5166</v>
      </c>
      <c r="H20" s="120">
        <f t="shared" si="3"/>
        <v>0.13713405238828957</v>
      </c>
      <c r="I20" s="119">
        <v>4585</v>
      </c>
      <c r="J20" s="120">
        <f t="shared" si="3"/>
        <v>-0.11246612466124661</v>
      </c>
      <c r="K20" s="119">
        <v>5228</v>
      </c>
      <c r="L20" s="120">
        <f t="shared" si="3"/>
        <v>0.14023991275899683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24221</v>
      </c>
      <c r="D21" s="123">
        <v>-0.56660761894537193</v>
      </c>
      <c r="E21" s="122">
        <v>33444</v>
      </c>
      <c r="F21" s="123">
        <f t="shared" si="3"/>
        <v>0.38078526898146237</v>
      </c>
      <c r="G21" s="122">
        <v>51485</v>
      </c>
      <c r="H21" s="123">
        <f t="shared" si="3"/>
        <v>0.53943906231312044</v>
      </c>
      <c r="I21" s="122">
        <v>58157</v>
      </c>
      <c r="J21" s="123">
        <f t="shared" si="3"/>
        <v>0.12959114305137409</v>
      </c>
      <c r="K21" s="122">
        <v>57388</v>
      </c>
      <c r="L21" s="123">
        <f t="shared" si="3"/>
        <v>-1.3222827862510056E-2</v>
      </c>
      <c r="M21" s="122">
        <v>28272</v>
      </c>
      <c r="N21" s="123">
        <v>-3.1714500993218708E-2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19"/>
      <c r="N23" s="107"/>
    </row>
    <row r="24" spans="1:15" x14ac:dyDescent="0.25">
      <c r="K24" s="124"/>
      <c r="N24" s="81"/>
    </row>
    <row r="26" spans="1:15" ht="48.75" customHeight="1" thickBot="1" x14ac:dyDescent="0.3">
      <c r="B26" s="278" t="s">
        <v>250</v>
      </c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3" t="s">
        <v>139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5" ht="22.5" thickTop="1" thickBot="1" x14ac:dyDescent="0.3">
      <c r="B29" s="111"/>
      <c r="C29" s="305">
        <f>$C$7</f>
        <v>2020</v>
      </c>
      <c r="D29" s="306"/>
      <c r="E29" s="307">
        <f>$C$7</f>
        <v>2020</v>
      </c>
      <c r="F29" s="306"/>
      <c r="G29" s="307">
        <v>2022</v>
      </c>
      <c r="H29" s="306"/>
      <c r="I29" s="307">
        <v>2023</v>
      </c>
      <c r="J29" s="306"/>
      <c r="K29" s="307">
        <v>2024</v>
      </c>
      <c r="L29" s="306"/>
      <c r="M29" s="307">
        <v>2025</v>
      </c>
      <c r="N29" s="308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",RIGHT(E29,2),"/",RIGHT(E29-1,2))</f>
        <v>var 20/19</v>
      </c>
      <c r="G30" s="117" t="s">
        <v>71</v>
      </c>
      <c r="H30" s="116" t="str">
        <f>CONCATENATE("var ",RIGHT(G29,2),"/",RIGHT(G29-1,2))</f>
        <v>var 22/21</v>
      </c>
      <c r="I30" s="117" t="s">
        <v>71</v>
      </c>
      <c r="J30" s="116" t="str">
        <f>CONCATENATE("var ",RIGHT(I29,2),"/",RIGHT(I29-1,2))</f>
        <v>var 23/22</v>
      </c>
      <c r="K30" s="117" t="s">
        <v>71</v>
      </c>
      <c r="L30" s="116" t="str">
        <f>CONCATENATE("var ",RIGHT(K29,2),"/",RIGHT(K29-1,2))</f>
        <v>var 24/23</v>
      </c>
      <c r="M30" s="117" t="s">
        <v>71</v>
      </c>
      <c r="N30" s="116" t="str">
        <f>CONCATENATE("var ",RIGHT(M29,2),"/",RIGHT(M29-1,2))</f>
        <v>var 25/24</v>
      </c>
    </row>
    <row r="31" spans="1:15" x14ac:dyDescent="0.25">
      <c r="B31" s="118" t="s">
        <v>73</v>
      </c>
      <c r="C31" s="119">
        <v>5197</v>
      </c>
      <c r="D31" s="120">
        <v>0.10199321458863442</v>
      </c>
      <c r="E31" s="119">
        <v>5197</v>
      </c>
      <c r="F31" s="120">
        <f t="shared" ref="F31:L43" si="5">IFERROR(E31/C31-1,"-")</f>
        <v>0</v>
      </c>
      <c r="G31" s="119">
        <v>3527</v>
      </c>
      <c r="H31" s="120">
        <f t="shared" si="5"/>
        <v>-0.32133923417356169</v>
      </c>
      <c r="I31" s="119">
        <v>5390</v>
      </c>
      <c r="J31" s="120">
        <f t="shared" si="5"/>
        <v>0.52821094414516589</v>
      </c>
      <c r="K31" s="119">
        <v>5217</v>
      </c>
      <c r="L31" s="120">
        <f t="shared" si="5"/>
        <v>-3.2096474953617782E-2</v>
      </c>
      <c r="M31" s="119">
        <v>5311</v>
      </c>
      <c r="N31" s="120">
        <f t="shared" ref="N31:N36" si="6">IFERROR(M31/K31-1,"-")</f>
        <v>1.8018018018018056E-2</v>
      </c>
    </row>
    <row r="32" spans="1:15" x14ac:dyDescent="0.25">
      <c r="B32" s="118" t="s">
        <v>75</v>
      </c>
      <c r="C32" s="119">
        <v>5359</v>
      </c>
      <c r="D32" s="120">
        <v>8.5916919959473148E-2</v>
      </c>
      <c r="E32" s="119">
        <v>5359</v>
      </c>
      <c r="F32" s="120">
        <f t="shared" si="5"/>
        <v>0</v>
      </c>
      <c r="G32" s="119">
        <v>4177</v>
      </c>
      <c r="H32" s="120">
        <f t="shared" si="5"/>
        <v>-0.22056353797350248</v>
      </c>
      <c r="I32" s="119">
        <v>5270</v>
      </c>
      <c r="J32" s="120">
        <f t="shared" si="5"/>
        <v>0.2616710557816615</v>
      </c>
      <c r="K32" s="119">
        <v>4803</v>
      </c>
      <c r="L32" s="120">
        <f t="shared" si="5"/>
        <v>-8.861480075901329E-2</v>
      </c>
      <c r="M32" s="119">
        <v>4194</v>
      </c>
      <c r="N32" s="120">
        <f t="shared" si="6"/>
        <v>-0.12679575265459087</v>
      </c>
    </row>
    <row r="33" spans="2:15" x14ac:dyDescent="0.25">
      <c r="B33" s="118" t="s">
        <v>77</v>
      </c>
      <c r="C33" s="119">
        <v>2198</v>
      </c>
      <c r="D33" s="120">
        <v>-0.57303807303807308</v>
      </c>
      <c r="E33" s="119">
        <v>2198</v>
      </c>
      <c r="F33" s="120">
        <f t="shared" si="5"/>
        <v>0</v>
      </c>
      <c r="G33" s="119">
        <v>4740</v>
      </c>
      <c r="H33" s="120">
        <f t="shared" si="5"/>
        <v>1.1565059144676981</v>
      </c>
      <c r="I33" s="119">
        <v>5659</v>
      </c>
      <c r="J33" s="120">
        <f t="shared" si="5"/>
        <v>0.19388185654008439</v>
      </c>
      <c r="K33" s="119">
        <v>5168</v>
      </c>
      <c r="L33" s="120">
        <f t="shared" si="5"/>
        <v>-8.6764446015197061E-2</v>
      </c>
      <c r="M33" s="119">
        <v>5342</v>
      </c>
      <c r="N33" s="120">
        <f t="shared" si="6"/>
        <v>3.3668730650154854E-2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0</v>
      </c>
      <c r="F34" s="120" t="str">
        <f t="shared" si="5"/>
        <v>-</v>
      </c>
      <c r="G34" s="119">
        <v>4075</v>
      </c>
      <c r="H34" s="120" t="str">
        <f t="shared" si="5"/>
        <v>-</v>
      </c>
      <c r="I34" s="119">
        <v>5170</v>
      </c>
      <c r="J34" s="120">
        <f t="shared" si="5"/>
        <v>0.26871165644171779</v>
      </c>
      <c r="K34" s="119">
        <v>5054</v>
      </c>
      <c r="L34" s="120">
        <f t="shared" si="5"/>
        <v>-2.2437137330754364E-2</v>
      </c>
      <c r="M34" s="119">
        <v>4308</v>
      </c>
      <c r="N34" s="120">
        <f t="shared" si="6"/>
        <v>-0.147605856747131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0</v>
      </c>
      <c r="F35" s="120" t="str">
        <f t="shared" si="5"/>
        <v>-</v>
      </c>
      <c r="G35" s="119">
        <v>3632</v>
      </c>
      <c r="H35" s="120" t="str">
        <f t="shared" si="5"/>
        <v>-</v>
      </c>
      <c r="I35" s="119">
        <v>5013</v>
      </c>
      <c r="J35" s="120">
        <f t="shared" si="5"/>
        <v>0.38023127753303965</v>
      </c>
      <c r="K35" s="119">
        <v>4992</v>
      </c>
      <c r="L35" s="120">
        <f t="shared" si="5"/>
        <v>-4.1891083183722699E-3</v>
      </c>
      <c r="M35" s="119">
        <v>4998</v>
      </c>
      <c r="N35" s="120">
        <f t="shared" si="6"/>
        <v>1.2019230769231282E-3</v>
      </c>
    </row>
    <row r="36" spans="2:15" x14ac:dyDescent="0.25">
      <c r="B36" s="118" t="s">
        <v>83</v>
      </c>
      <c r="C36" s="119">
        <v>0</v>
      </c>
      <c r="D36" s="120">
        <v>-1</v>
      </c>
      <c r="E36" s="119">
        <v>0</v>
      </c>
      <c r="F36" s="120" t="str">
        <f t="shared" si="5"/>
        <v>-</v>
      </c>
      <c r="G36" s="119">
        <v>4520</v>
      </c>
      <c r="H36" s="120" t="str">
        <f t="shared" si="5"/>
        <v>-</v>
      </c>
      <c r="I36" s="119">
        <v>4181</v>
      </c>
      <c r="J36" s="120">
        <f t="shared" si="5"/>
        <v>-7.4999999999999956E-2</v>
      </c>
      <c r="K36" s="119">
        <v>3964</v>
      </c>
      <c r="L36" s="120">
        <f t="shared" si="5"/>
        <v>-5.1901458981104986E-2</v>
      </c>
      <c r="M36" s="119">
        <v>4119</v>
      </c>
      <c r="N36" s="120">
        <f t="shared" si="6"/>
        <v>3.9101917255297769E-2</v>
      </c>
    </row>
    <row r="37" spans="2:15" x14ac:dyDescent="0.25">
      <c r="B37" s="118" t="s">
        <v>85</v>
      </c>
      <c r="C37" s="119">
        <v>0</v>
      </c>
      <c r="D37" s="120">
        <v>-1</v>
      </c>
      <c r="E37" s="119">
        <v>0</v>
      </c>
      <c r="F37" s="120" t="str">
        <f t="shared" si="5"/>
        <v>-</v>
      </c>
      <c r="G37" s="119">
        <v>4275</v>
      </c>
      <c r="H37" s="120" t="str">
        <f t="shared" si="5"/>
        <v>-</v>
      </c>
      <c r="I37" s="119">
        <v>4340</v>
      </c>
      <c r="J37" s="120">
        <f t="shared" si="5"/>
        <v>1.5204678362572999E-2</v>
      </c>
      <c r="K37" s="119">
        <v>4593</v>
      </c>
      <c r="L37" s="120">
        <f t="shared" si="5"/>
        <v>5.8294930875576023E-2</v>
      </c>
      <c r="M37" s="119"/>
      <c r="N37" s="120"/>
    </row>
    <row r="38" spans="2:15" x14ac:dyDescent="0.25">
      <c r="B38" s="118" t="s">
        <v>87</v>
      </c>
      <c r="C38" s="119">
        <v>2777</v>
      </c>
      <c r="D38" s="120">
        <v>-0.34241060857210515</v>
      </c>
      <c r="E38" s="119">
        <v>2777</v>
      </c>
      <c r="F38" s="120">
        <f t="shared" si="5"/>
        <v>0</v>
      </c>
      <c r="G38" s="119">
        <v>3932</v>
      </c>
      <c r="H38" s="120">
        <f t="shared" si="5"/>
        <v>0.41591645660785015</v>
      </c>
      <c r="I38" s="119">
        <v>4645</v>
      </c>
      <c r="J38" s="120">
        <f t="shared" si="5"/>
        <v>0.18133265513733465</v>
      </c>
      <c r="K38" s="119">
        <v>2899</v>
      </c>
      <c r="L38" s="120">
        <f t="shared" si="5"/>
        <v>-0.37588805166846073</v>
      </c>
      <c r="M38" s="119"/>
      <c r="N38" s="120"/>
    </row>
    <row r="39" spans="2:15" x14ac:dyDescent="0.25">
      <c r="B39" s="118" t="s">
        <v>89</v>
      </c>
      <c r="C39" s="119">
        <v>1764</v>
      </c>
      <c r="D39" s="120">
        <v>-0.54002607561929594</v>
      </c>
      <c r="E39" s="119">
        <v>1764</v>
      </c>
      <c r="F39" s="120">
        <f t="shared" si="5"/>
        <v>0</v>
      </c>
      <c r="G39" s="119">
        <v>4578</v>
      </c>
      <c r="H39" s="120">
        <f t="shared" si="5"/>
        <v>1.5952380952380953</v>
      </c>
      <c r="I39" s="119">
        <v>4521</v>
      </c>
      <c r="J39" s="120">
        <f t="shared" si="5"/>
        <v>-1.2450851900393189E-2</v>
      </c>
      <c r="K39" s="119">
        <v>5087</v>
      </c>
      <c r="L39" s="120">
        <f t="shared" si="5"/>
        <v>0.12519354125193538</v>
      </c>
      <c r="M39" s="119"/>
      <c r="N39" s="120"/>
    </row>
    <row r="40" spans="2:15" x14ac:dyDescent="0.25">
      <c r="B40" s="118" t="s">
        <v>91</v>
      </c>
      <c r="C40" s="119">
        <v>1764</v>
      </c>
      <c r="D40" s="120">
        <v>-0.62283515073765239</v>
      </c>
      <c r="E40" s="119">
        <v>1764</v>
      </c>
      <c r="F40" s="120">
        <f t="shared" si="5"/>
        <v>0</v>
      </c>
      <c r="G40" s="119">
        <v>4025</v>
      </c>
      <c r="H40" s="120">
        <f t="shared" si="5"/>
        <v>1.2817460317460316</v>
      </c>
      <c r="I40" s="119">
        <v>4419</v>
      </c>
      <c r="J40" s="120">
        <f t="shared" si="5"/>
        <v>9.7888198757764E-2</v>
      </c>
      <c r="K40" s="119">
        <v>4919</v>
      </c>
      <c r="L40" s="120">
        <f t="shared" si="5"/>
        <v>0.11314777098891149</v>
      </c>
      <c r="M40" s="119"/>
      <c r="N40" s="120"/>
    </row>
    <row r="41" spans="2:15" x14ac:dyDescent="0.25">
      <c r="B41" s="118" t="s">
        <v>93</v>
      </c>
      <c r="C41" s="119">
        <v>1763</v>
      </c>
      <c r="D41" s="120">
        <v>-0.70714285714285707</v>
      </c>
      <c r="E41" s="119">
        <v>1763</v>
      </c>
      <c r="F41" s="120">
        <f t="shared" si="5"/>
        <v>0</v>
      </c>
      <c r="G41" s="119">
        <v>4838</v>
      </c>
      <c r="H41" s="120">
        <f t="shared" si="5"/>
        <v>1.7441860465116279</v>
      </c>
      <c r="I41" s="119">
        <v>4964</v>
      </c>
      <c r="J41" s="120">
        <f t="shared" si="5"/>
        <v>2.6043819760231512E-2</v>
      </c>
      <c r="K41" s="119">
        <v>5464</v>
      </c>
      <c r="L41" s="120">
        <f t="shared" si="5"/>
        <v>0.10072522159548747</v>
      </c>
      <c r="M41" s="119"/>
      <c r="N41" s="120"/>
    </row>
    <row r="42" spans="2:15" x14ac:dyDescent="0.25">
      <c r="B42" s="118" t="s">
        <v>95</v>
      </c>
      <c r="C42" s="119">
        <v>1794</v>
      </c>
      <c r="D42" s="120">
        <v>-0.6889197156233744</v>
      </c>
      <c r="E42" s="119">
        <v>1794</v>
      </c>
      <c r="F42" s="120">
        <f t="shared" si="5"/>
        <v>0</v>
      </c>
      <c r="G42" s="119">
        <v>5166</v>
      </c>
      <c r="H42" s="120">
        <f t="shared" si="5"/>
        <v>1.8795986622073579</v>
      </c>
      <c r="I42" s="119">
        <v>4585</v>
      </c>
      <c r="J42" s="120">
        <f t="shared" si="5"/>
        <v>-0.11246612466124661</v>
      </c>
      <c r="K42" s="119">
        <v>5228</v>
      </c>
      <c r="L42" s="120">
        <f t="shared" si="5"/>
        <v>0.14023991275899683</v>
      </c>
      <c r="M42" s="119"/>
      <c r="N42" s="120"/>
    </row>
    <row r="43" spans="2:15" ht="15.75" x14ac:dyDescent="0.25">
      <c r="B43" s="121" t="s">
        <v>32</v>
      </c>
      <c r="C43" s="122">
        <v>24221</v>
      </c>
      <c r="D43" s="123">
        <v>-0.56660761894537193</v>
      </c>
      <c r="E43" s="122">
        <v>24221</v>
      </c>
      <c r="F43" s="123">
        <f t="shared" si="5"/>
        <v>0</v>
      </c>
      <c r="G43" s="122">
        <v>51485</v>
      </c>
      <c r="H43" s="123">
        <f t="shared" si="5"/>
        <v>1.1256347797365924</v>
      </c>
      <c r="I43" s="122">
        <v>58157</v>
      </c>
      <c r="J43" s="123">
        <f t="shared" si="5"/>
        <v>0.12959114305137409</v>
      </c>
      <c r="K43" s="122">
        <v>57388</v>
      </c>
      <c r="L43" s="123">
        <f t="shared" si="5"/>
        <v>-1.3222827862510056E-2</v>
      </c>
      <c r="M43" s="122">
        <v>28272</v>
      </c>
      <c r="N43" s="123">
        <v>-3.1714500993218708E-2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K46" s="81"/>
    </row>
    <row r="48" spans="2:15" ht="48.75" customHeight="1" thickBot="1" x14ac:dyDescent="0.3">
      <c r="B48" s="278" t="s">
        <v>251</v>
      </c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3" t="s">
        <v>63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1:15" ht="22.5" thickTop="1" thickBot="1" x14ac:dyDescent="0.3">
      <c r="B51" s="111"/>
      <c r="C51" s="305">
        <f>$C$7</f>
        <v>2020</v>
      </c>
      <c r="D51" s="306"/>
      <c r="E51" s="307">
        <f>$C$7</f>
        <v>2020</v>
      </c>
      <c r="F51" s="306"/>
      <c r="G51" s="307">
        <v>2022</v>
      </c>
      <c r="H51" s="306"/>
      <c r="I51" s="307">
        <v>2023</v>
      </c>
      <c r="J51" s="306"/>
      <c r="K51" s="307">
        <v>2024</v>
      </c>
      <c r="L51" s="306"/>
      <c r="M51" s="307">
        <v>2025</v>
      </c>
      <c r="N51" s="308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",RIGHT(E51,2),"/",RIGHT(E51-1,2))</f>
        <v>var 20/19</v>
      </c>
      <c r="G52" s="117" t="s">
        <v>71</v>
      </c>
      <c r="H52" s="116" t="str">
        <f>CONCATENATE("var ",RIGHT(G51,2),"/",RIGHT(G51-1,2))</f>
        <v>var 22/21</v>
      </c>
      <c r="I52" s="117" t="s">
        <v>71</v>
      </c>
      <c r="J52" s="116" t="str">
        <f>CONCATENATE("var ",RIGHT(I51,2),"/",RIGHT(I51-1,2))</f>
        <v>var 23/22</v>
      </c>
      <c r="K52" s="117" t="s">
        <v>71</v>
      </c>
      <c r="L52" s="116" t="str">
        <f>CONCATENATE("var ",RIGHT(K51,2),"/",RIGHT(K51-1,2))</f>
        <v>var 24/23</v>
      </c>
      <c r="M52" s="117" t="s">
        <v>71</v>
      </c>
      <c r="N52" s="116" t="str">
        <f>CONCATENATE("var ",RIGHT(M51,2),"/",RIGHT(M51-1,2))</f>
        <v>var 25/24</v>
      </c>
    </row>
    <row r="53" spans="1:15" x14ac:dyDescent="0.25">
      <c r="A53" s="1">
        <v>1</v>
      </c>
      <c r="B53" s="118" t="s">
        <v>73</v>
      </c>
      <c r="C53" s="119">
        <v>3703</v>
      </c>
      <c r="D53" s="120">
        <v>1.0368349249658904E-2</v>
      </c>
      <c r="E53" s="119">
        <v>3703</v>
      </c>
      <c r="F53" s="120">
        <f t="shared" ref="F53:L65" si="7">IFERROR(E53/C53-1,"-")</f>
        <v>0</v>
      </c>
      <c r="G53" s="119">
        <v>0</v>
      </c>
      <c r="H53" s="120">
        <f t="shared" si="7"/>
        <v>-1</v>
      </c>
      <c r="I53" s="119">
        <v>4641</v>
      </c>
      <c r="J53" s="120" t="str">
        <f t="shared" si="7"/>
        <v>-</v>
      </c>
      <c r="K53" s="119">
        <v>4486</v>
      </c>
      <c r="L53" s="120">
        <f t="shared" si="7"/>
        <v>-3.3397974574445155E-2</v>
      </c>
      <c r="M53" s="119">
        <v>4485</v>
      </c>
      <c r="N53" s="120">
        <f t="shared" ref="N53:N58" si="8">IFERROR(M53/K53-1,"-")</f>
        <v>-2.2291573785104823E-4</v>
      </c>
    </row>
    <row r="54" spans="1:15" x14ac:dyDescent="0.25">
      <c r="A54" s="1">
        <v>2</v>
      </c>
      <c r="B54" s="118" t="s">
        <v>75</v>
      </c>
      <c r="C54" s="119">
        <v>3601</v>
      </c>
      <c r="D54" s="120">
        <v>-5.4607508532423243E-2</v>
      </c>
      <c r="E54" s="119">
        <v>3601</v>
      </c>
      <c r="F54" s="120">
        <f t="shared" si="7"/>
        <v>0</v>
      </c>
      <c r="G54" s="119">
        <v>0</v>
      </c>
      <c r="H54" s="120">
        <f t="shared" si="7"/>
        <v>-1</v>
      </c>
      <c r="I54" s="119">
        <v>4493</v>
      </c>
      <c r="J54" s="120" t="str">
        <f t="shared" si="7"/>
        <v>-</v>
      </c>
      <c r="K54" s="119">
        <v>4023</v>
      </c>
      <c r="L54" s="120">
        <f t="shared" si="7"/>
        <v>-0.10460716670376136</v>
      </c>
      <c r="M54" s="119">
        <v>3377</v>
      </c>
      <c r="N54" s="120">
        <f t="shared" si="8"/>
        <v>-0.16057668406661696</v>
      </c>
    </row>
    <row r="55" spans="1:15" x14ac:dyDescent="0.25">
      <c r="A55" s="1">
        <v>3</v>
      </c>
      <c r="B55" s="118" t="s">
        <v>77</v>
      </c>
      <c r="C55" s="119">
        <v>1389</v>
      </c>
      <c r="D55" s="120">
        <v>-0.62821199143468953</v>
      </c>
      <c r="E55" s="119">
        <v>1389</v>
      </c>
      <c r="F55" s="120">
        <f t="shared" si="7"/>
        <v>0</v>
      </c>
      <c r="G55" s="119">
        <v>0</v>
      </c>
      <c r="H55" s="120">
        <f t="shared" si="7"/>
        <v>-1</v>
      </c>
      <c r="I55" s="119">
        <v>4830</v>
      </c>
      <c r="J55" s="120" t="str">
        <f t="shared" si="7"/>
        <v>-</v>
      </c>
      <c r="K55" s="119">
        <v>4388</v>
      </c>
      <c r="L55" s="120">
        <f t="shared" si="7"/>
        <v>-9.1511387163561109E-2</v>
      </c>
      <c r="M55" s="119">
        <v>4503</v>
      </c>
      <c r="N55" s="120">
        <f t="shared" si="8"/>
        <v>2.6207839562442992E-2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0</v>
      </c>
      <c r="F56" s="120" t="str">
        <f t="shared" si="7"/>
        <v>-</v>
      </c>
      <c r="G56" s="119">
        <v>3637</v>
      </c>
      <c r="H56" s="120" t="str">
        <f t="shared" si="7"/>
        <v>-</v>
      </c>
      <c r="I56" s="119">
        <v>4467</v>
      </c>
      <c r="J56" s="120">
        <f t="shared" si="7"/>
        <v>0.22821006323893323</v>
      </c>
      <c r="K56" s="119">
        <v>4407</v>
      </c>
      <c r="L56" s="120">
        <f t="shared" si="7"/>
        <v>-1.3431833445265329E-2</v>
      </c>
      <c r="M56" s="119">
        <v>3648</v>
      </c>
      <c r="N56" s="120">
        <f t="shared" si="8"/>
        <v>-0.17222600408441113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0</v>
      </c>
      <c r="F57" s="120" t="str">
        <f t="shared" si="7"/>
        <v>-</v>
      </c>
      <c r="G57" s="119">
        <v>3101</v>
      </c>
      <c r="H57" s="120" t="str">
        <f t="shared" si="7"/>
        <v>-</v>
      </c>
      <c r="I57" s="119">
        <v>4524</v>
      </c>
      <c r="J57" s="120">
        <f t="shared" si="7"/>
        <v>0.45888423089326014</v>
      </c>
      <c r="K57" s="119">
        <v>4496</v>
      </c>
      <c r="L57" s="120">
        <f t="shared" si="7"/>
        <v>-6.1892130857648109E-3</v>
      </c>
      <c r="M57" s="119">
        <v>4275</v>
      </c>
      <c r="N57" s="120">
        <f t="shared" si="8"/>
        <v>-4.9154804270462593E-2</v>
      </c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0</v>
      </c>
      <c r="F58" s="120" t="str">
        <f t="shared" si="7"/>
        <v>-</v>
      </c>
      <c r="G58" s="119">
        <v>4107</v>
      </c>
      <c r="H58" s="120" t="str">
        <f t="shared" si="7"/>
        <v>-</v>
      </c>
      <c r="I58" s="119">
        <v>3719</v>
      </c>
      <c r="J58" s="120">
        <f t="shared" si="7"/>
        <v>-9.4472851229608024E-2</v>
      </c>
      <c r="K58" s="119">
        <v>3480</v>
      </c>
      <c r="L58" s="120">
        <f t="shared" si="7"/>
        <v>-6.426458725463835E-2</v>
      </c>
      <c r="M58" s="119">
        <v>3490</v>
      </c>
      <c r="N58" s="120">
        <f t="shared" si="8"/>
        <v>2.8735632183907178E-3</v>
      </c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0</v>
      </c>
      <c r="F59" s="120" t="str">
        <f t="shared" si="7"/>
        <v>-</v>
      </c>
      <c r="G59" s="119">
        <v>3890</v>
      </c>
      <c r="H59" s="120" t="str">
        <f t="shared" si="7"/>
        <v>-</v>
      </c>
      <c r="I59" s="119">
        <v>0</v>
      </c>
      <c r="J59" s="120">
        <f t="shared" si="7"/>
        <v>-1</v>
      </c>
      <c r="K59" s="119">
        <v>3932</v>
      </c>
      <c r="L59" s="120" t="str">
        <f t="shared" si="7"/>
        <v>-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0</v>
      </c>
      <c r="D60" s="120">
        <v>-1</v>
      </c>
      <c r="E60" s="119">
        <v>0</v>
      </c>
      <c r="F60" s="120" t="str">
        <f t="shared" si="7"/>
        <v>-</v>
      </c>
      <c r="G60" s="119">
        <v>3368</v>
      </c>
      <c r="H60" s="120" t="str">
        <f t="shared" si="7"/>
        <v>-</v>
      </c>
      <c r="I60" s="119">
        <v>0</v>
      </c>
      <c r="J60" s="120">
        <f t="shared" si="7"/>
        <v>-1</v>
      </c>
      <c r="K60" s="119">
        <v>2669</v>
      </c>
      <c r="L60" s="120" t="str">
        <f t="shared" si="7"/>
        <v>-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0</v>
      </c>
      <c r="D61" s="120">
        <v>-1</v>
      </c>
      <c r="E61" s="119">
        <v>0</v>
      </c>
      <c r="F61" s="120" t="str">
        <f t="shared" si="7"/>
        <v>-</v>
      </c>
      <c r="G61" s="119">
        <v>4017</v>
      </c>
      <c r="H61" s="120" t="str">
        <f t="shared" si="7"/>
        <v>-</v>
      </c>
      <c r="I61" s="119">
        <v>4039</v>
      </c>
      <c r="J61" s="120">
        <f t="shared" si="7"/>
        <v>5.4767239233257659E-3</v>
      </c>
      <c r="K61" s="119">
        <v>4491</v>
      </c>
      <c r="L61" s="120">
        <f t="shared" si="7"/>
        <v>0.11190888833869761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0</v>
      </c>
      <c r="D62" s="120">
        <v>-1</v>
      </c>
      <c r="E62" s="119">
        <v>0</v>
      </c>
      <c r="F62" s="120" t="str">
        <f t="shared" si="7"/>
        <v>-</v>
      </c>
      <c r="G62" s="119">
        <v>3524</v>
      </c>
      <c r="H62" s="120" t="str">
        <f t="shared" si="7"/>
        <v>-</v>
      </c>
      <c r="I62" s="119">
        <v>3716</v>
      </c>
      <c r="J62" s="120">
        <f t="shared" si="7"/>
        <v>5.4483541430192961E-2</v>
      </c>
      <c r="K62" s="119">
        <v>4146</v>
      </c>
      <c r="L62" s="120">
        <f t="shared" si="7"/>
        <v>0.11571582346609266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0</v>
      </c>
      <c r="D63" s="120">
        <v>-1</v>
      </c>
      <c r="E63" s="119">
        <v>0</v>
      </c>
      <c r="F63" s="120" t="str">
        <f t="shared" si="7"/>
        <v>-</v>
      </c>
      <c r="G63" s="119">
        <v>4148</v>
      </c>
      <c r="H63" s="120" t="str">
        <f t="shared" si="7"/>
        <v>-</v>
      </c>
      <c r="I63" s="119">
        <v>4138</v>
      </c>
      <c r="J63" s="120">
        <f t="shared" si="7"/>
        <v>-2.4108003857280513E-3</v>
      </c>
      <c r="K63" s="119">
        <v>4532</v>
      </c>
      <c r="L63" s="120">
        <f t="shared" si="7"/>
        <v>9.5215079748670828E-2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0</v>
      </c>
      <c r="D64" s="120">
        <v>-1</v>
      </c>
      <c r="E64" s="119">
        <v>0</v>
      </c>
      <c r="F64" s="120" t="str">
        <f t="shared" si="7"/>
        <v>-</v>
      </c>
      <c r="G64" s="119">
        <v>4483</v>
      </c>
      <c r="H64" s="120" t="str">
        <f t="shared" si="7"/>
        <v>-</v>
      </c>
      <c r="I64" s="119">
        <v>3751</v>
      </c>
      <c r="J64" s="120">
        <f t="shared" si="7"/>
        <v>-0.16328351550301134</v>
      </c>
      <c r="K64" s="119">
        <v>4415</v>
      </c>
      <c r="L64" s="120">
        <f t="shared" si="7"/>
        <v>0.17701946147693959</v>
      </c>
      <c r="M64" s="119"/>
      <c r="N64" s="120"/>
    </row>
    <row r="65" spans="1:15" ht="15.75" x14ac:dyDescent="0.25">
      <c r="B65" s="121" t="s">
        <v>32</v>
      </c>
      <c r="C65" s="122">
        <v>0</v>
      </c>
      <c r="D65" s="123">
        <v>-1</v>
      </c>
      <c r="E65" s="122">
        <v>0</v>
      </c>
      <c r="F65" s="123" t="str">
        <f t="shared" si="7"/>
        <v>-</v>
      </c>
      <c r="G65" s="122">
        <v>46354</v>
      </c>
      <c r="H65" s="123" t="str">
        <f t="shared" si="7"/>
        <v>-</v>
      </c>
      <c r="I65" s="122">
        <v>50550</v>
      </c>
      <c r="J65" s="123">
        <f t="shared" si="7"/>
        <v>9.0520774906156953E-2</v>
      </c>
      <c r="K65" s="122">
        <v>49465</v>
      </c>
      <c r="L65" s="123">
        <f t="shared" si="7"/>
        <v>-2.1463897131552945E-2</v>
      </c>
      <c r="M65" s="122">
        <v>23778</v>
      </c>
      <c r="N65" s="123">
        <v>-5.9414556962025356E-2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78" t="s">
        <v>252</v>
      </c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3" t="s">
        <v>64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1:15" ht="22.5" thickTop="1" thickBot="1" x14ac:dyDescent="0.3">
      <c r="B73" s="111"/>
      <c r="C73" s="305">
        <f>$C$7</f>
        <v>2020</v>
      </c>
      <c r="D73" s="306"/>
      <c r="E73" s="307">
        <f>$C$7</f>
        <v>2020</v>
      </c>
      <c r="F73" s="306"/>
      <c r="G73" s="307">
        <v>2022</v>
      </c>
      <c r="H73" s="306"/>
      <c r="I73" s="307">
        <v>2023</v>
      </c>
      <c r="J73" s="306"/>
      <c r="K73" s="307">
        <v>2024</v>
      </c>
      <c r="L73" s="306"/>
      <c r="M73" s="307">
        <v>2025</v>
      </c>
      <c r="N73" s="308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",RIGHT(E73,2),"/",RIGHT(E73-1,2))</f>
        <v>var 20/19</v>
      </c>
      <c r="G74" s="117" t="s">
        <v>71</v>
      </c>
      <c r="H74" s="116" t="str">
        <f>CONCATENATE("var ",RIGHT(G73,2),"/",RIGHT(G73-1,2))</f>
        <v>var 22/21</v>
      </c>
      <c r="I74" s="117" t="s">
        <v>71</v>
      </c>
      <c r="J74" s="116" t="str">
        <f>CONCATENATE("var ",RIGHT(I73,2),"/",RIGHT(I73-1,2))</f>
        <v>var 23/22</v>
      </c>
      <c r="K74" s="117" t="s">
        <v>71</v>
      </c>
      <c r="L74" s="116" t="str">
        <f>CONCATENATE("var ",RIGHT(K73,2),"/",RIGHT(K73-1,2))</f>
        <v>var 24/23</v>
      </c>
      <c r="M74" s="117" t="s">
        <v>71</v>
      </c>
      <c r="N74" s="116" t="str">
        <f>CONCATENATE("var ",RIGHT(M73,2),"/",RIGHT(M73-1,2))</f>
        <v>var 25/24</v>
      </c>
    </row>
    <row r="75" spans="1:15" x14ac:dyDescent="0.25">
      <c r="A75" s="1">
        <v>1</v>
      </c>
      <c r="B75" s="118" t="s">
        <v>73</v>
      </c>
      <c r="C75" s="119">
        <v>1494</v>
      </c>
      <c r="D75" s="120">
        <v>0.42150333016175079</v>
      </c>
      <c r="E75" s="119">
        <v>1494</v>
      </c>
      <c r="F75" s="120">
        <f t="shared" ref="F75:L87" si="9">IFERROR(E75/C75-1,"-")</f>
        <v>0</v>
      </c>
      <c r="G75" s="119">
        <v>0</v>
      </c>
      <c r="H75" s="120">
        <f t="shared" si="9"/>
        <v>-1</v>
      </c>
      <c r="I75" s="119">
        <v>749</v>
      </c>
      <c r="J75" s="120" t="str">
        <f t="shared" si="9"/>
        <v>-</v>
      </c>
      <c r="K75" s="119">
        <v>731</v>
      </c>
      <c r="L75" s="120">
        <f t="shared" si="9"/>
        <v>-2.4032042723631464E-2</v>
      </c>
      <c r="M75" s="119">
        <v>826</v>
      </c>
      <c r="N75" s="120">
        <f t="shared" ref="N75:N80" si="10">IFERROR(M75/K75-1,"-")</f>
        <v>0.12995896032831733</v>
      </c>
    </row>
    <row r="76" spans="1:15" x14ac:dyDescent="0.25">
      <c r="A76" s="1">
        <v>2</v>
      </c>
      <c r="B76" s="118" t="s">
        <v>75</v>
      </c>
      <c r="C76" s="119">
        <v>1758</v>
      </c>
      <c r="D76" s="120">
        <v>0.56127886323268217</v>
      </c>
      <c r="E76" s="119">
        <v>1758</v>
      </c>
      <c r="F76" s="120">
        <f t="shared" si="9"/>
        <v>0</v>
      </c>
      <c r="G76" s="119">
        <v>0</v>
      </c>
      <c r="H76" s="120">
        <f t="shared" si="9"/>
        <v>-1</v>
      </c>
      <c r="I76" s="119">
        <v>777</v>
      </c>
      <c r="J76" s="120" t="str">
        <f t="shared" si="9"/>
        <v>-</v>
      </c>
      <c r="K76" s="119">
        <v>780</v>
      </c>
      <c r="L76" s="120">
        <f t="shared" si="9"/>
        <v>3.8610038610038533E-3</v>
      </c>
      <c r="M76" s="119">
        <v>817</v>
      </c>
      <c r="N76" s="120">
        <f t="shared" si="10"/>
        <v>4.7435897435897489E-2</v>
      </c>
    </row>
    <row r="77" spans="1:15" x14ac:dyDescent="0.25">
      <c r="A77" s="1">
        <v>3</v>
      </c>
      <c r="B77" s="118" t="s">
        <v>77</v>
      </c>
      <c r="C77" s="119">
        <v>809</v>
      </c>
      <c r="D77" s="120">
        <v>-0.42705382436260619</v>
      </c>
      <c r="E77" s="119">
        <v>809</v>
      </c>
      <c r="F77" s="120">
        <f t="shared" si="9"/>
        <v>0</v>
      </c>
      <c r="G77" s="119">
        <v>0</v>
      </c>
      <c r="H77" s="120">
        <f t="shared" si="9"/>
        <v>-1</v>
      </c>
      <c r="I77" s="119">
        <v>829</v>
      </c>
      <c r="J77" s="120" t="str">
        <f t="shared" si="9"/>
        <v>-</v>
      </c>
      <c r="K77" s="119">
        <v>780</v>
      </c>
      <c r="L77" s="120">
        <f t="shared" si="9"/>
        <v>-5.9107358262967424E-2</v>
      </c>
      <c r="M77" s="119">
        <v>839</v>
      </c>
      <c r="N77" s="120">
        <f t="shared" si="10"/>
        <v>7.5641025641025594E-2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0</v>
      </c>
      <c r="F78" s="120" t="str">
        <f t="shared" si="9"/>
        <v>-</v>
      </c>
      <c r="G78" s="119">
        <v>438</v>
      </c>
      <c r="H78" s="120" t="str">
        <f t="shared" si="9"/>
        <v>-</v>
      </c>
      <c r="I78" s="119">
        <v>703</v>
      </c>
      <c r="J78" s="120">
        <f t="shared" si="9"/>
        <v>0.60502283105022836</v>
      </c>
      <c r="K78" s="119">
        <v>647</v>
      </c>
      <c r="L78" s="120">
        <f t="shared" si="9"/>
        <v>-7.9658605974395447E-2</v>
      </c>
      <c r="M78" s="119">
        <v>660</v>
      </c>
      <c r="N78" s="120">
        <f t="shared" si="10"/>
        <v>2.0092735703245657E-2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0</v>
      </c>
      <c r="F79" s="120" t="str">
        <f t="shared" si="9"/>
        <v>-</v>
      </c>
      <c r="G79" s="119">
        <v>531</v>
      </c>
      <c r="H79" s="120" t="str">
        <f t="shared" si="9"/>
        <v>-</v>
      </c>
      <c r="I79" s="119">
        <v>489</v>
      </c>
      <c r="J79" s="120">
        <f t="shared" si="9"/>
        <v>-7.9096045197740161E-2</v>
      </c>
      <c r="K79" s="119">
        <v>496</v>
      </c>
      <c r="L79" s="120">
        <f t="shared" si="9"/>
        <v>1.4314928425357865E-2</v>
      </c>
      <c r="M79" s="119">
        <v>723</v>
      </c>
      <c r="N79" s="120">
        <f t="shared" si="10"/>
        <v>0.45766129032258074</v>
      </c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0</v>
      </c>
      <c r="F80" s="120" t="str">
        <f t="shared" si="9"/>
        <v>-</v>
      </c>
      <c r="G80" s="119">
        <v>413</v>
      </c>
      <c r="H80" s="120" t="str">
        <f t="shared" si="9"/>
        <v>-</v>
      </c>
      <c r="I80" s="119">
        <v>462</v>
      </c>
      <c r="J80" s="120">
        <f t="shared" si="9"/>
        <v>0.11864406779661008</v>
      </c>
      <c r="K80" s="119">
        <v>484</v>
      </c>
      <c r="L80" s="120">
        <f t="shared" si="9"/>
        <v>4.7619047619047672E-2</v>
      </c>
      <c r="M80" s="119">
        <v>629</v>
      </c>
      <c r="N80" s="120">
        <f t="shared" si="10"/>
        <v>0.29958677685950419</v>
      </c>
    </row>
    <row r="81" spans="1:14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0</v>
      </c>
      <c r="F81" s="120" t="str">
        <f t="shared" si="9"/>
        <v>-</v>
      </c>
      <c r="G81" s="119">
        <v>385</v>
      </c>
      <c r="H81" s="120" t="str">
        <f t="shared" si="9"/>
        <v>-</v>
      </c>
      <c r="I81" s="119">
        <v>0</v>
      </c>
      <c r="J81" s="120">
        <f t="shared" si="9"/>
        <v>-1</v>
      </c>
      <c r="K81" s="119">
        <v>661</v>
      </c>
      <c r="L81" s="120" t="str">
        <f t="shared" si="9"/>
        <v>-</v>
      </c>
      <c r="M81" s="119"/>
      <c r="N81" s="120"/>
    </row>
    <row r="82" spans="1:14" x14ac:dyDescent="0.25">
      <c r="A82" s="1">
        <v>8</v>
      </c>
      <c r="B82" s="118" t="s">
        <v>87</v>
      </c>
      <c r="C82" s="119">
        <v>0</v>
      </c>
      <c r="D82" s="120">
        <v>-1</v>
      </c>
      <c r="E82" s="119">
        <v>0</v>
      </c>
      <c r="F82" s="120" t="str">
        <f t="shared" si="9"/>
        <v>-</v>
      </c>
      <c r="G82" s="119">
        <v>564</v>
      </c>
      <c r="H82" s="120" t="str">
        <f t="shared" si="9"/>
        <v>-</v>
      </c>
      <c r="I82" s="119">
        <v>0</v>
      </c>
      <c r="J82" s="120">
        <f t="shared" si="9"/>
        <v>-1</v>
      </c>
      <c r="K82" s="119">
        <v>230</v>
      </c>
      <c r="L82" s="120" t="str">
        <f t="shared" si="9"/>
        <v>-</v>
      </c>
      <c r="M82" s="119"/>
      <c r="N82" s="120"/>
    </row>
    <row r="83" spans="1:14" x14ac:dyDescent="0.25">
      <c r="A83" s="1">
        <v>9</v>
      </c>
      <c r="B83" s="118" t="s">
        <v>89</v>
      </c>
      <c r="C83" s="119">
        <v>0</v>
      </c>
      <c r="D83" s="120">
        <v>-1</v>
      </c>
      <c r="E83" s="119">
        <v>0</v>
      </c>
      <c r="F83" s="120" t="str">
        <f t="shared" si="9"/>
        <v>-</v>
      </c>
      <c r="G83" s="119">
        <v>561</v>
      </c>
      <c r="H83" s="120" t="str">
        <f t="shared" si="9"/>
        <v>-</v>
      </c>
      <c r="I83" s="119">
        <v>482</v>
      </c>
      <c r="J83" s="120">
        <f t="shared" si="9"/>
        <v>-0.14081996434937616</v>
      </c>
      <c r="K83" s="119">
        <v>596</v>
      </c>
      <c r="L83" s="120">
        <f t="shared" si="9"/>
        <v>0.23651452282157681</v>
      </c>
      <c r="M83" s="119"/>
      <c r="N83" s="120"/>
    </row>
    <row r="84" spans="1:14" x14ac:dyDescent="0.25">
      <c r="A84" s="1">
        <v>10</v>
      </c>
      <c r="B84" s="118" t="s">
        <v>91</v>
      </c>
      <c r="C84" s="119">
        <v>0</v>
      </c>
      <c r="D84" s="120">
        <v>-1</v>
      </c>
      <c r="E84" s="119">
        <v>0</v>
      </c>
      <c r="F84" s="120" t="str">
        <f t="shared" si="9"/>
        <v>-</v>
      </c>
      <c r="G84" s="119">
        <v>501</v>
      </c>
      <c r="H84" s="120" t="str">
        <f t="shared" si="9"/>
        <v>-</v>
      </c>
      <c r="I84" s="119">
        <v>703</v>
      </c>
      <c r="J84" s="120">
        <f t="shared" si="9"/>
        <v>0.40319361277445109</v>
      </c>
      <c r="K84" s="119">
        <v>773</v>
      </c>
      <c r="L84" s="120">
        <f t="shared" si="9"/>
        <v>9.9573257467994392E-2</v>
      </c>
      <c r="M84" s="119"/>
      <c r="N84" s="120"/>
    </row>
    <row r="85" spans="1:14" x14ac:dyDescent="0.25">
      <c r="A85" s="1">
        <v>11</v>
      </c>
      <c r="B85" s="118" t="s">
        <v>93</v>
      </c>
      <c r="C85" s="119">
        <v>0</v>
      </c>
      <c r="D85" s="120">
        <v>-1</v>
      </c>
      <c r="E85" s="119">
        <v>0</v>
      </c>
      <c r="F85" s="120" t="str">
        <f t="shared" si="9"/>
        <v>-</v>
      </c>
      <c r="G85" s="119">
        <v>690</v>
      </c>
      <c r="H85" s="120" t="str">
        <f t="shared" si="9"/>
        <v>-</v>
      </c>
      <c r="I85" s="119">
        <v>826</v>
      </c>
      <c r="J85" s="120">
        <f t="shared" si="9"/>
        <v>0.19710144927536222</v>
      </c>
      <c r="K85" s="119">
        <v>932</v>
      </c>
      <c r="L85" s="120">
        <f t="shared" si="9"/>
        <v>0.12832929782082325</v>
      </c>
      <c r="M85" s="119"/>
      <c r="N85" s="120"/>
    </row>
    <row r="86" spans="1:14" x14ac:dyDescent="0.25">
      <c r="A86" s="1">
        <v>12</v>
      </c>
      <c r="B86" s="118" t="s">
        <v>95</v>
      </c>
      <c r="C86" s="119">
        <v>0</v>
      </c>
      <c r="D86" s="120">
        <v>-1</v>
      </c>
      <c r="E86" s="119">
        <v>0</v>
      </c>
      <c r="F86" s="120" t="str">
        <f t="shared" si="9"/>
        <v>-</v>
      </c>
      <c r="G86" s="119">
        <v>683</v>
      </c>
      <c r="H86" s="120" t="str">
        <f t="shared" si="9"/>
        <v>-</v>
      </c>
      <c r="I86" s="119">
        <v>834</v>
      </c>
      <c r="J86" s="120">
        <f t="shared" si="9"/>
        <v>0.22108345534407037</v>
      </c>
      <c r="K86" s="119">
        <v>813</v>
      </c>
      <c r="L86" s="120">
        <f t="shared" si="9"/>
        <v>-2.5179856115107868E-2</v>
      </c>
      <c r="M86" s="119"/>
      <c r="N86" s="120"/>
    </row>
    <row r="87" spans="1:14" ht="15.75" x14ac:dyDescent="0.25">
      <c r="B87" s="121" t="s">
        <v>32</v>
      </c>
      <c r="C87" s="122">
        <v>0</v>
      </c>
      <c r="D87" s="123">
        <v>-1</v>
      </c>
      <c r="E87" s="122">
        <v>0</v>
      </c>
      <c r="F87" s="123" t="str">
        <f t="shared" si="9"/>
        <v>-</v>
      </c>
      <c r="G87" s="122">
        <v>5131</v>
      </c>
      <c r="H87" s="123" t="str">
        <f t="shared" si="9"/>
        <v>-</v>
      </c>
      <c r="I87" s="122">
        <v>7607</v>
      </c>
      <c r="J87" s="123">
        <f t="shared" si="9"/>
        <v>0.48255700643149479</v>
      </c>
      <c r="K87" s="122">
        <v>7923</v>
      </c>
      <c r="L87" s="123">
        <f t="shared" si="9"/>
        <v>4.1540686210069566E-2</v>
      </c>
      <c r="M87" s="122">
        <v>4494</v>
      </c>
      <c r="N87" s="123">
        <v>0.14701378254211339</v>
      </c>
    </row>
    <row r="88" spans="1:14" ht="6" customHeight="1" x14ac:dyDescent="0.25"/>
    <row r="89" spans="1:14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</sheetData>
  <mergeCells count="32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F9942-06E7-4112-B5BB-B7E3C56BA4C0}">
  <sheetPr>
    <tabColor theme="7" tint="0.79998168889431442"/>
  </sheetPr>
  <dimension ref="A4:E116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8" t="s">
        <v>253</v>
      </c>
      <c r="C4" s="278"/>
      <c r="D4" s="278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3" t="s">
        <v>134</v>
      </c>
      <c r="D6" s="304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57388</v>
      </c>
      <c r="D8" s="120">
        <f t="shared" ref="D8:D10" si="0">C8/C9-1</f>
        <v>-1.3222827862510056E-2</v>
      </c>
    </row>
    <row r="9" spans="1:5" x14ac:dyDescent="0.25">
      <c r="A9" s="1"/>
      <c r="B9" s="118">
        <v>2023</v>
      </c>
      <c r="C9" s="119">
        <v>58157</v>
      </c>
      <c r="D9" s="120">
        <f t="shared" si="0"/>
        <v>0.12959114305137409</v>
      </c>
    </row>
    <row r="10" spans="1:5" x14ac:dyDescent="0.25">
      <c r="A10" s="1"/>
      <c r="B10" s="118">
        <v>2022</v>
      </c>
      <c r="C10" s="119">
        <v>51485</v>
      </c>
      <c r="D10" s="120">
        <f t="shared" si="0"/>
        <v>0.53943906231312044</v>
      </c>
    </row>
    <row r="11" spans="1:5" x14ac:dyDescent="0.25">
      <c r="A11" s="1"/>
      <c r="B11" s="118">
        <v>2021</v>
      </c>
      <c r="C11" s="119">
        <v>33444</v>
      </c>
      <c r="D11" s="120">
        <f>C11/C12-1</f>
        <v>0.38078526898146237</v>
      </c>
    </row>
    <row r="12" spans="1:5" x14ac:dyDescent="0.25">
      <c r="A12" s="1" t="s">
        <v>74</v>
      </c>
      <c r="B12" s="118">
        <v>2020</v>
      </c>
      <c r="C12" s="119">
        <v>24221</v>
      </c>
      <c r="D12" s="120">
        <f t="shared" ref="D12:D21" si="1">C12/C13-1</f>
        <v>-0.56660761894537193</v>
      </c>
    </row>
    <row r="13" spans="1:5" x14ac:dyDescent="0.25">
      <c r="A13" s="1" t="s">
        <v>76</v>
      </c>
      <c r="B13" s="118">
        <v>2019</v>
      </c>
      <c r="C13" s="119">
        <v>55887</v>
      </c>
      <c r="D13" s="120">
        <f t="shared" si="1"/>
        <v>3.521283295669253E-2</v>
      </c>
    </row>
    <row r="14" spans="1:5" x14ac:dyDescent="0.25">
      <c r="A14" s="1" t="s">
        <v>78</v>
      </c>
      <c r="B14" s="118">
        <v>2018</v>
      </c>
      <c r="C14" s="119">
        <v>53986</v>
      </c>
      <c r="D14" s="120">
        <f t="shared" si="1"/>
        <v>-6.4610586502642287E-2</v>
      </c>
    </row>
    <row r="15" spans="1:5" x14ac:dyDescent="0.25">
      <c r="A15" s="1" t="s">
        <v>80</v>
      </c>
      <c r="B15" s="118">
        <v>2017</v>
      </c>
      <c r="C15" s="119">
        <v>57715</v>
      </c>
      <c r="D15" s="120">
        <f>C15/C16-1</f>
        <v>7.382737641170678E-2</v>
      </c>
    </row>
    <row r="16" spans="1:5" x14ac:dyDescent="0.25">
      <c r="A16" s="1" t="s">
        <v>82</v>
      </c>
      <c r="B16" s="118">
        <v>2016</v>
      </c>
      <c r="C16" s="119">
        <v>53747</v>
      </c>
      <c r="D16" s="120">
        <f>C16/C17-1</f>
        <v>0.30377935183388316</v>
      </c>
    </row>
    <row r="17" spans="1:5" x14ac:dyDescent="0.25">
      <c r="A17" s="1" t="s">
        <v>84</v>
      </c>
      <c r="B17" s="118">
        <v>2015</v>
      </c>
      <c r="C17" s="119">
        <v>41224</v>
      </c>
      <c r="D17" s="120">
        <f t="shared" si="1"/>
        <v>0.22058388109196425</v>
      </c>
    </row>
    <row r="18" spans="1:5" x14ac:dyDescent="0.25">
      <c r="A18" s="1" t="s">
        <v>86</v>
      </c>
      <c r="B18" s="118">
        <v>2014</v>
      </c>
      <c r="C18" s="119">
        <v>33774</v>
      </c>
      <c r="D18" s="120">
        <f t="shared" si="1"/>
        <v>0.11915965272715212</v>
      </c>
    </row>
    <row r="19" spans="1:5" x14ac:dyDescent="0.25">
      <c r="A19" s="1" t="s">
        <v>88</v>
      </c>
      <c r="B19" s="118">
        <v>2013</v>
      </c>
      <c r="C19" s="119">
        <v>30178</v>
      </c>
      <c r="D19" s="120">
        <f t="shared" si="1"/>
        <v>-5.0857052995754048E-2</v>
      </c>
    </row>
    <row r="20" spans="1:5" x14ac:dyDescent="0.25">
      <c r="A20" s="1" t="s">
        <v>90</v>
      </c>
      <c r="B20" s="118">
        <v>2012</v>
      </c>
      <c r="C20" s="119">
        <v>31795</v>
      </c>
      <c r="D20" s="120">
        <f>C20/C21-1</f>
        <v>-1.4505780615565844E-2</v>
      </c>
    </row>
    <row r="21" spans="1:5" x14ac:dyDescent="0.25">
      <c r="A21" s="1" t="s">
        <v>92</v>
      </c>
      <c r="B21" s="118">
        <v>2011</v>
      </c>
      <c r="C21" s="119">
        <v>32263</v>
      </c>
      <c r="D21" s="120">
        <f t="shared" si="1"/>
        <v>-0.19553671612018453</v>
      </c>
    </row>
    <row r="22" spans="1:5" x14ac:dyDescent="0.25">
      <c r="A22" s="1" t="s">
        <v>94</v>
      </c>
      <c r="B22" s="118">
        <v>2010</v>
      </c>
      <c r="C22" s="119">
        <v>40105</v>
      </c>
      <c r="D22" s="120"/>
    </row>
    <row r="23" spans="1:5" ht="6" customHeight="1" x14ac:dyDescent="0.25"/>
    <row r="24" spans="1:5" x14ac:dyDescent="0.25">
      <c r="B24" s="107" t="s">
        <v>57</v>
      </c>
      <c r="C24" s="107"/>
      <c r="D24" s="107"/>
    </row>
    <row r="27" spans="1:5" ht="48.75" customHeight="1" thickBot="1" x14ac:dyDescent="0.3">
      <c r="B27" s="278" t="s">
        <v>254</v>
      </c>
      <c r="C27" s="278"/>
      <c r="D27" s="278"/>
      <c r="E27" s="1" t="s">
        <v>96</v>
      </c>
    </row>
    <row r="28" spans="1:5" ht="10.5" customHeight="1" thickBot="1" x14ac:dyDescent="0.3">
      <c r="B28" s="108"/>
      <c r="C28" s="109"/>
      <c r="D28" s="108"/>
      <c r="E28" s="1" t="s">
        <v>97</v>
      </c>
    </row>
    <row r="29" spans="1:5" ht="22.5" thickTop="1" thickBot="1" x14ac:dyDescent="0.3">
      <c r="B29" s="125" t="s">
        <v>98</v>
      </c>
      <c r="C29" s="303" t="s">
        <v>139</v>
      </c>
      <c r="D29" s="304"/>
    </row>
    <row r="30" spans="1:5" ht="16.5" thickTop="1" thickBot="1" x14ac:dyDescent="0.3">
      <c r="B30" s="87"/>
      <c r="C30" s="115" t="s">
        <v>140</v>
      </c>
      <c r="D30" s="116" t="s">
        <v>141</v>
      </c>
    </row>
    <row r="31" spans="1:5" x14ac:dyDescent="0.25">
      <c r="B31" s="118">
        <v>2024</v>
      </c>
      <c r="C31" s="119">
        <v>57388</v>
      </c>
      <c r="D31" s="120">
        <f t="shared" ref="D31:D44" si="2">C31/C32-1</f>
        <v>-1.3222827862510056E-2</v>
      </c>
    </row>
    <row r="32" spans="1:5" x14ac:dyDescent="0.25">
      <c r="B32" s="118">
        <v>2023</v>
      </c>
      <c r="C32" s="119">
        <v>58157</v>
      </c>
      <c r="D32" s="120">
        <f t="shared" si="2"/>
        <v>0.12959114305137409</v>
      </c>
    </row>
    <row r="33" spans="2:4" x14ac:dyDescent="0.25">
      <c r="B33" s="118">
        <v>2022</v>
      </c>
      <c r="C33" s="119">
        <v>51485</v>
      </c>
      <c r="D33" s="120">
        <f t="shared" si="2"/>
        <v>0.53943906231312044</v>
      </c>
    </row>
    <row r="34" spans="2:4" x14ac:dyDescent="0.25">
      <c r="B34" s="118">
        <v>2021</v>
      </c>
      <c r="C34" s="119">
        <v>33444</v>
      </c>
      <c r="D34" s="120">
        <f t="shared" si="2"/>
        <v>0.38078526898146237</v>
      </c>
    </row>
    <row r="35" spans="2:4" x14ac:dyDescent="0.25">
      <c r="B35" s="118">
        <v>2020</v>
      </c>
      <c r="C35" s="119">
        <v>24221</v>
      </c>
      <c r="D35" s="120">
        <f t="shared" si="2"/>
        <v>-0.56660761894537193</v>
      </c>
    </row>
    <row r="36" spans="2:4" x14ac:dyDescent="0.25">
      <c r="B36" s="118">
        <v>2019</v>
      </c>
      <c r="C36" s="119">
        <v>55887</v>
      </c>
      <c r="D36" s="120">
        <f t="shared" si="2"/>
        <v>3.521283295669253E-2</v>
      </c>
    </row>
    <row r="37" spans="2:4" x14ac:dyDescent="0.25">
      <c r="B37" s="118">
        <v>2018</v>
      </c>
      <c r="C37" s="119">
        <v>53986</v>
      </c>
      <c r="D37" s="120">
        <f t="shared" si="2"/>
        <v>-6.3783296337402873E-2</v>
      </c>
    </row>
    <row r="38" spans="2:4" x14ac:dyDescent="0.25">
      <c r="B38" s="118">
        <v>2017</v>
      </c>
      <c r="C38" s="119">
        <v>57664</v>
      </c>
      <c r="D38" s="120">
        <f>C38/C39-1</f>
        <v>7.6001567427366634E-2</v>
      </c>
    </row>
    <row r="39" spans="2:4" x14ac:dyDescent="0.25">
      <c r="B39" s="118">
        <v>2016</v>
      </c>
      <c r="C39" s="119">
        <v>53591</v>
      </c>
      <c r="D39" s="120">
        <f>C39/C40-1</f>
        <v>0.30914109829978509</v>
      </c>
    </row>
    <row r="40" spans="2:4" x14ac:dyDescent="0.25">
      <c r="B40" s="118">
        <v>2015</v>
      </c>
      <c r="C40" s="119">
        <v>40936</v>
      </c>
      <c r="D40" s="120">
        <f t="shared" si="2"/>
        <v>0.22284621818616324</v>
      </c>
    </row>
    <row r="41" spans="2:4" x14ac:dyDescent="0.25">
      <c r="B41" s="118">
        <v>2014</v>
      </c>
      <c r="C41" s="119">
        <v>33476</v>
      </c>
      <c r="D41" s="120">
        <f t="shared" si="2"/>
        <v>0.11649934963145792</v>
      </c>
    </row>
    <row r="42" spans="2:4" x14ac:dyDescent="0.25">
      <c r="B42" s="118">
        <v>2013</v>
      </c>
      <c r="C42" s="119">
        <v>29983</v>
      </c>
      <c r="D42" s="120">
        <f t="shared" si="2"/>
        <v>-5.2430314139434886E-2</v>
      </c>
    </row>
    <row r="43" spans="2:4" x14ac:dyDescent="0.25">
      <c r="B43" s="118">
        <v>2012</v>
      </c>
      <c r="C43" s="119">
        <v>31642</v>
      </c>
      <c r="D43" s="120">
        <f>C43/C44-1</f>
        <v>4.4945675506092853E-2</v>
      </c>
    </row>
    <row r="44" spans="2:4" x14ac:dyDescent="0.25">
      <c r="B44" s="118">
        <v>2011</v>
      </c>
      <c r="C44" s="119">
        <v>30281</v>
      </c>
      <c r="D44" s="120">
        <f t="shared" si="2"/>
        <v>-0.180442784453827</v>
      </c>
    </row>
    <row r="45" spans="2:4" x14ac:dyDescent="0.25">
      <c r="B45" s="118">
        <v>2010</v>
      </c>
      <c r="C45" s="119">
        <v>36948</v>
      </c>
      <c r="D45" s="120"/>
    </row>
    <row r="46" spans="2:4" ht="6" customHeight="1" x14ac:dyDescent="0.25"/>
    <row r="47" spans="2:4" x14ac:dyDescent="0.25">
      <c r="B47" s="107" t="s">
        <v>57</v>
      </c>
      <c r="C47" s="107"/>
      <c r="D47" s="107"/>
    </row>
    <row r="50" spans="1:5" ht="48.75" customHeight="1" thickBot="1" x14ac:dyDescent="0.3">
      <c r="B50" s="278" t="s">
        <v>255</v>
      </c>
      <c r="C50" s="278"/>
      <c r="D50" s="278"/>
      <c r="E50" s="1" t="s">
        <v>100</v>
      </c>
    </row>
    <row r="51" spans="1:5" ht="10.5" customHeight="1" thickBot="1" x14ac:dyDescent="0.3">
      <c r="B51" s="108"/>
      <c r="C51" s="109"/>
      <c r="D51" s="108"/>
      <c r="E51" s="1" t="s">
        <v>101</v>
      </c>
    </row>
    <row r="52" spans="1:5" ht="22.5" thickTop="1" thickBot="1" x14ac:dyDescent="0.3">
      <c r="B52" s="111"/>
      <c r="C52" s="303" t="s">
        <v>142</v>
      </c>
      <c r="D52" s="304"/>
    </row>
    <row r="53" spans="1:5" ht="16.5" thickTop="1" thickBot="1" x14ac:dyDescent="0.3">
      <c r="B53" s="87"/>
      <c r="C53" s="115" t="s">
        <v>140</v>
      </c>
      <c r="D53" s="116" t="s">
        <v>141</v>
      </c>
    </row>
    <row r="54" spans="1:5" x14ac:dyDescent="0.25">
      <c r="A54" s="1">
        <v>1</v>
      </c>
      <c r="B54" s="118">
        <v>2024</v>
      </c>
      <c r="C54" s="119">
        <v>49465</v>
      </c>
      <c r="D54" s="120">
        <f t="shared" ref="D54:D56" si="3">C54/C55-1</f>
        <v>-2.1463897131552945E-2</v>
      </c>
    </row>
    <row r="55" spans="1:5" x14ac:dyDescent="0.25">
      <c r="A55" s="1"/>
      <c r="B55" s="118">
        <v>2023</v>
      </c>
      <c r="C55" s="119">
        <v>50550</v>
      </c>
      <c r="D55" s="120">
        <f t="shared" si="3"/>
        <v>9.0520774906156953E-2</v>
      </c>
    </row>
    <row r="56" spans="1:5" x14ac:dyDescent="0.25">
      <c r="A56" s="1"/>
      <c r="B56" s="118">
        <v>2022</v>
      </c>
      <c r="C56" s="119">
        <v>46354</v>
      </c>
      <c r="D56" s="120" t="e">
        <f t="shared" si="3"/>
        <v>#DIV/0!</v>
      </c>
    </row>
    <row r="57" spans="1:5" x14ac:dyDescent="0.25">
      <c r="A57" s="1"/>
      <c r="B57" s="118">
        <v>2021</v>
      </c>
      <c r="C57" s="119">
        <v>0</v>
      </c>
      <c r="D57" s="120" t="e">
        <f>C57/C58-1</f>
        <v>#DIV/0!</v>
      </c>
    </row>
    <row r="58" spans="1:5" x14ac:dyDescent="0.25">
      <c r="A58" s="1">
        <v>2</v>
      </c>
      <c r="B58" s="118">
        <v>2020</v>
      </c>
      <c r="C58" s="119">
        <v>0</v>
      </c>
      <c r="D58" s="120">
        <f t="shared" ref="D58:D67" si="4">C58/C59-1</f>
        <v>-1</v>
      </c>
    </row>
    <row r="59" spans="1:5" x14ac:dyDescent="0.25">
      <c r="A59" s="1">
        <v>3</v>
      </c>
      <c r="B59" s="118">
        <v>2019</v>
      </c>
      <c r="C59" s="119">
        <v>42488</v>
      </c>
      <c r="D59" s="120">
        <f t="shared" si="4"/>
        <v>7.9581258257953147E-2</v>
      </c>
    </row>
    <row r="60" spans="1:5" x14ac:dyDescent="0.25">
      <c r="A60" s="1">
        <v>4</v>
      </c>
      <c r="B60" s="118">
        <v>2018</v>
      </c>
      <c r="C60" s="119">
        <v>39356</v>
      </c>
      <c r="D60" s="120">
        <f t="shared" si="4"/>
        <v>0.52672821786019086</v>
      </c>
    </row>
    <row r="61" spans="1:5" x14ac:dyDescent="0.25">
      <c r="A61" s="1">
        <v>5</v>
      </c>
      <c r="B61" s="118">
        <v>2017</v>
      </c>
      <c r="C61" s="119">
        <v>25778</v>
      </c>
      <c r="D61" s="120" t="e">
        <f>C61/C62-1</f>
        <v>#DIV/0!</v>
      </c>
    </row>
    <row r="62" spans="1:5" x14ac:dyDescent="0.25">
      <c r="A62" s="1">
        <v>6</v>
      </c>
      <c r="B62" s="118">
        <v>2016</v>
      </c>
      <c r="C62" s="119">
        <v>0</v>
      </c>
      <c r="D62" s="120" t="e">
        <f>C62/C63-1</f>
        <v>#DIV/0!</v>
      </c>
    </row>
    <row r="63" spans="1:5" x14ac:dyDescent="0.25">
      <c r="A63" s="1">
        <v>7</v>
      </c>
      <c r="B63" s="118">
        <v>2015</v>
      </c>
      <c r="C63" s="119">
        <v>0</v>
      </c>
      <c r="D63" s="120" t="e">
        <f t="shared" si="4"/>
        <v>#DIV/0!</v>
      </c>
    </row>
    <row r="64" spans="1:5" x14ac:dyDescent="0.25">
      <c r="A64" s="1">
        <v>8</v>
      </c>
      <c r="B64" s="118">
        <v>2014</v>
      </c>
      <c r="C64" s="119">
        <v>0</v>
      </c>
      <c r="D64" s="120" t="e">
        <f t="shared" si="4"/>
        <v>#DIV/0!</v>
      </c>
    </row>
    <row r="65" spans="1:5" x14ac:dyDescent="0.25">
      <c r="A65" s="1">
        <v>9</v>
      </c>
      <c r="B65" s="118">
        <v>2013</v>
      </c>
      <c r="C65" s="119">
        <v>0</v>
      </c>
      <c r="D65" s="120" t="e">
        <f t="shared" si="4"/>
        <v>#DIV/0!</v>
      </c>
    </row>
    <row r="66" spans="1:5" x14ac:dyDescent="0.25">
      <c r="A66" s="1">
        <v>10</v>
      </c>
      <c r="B66" s="118">
        <v>2012</v>
      </c>
      <c r="C66" s="119">
        <v>0</v>
      </c>
      <c r="D66" s="120" t="e">
        <f>C66/C67-1</f>
        <v>#DIV/0!</v>
      </c>
    </row>
    <row r="67" spans="1:5" x14ac:dyDescent="0.25">
      <c r="A67" s="1">
        <v>11</v>
      </c>
      <c r="B67" s="118">
        <v>2011</v>
      </c>
      <c r="C67" s="119">
        <v>0</v>
      </c>
      <c r="D67" s="120" t="e">
        <f t="shared" si="4"/>
        <v>#DIV/0!</v>
      </c>
    </row>
    <row r="68" spans="1:5" x14ac:dyDescent="0.25">
      <c r="A68" s="1">
        <v>12</v>
      </c>
      <c r="B68" s="118">
        <v>2010</v>
      </c>
      <c r="C68" s="119">
        <v>0</v>
      </c>
      <c r="D68" s="120"/>
    </row>
    <row r="69" spans="1:5" ht="6" customHeight="1" x14ac:dyDescent="0.25"/>
    <row r="70" spans="1:5" x14ac:dyDescent="0.25">
      <c r="B70" s="107" t="s">
        <v>57</v>
      </c>
      <c r="C70" s="107"/>
      <c r="D70" s="107"/>
    </row>
    <row r="73" spans="1:5" ht="48.75" customHeight="1" thickBot="1" x14ac:dyDescent="0.3">
      <c r="B73" s="278" t="s">
        <v>143</v>
      </c>
      <c r="C73" s="278"/>
      <c r="D73" s="278"/>
      <c r="E73" s="1" t="s">
        <v>103</v>
      </c>
    </row>
    <row r="74" spans="1:5" ht="10.5" customHeight="1" thickBot="1" x14ac:dyDescent="0.3">
      <c r="B74" s="108"/>
      <c r="C74" s="109"/>
      <c r="D74" s="108"/>
      <c r="E74" s="1" t="s">
        <v>104</v>
      </c>
    </row>
    <row r="75" spans="1:5" ht="22.5" thickTop="1" thickBot="1" x14ac:dyDescent="0.3">
      <c r="B75" s="111"/>
      <c r="C75" s="303" t="s">
        <v>144</v>
      </c>
      <c r="D75" s="304"/>
    </row>
    <row r="76" spans="1:5" ht="16.5" thickTop="1" thickBot="1" x14ac:dyDescent="0.3">
      <c r="B76" s="87"/>
      <c r="C76" s="115" t="s">
        <v>140</v>
      </c>
      <c r="D76" s="116" t="s">
        <v>141</v>
      </c>
    </row>
    <row r="77" spans="1:5" x14ac:dyDescent="0.25">
      <c r="A77" s="1">
        <v>1</v>
      </c>
      <c r="B77" s="118">
        <v>2024</v>
      </c>
      <c r="C77" s="119">
        <v>7923</v>
      </c>
      <c r="D77" s="120">
        <f t="shared" ref="D77:D83" si="5">C77/C78-1</f>
        <v>4.1540686210069566E-2</v>
      </c>
    </row>
    <row r="78" spans="1:5" x14ac:dyDescent="0.25">
      <c r="A78" s="1"/>
      <c r="B78" s="118">
        <v>2023</v>
      </c>
      <c r="C78" s="119">
        <v>7607</v>
      </c>
      <c r="D78" s="120">
        <f t="shared" si="5"/>
        <v>0.48255700643149479</v>
      </c>
    </row>
    <row r="79" spans="1:5" x14ac:dyDescent="0.25">
      <c r="A79" s="1"/>
      <c r="B79" s="118">
        <v>2022</v>
      </c>
      <c r="C79" s="119">
        <v>5131</v>
      </c>
      <c r="D79" s="120" t="e">
        <f t="shared" si="5"/>
        <v>#DIV/0!</v>
      </c>
    </row>
    <row r="80" spans="1:5" x14ac:dyDescent="0.25">
      <c r="A80" s="1"/>
      <c r="B80" s="118">
        <v>2021</v>
      </c>
      <c r="C80" s="119">
        <v>0</v>
      </c>
      <c r="D80" s="120" t="e">
        <f t="shared" si="5"/>
        <v>#DIV/0!</v>
      </c>
    </row>
    <row r="81" spans="1:5" x14ac:dyDescent="0.25">
      <c r="A81" s="1">
        <v>2</v>
      </c>
      <c r="B81" s="118">
        <v>2020</v>
      </c>
      <c r="C81" s="119">
        <v>0</v>
      </c>
      <c r="D81" s="120">
        <f t="shared" si="5"/>
        <v>-1</v>
      </c>
    </row>
    <row r="82" spans="1:5" x14ac:dyDescent="0.25">
      <c r="A82" s="1">
        <v>3</v>
      </c>
      <c r="B82" s="118">
        <v>2019</v>
      </c>
      <c r="C82" s="119">
        <v>13399</v>
      </c>
      <c r="D82" s="120">
        <f t="shared" si="5"/>
        <v>-8.4142173615857851E-2</v>
      </c>
    </row>
    <row r="83" spans="1:5" x14ac:dyDescent="0.25">
      <c r="A83" s="1">
        <v>4</v>
      </c>
      <c r="B83" s="118">
        <v>2018</v>
      </c>
      <c r="C83" s="119">
        <v>14630</v>
      </c>
      <c r="D83" s="120">
        <f t="shared" si="5"/>
        <v>-0.54117794643417172</v>
      </c>
    </row>
    <row r="84" spans="1:5" x14ac:dyDescent="0.25">
      <c r="A84" s="1">
        <v>5</v>
      </c>
      <c r="B84" s="118">
        <v>2017</v>
      </c>
      <c r="C84" s="119">
        <v>31886</v>
      </c>
      <c r="D84" s="120" t="e">
        <f>C84/C85-1</f>
        <v>#DIV/0!</v>
      </c>
    </row>
    <row r="85" spans="1:5" x14ac:dyDescent="0.25">
      <c r="A85" s="1">
        <v>6</v>
      </c>
      <c r="B85" s="118">
        <v>2016</v>
      </c>
      <c r="C85" s="119">
        <v>0</v>
      </c>
      <c r="D85" s="120" t="e">
        <f>C85/C86-1</f>
        <v>#DIV/0!</v>
      </c>
    </row>
    <row r="86" spans="1:5" x14ac:dyDescent="0.25">
      <c r="A86" s="1">
        <v>7</v>
      </c>
      <c r="B86" s="118">
        <v>2015</v>
      </c>
      <c r="C86" s="119">
        <v>0</v>
      </c>
      <c r="D86" s="120" t="e">
        <f t="shared" ref="D86:D88" si="6">C86/C87-1</f>
        <v>#DIV/0!</v>
      </c>
    </row>
    <row r="87" spans="1:5" x14ac:dyDescent="0.25">
      <c r="A87" s="1">
        <v>8</v>
      </c>
      <c r="B87" s="118">
        <v>2014</v>
      </c>
      <c r="C87" s="119">
        <v>0</v>
      </c>
      <c r="D87" s="120" t="e">
        <f t="shared" si="6"/>
        <v>#DIV/0!</v>
      </c>
    </row>
    <row r="88" spans="1:5" x14ac:dyDescent="0.25">
      <c r="A88" s="1">
        <v>9</v>
      </c>
      <c r="B88" s="118">
        <v>2013</v>
      </c>
      <c r="C88" s="119">
        <v>0</v>
      </c>
      <c r="D88" s="120" t="e">
        <f t="shared" si="6"/>
        <v>#DIV/0!</v>
      </c>
    </row>
    <row r="89" spans="1:5" x14ac:dyDescent="0.25">
      <c r="A89" s="1">
        <v>10</v>
      </c>
      <c r="B89" s="118">
        <v>2012</v>
      </c>
      <c r="C89" s="119">
        <v>0</v>
      </c>
      <c r="D89" s="120" t="e">
        <f>C89/C90-1</f>
        <v>#DIV/0!</v>
      </c>
    </row>
    <row r="90" spans="1:5" x14ac:dyDescent="0.25">
      <c r="A90" s="1">
        <v>11</v>
      </c>
      <c r="B90" s="118">
        <v>2011</v>
      </c>
      <c r="C90" s="119">
        <v>0</v>
      </c>
      <c r="D90" s="120">
        <f t="shared" ref="D90" si="7">C90/C91-1</f>
        <v>-1</v>
      </c>
    </row>
    <row r="91" spans="1:5" x14ac:dyDescent="0.25">
      <c r="A91" s="1">
        <v>12</v>
      </c>
      <c r="B91" s="118">
        <v>2010</v>
      </c>
      <c r="C91" s="119">
        <v>36948</v>
      </c>
      <c r="D91" s="120"/>
    </row>
    <row r="92" spans="1:5" ht="6" customHeight="1" x14ac:dyDescent="0.25"/>
    <row r="93" spans="1:5" x14ac:dyDescent="0.25">
      <c r="B93" s="107" t="s">
        <v>57</v>
      </c>
      <c r="C93" s="107"/>
      <c r="D93" s="107"/>
    </row>
    <row r="96" spans="1:5" ht="48.75" customHeight="1" thickBot="1" x14ac:dyDescent="0.3">
      <c r="B96" s="278" t="s">
        <v>256</v>
      </c>
      <c r="C96" s="278"/>
      <c r="D96" s="278"/>
      <c r="E96" s="1" t="s">
        <v>116</v>
      </c>
    </row>
    <row r="97" spans="2:5" ht="10.5" customHeight="1" thickBot="1" x14ac:dyDescent="0.3">
      <c r="B97" s="108"/>
      <c r="C97" s="109"/>
      <c r="D97" s="108"/>
      <c r="E97" s="1" t="s">
        <v>117</v>
      </c>
    </row>
    <row r="98" spans="2:5" ht="22.5" thickTop="1" thickBot="1" x14ac:dyDescent="0.3">
      <c r="B98" s="125" t="s">
        <v>98</v>
      </c>
      <c r="C98" s="303" t="s">
        <v>34</v>
      </c>
      <c r="D98" s="304"/>
    </row>
    <row r="99" spans="2:5" ht="16.5" thickTop="1" thickBot="1" x14ac:dyDescent="0.3">
      <c r="B99" s="87"/>
      <c r="C99" s="115" t="s">
        <v>140</v>
      </c>
      <c r="D99" s="116" t="s">
        <v>141</v>
      </c>
    </row>
    <row r="100" spans="2:5" x14ac:dyDescent="0.25">
      <c r="B100" s="118">
        <v>2024</v>
      </c>
      <c r="C100" s="119" t="s">
        <v>229</v>
      </c>
      <c r="D100" s="120" t="e">
        <f t="shared" ref="D100:D113" si="8">C100/C101-1</f>
        <v>#VALUE!</v>
      </c>
    </row>
    <row r="101" spans="2:5" x14ac:dyDescent="0.25">
      <c r="B101" s="118">
        <v>2023</v>
      </c>
      <c r="C101" s="119" t="s">
        <v>229</v>
      </c>
      <c r="D101" s="120" t="e">
        <f t="shared" si="8"/>
        <v>#VALUE!</v>
      </c>
    </row>
    <row r="102" spans="2:5" x14ac:dyDescent="0.25">
      <c r="B102" s="118">
        <v>2022</v>
      </c>
      <c r="C102" s="119" t="s">
        <v>229</v>
      </c>
      <c r="D102" s="120" t="e">
        <f t="shared" si="8"/>
        <v>#VALUE!</v>
      </c>
    </row>
    <row r="103" spans="2:5" x14ac:dyDescent="0.25">
      <c r="B103" s="118">
        <v>2021</v>
      </c>
      <c r="C103" s="119" t="s">
        <v>229</v>
      </c>
      <c r="D103" s="120" t="e">
        <f t="shared" si="8"/>
        <v>#VALUE!</v>
      </c>
    </row>
    <row r="104" spans="2:5" x14ac:dyDescent="0.25">
      <c r="B104" s="118">
        <v>2020</v>
      </c>
      <c r="C104" s="119" t="s">
        <v>229</v>
      </c>
      <c r="D104" s="120" t="e">
        <f t="shared" si="8"/>
        <v>#VALUE!</v>
      </c>
    </row>
    <row r="105" spans="2:5" x14ac:dyDescent="0.25">
      <c r="B105" s="118">
        <v>2019</v>
      </c>
      <c r="C105" s="119" t="s">
        <v>229</v>
      </c>
      <c r="D105" s="120" t="e">
        <f t="shared" si="8"/>
        <v>#VALUE!</v>
      </c>
    </row>
    <row r="106" spans="2:5" x14ac:dyDescent="0.25">
      <c r="B106" s="118">
        <v>2018</v>
      </c>
      <c r="C106" s="119" t="s">
        <v>229</v>
      </c>
      <c r="D106" s="120" t="e">
        <f t="shared" si="8"/>
        <v>#VALUE!</v>
      </c>
    </row>
    <row r="107" spans="2:5" x14ac:dyDescent="0.25">
      <c r="B107" s="118">
        <v>2017</v>
      </c>
      <c r="C107" s="119" t="s">
        <v>229</v>
      </c>
      <c r="D107" s="120" t="e">
        <f t="shared" si="8"/>
        <v>#VALUE!</v>
      </c>
    </row>
    <row r="108" spans="2:5" x14ac:dyDescent="0.25">
      <c r="B108" s="118">
        <v>2016</v>
      </c>
      <c r="C108" s="119" t="s">
        <v>229</v>
      </c>
      <c r="D108" s="120" t="e">
        <f t="shared" si="8"/>
        <v>#VALUE!</v>
      </c>
    </row>
    <row r="109" spans="2:5" x14ac:dyDescent="0.25">
      <c r="B109" s="118">
        <v>2015</v>
      </c>
      <c r="C109" s="119" t="s">
        <v>229</v>
      </c>
      <c r="D109" s="120" t="e">
        <f t="shared" si="8"/>
        <v>#VALUE!</v>
      </c>
    </row>
    <row r="110" spans="2:5" x14ac:dyDescent="0.25">
      <c r="B110" s="118">
        <v>2014</v>
      </c>
      <c r="C110" s="119" t="s">
        <v>229</v>
      </c>
      <c r="D110" s="120" t="e">
        <f t="shared" si="8"/>
        <v>#VALUE!</v>
      </c>
    </row>
    <row r="111" spans="2:5" x14ac:dyDescent="0.25">
      <c r="B111" s="118">
        <v>2013</v>
      </c>
      <c r="C111" s="119" t="s">
        <v>229</v>
      </c>
      <c r="D111" s="120" t="e">
        <f t="shared" si="8"/>
        <v>#VALUE!</v>
      </c>
    </row>
    <row r="112" spans="2:5" x14ac:dyDescent="0.25">
      <c r="B112" s="118">
        <v>2012</v>
      </c>
      <c r="C112" s="119" t="s">
        <v>229</v>
      </c>
      <c r="D112" s="120" t="e">
        <f t="shared" si="8"/>
        <v>#VALUE!</v>
      </c>
    </row>
    <row r="113" spans="2:4" x14ac:dyDescent="0.25">
      <c r="B113" s="118">
        <v>2011</v>
      </c>
      <c r="C113" s="119" t="s">
        <v>229</v>
      </c>
      <c r="D113" s="120" t="e">
        <f t="shared" si="8"/>
        <v>#VALUE!</v>
      </c>
    </row>
    <row r="114" spans="2:4" x14ac:dyDescent="0.25">
      <c r="B114" s="118">
        <v>2010</v>
      </c>
      <c r="C114" s="119" t="s">
        <v>229</v>
      </c>
      <c r="D114" s="120"/>
    </row>
    <row r="115" spans="2:4" ht="6" customHeight="1" x14ac:dyDescent="0.25"/>
    <row r="116" spans="2:4" x14ac:dyDescent="0.25">
      <c r="B116" s="107" t="s">
        <v>57</v>
      </c>
      <c r="C116" s="107"/>
      <c r="D116" s="107"/>
    </row>
  </sheetData>
  <mergeCells count="10">
    <mergeCell ref="B73:D73"/>
    <mergeCell ref="C75:D75"/>
    <mergeCell ref="B96:D96"/>
    <mergeCell ref="C98:D98"/>
    <mergeCell ref="B4:D4"/>
    <mergeCell ref="C6:D6"/>
    <mergeCell ref="B27:D27"/>
    <mergeCell ref="C29:D29"/>
    <mergeCell ref="B50:D50"/>
    <mergeCell ref="C52:D5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FBA08-59E8-45AA-A10F-206EB3A56BDA}">
  <sheetPr>
    <tabColor theme="7" tint="0.79998168889431442"/>
  </sheetPr>
  <dimension ref="A1:V59"/>
  <sheetViews>
    <sheetView showGridLines="0" workbookViewId="0"/>
  </sheetViews>
  <sheetFormatPr baseColWidth="10" defaultRowHeight="15" x14ac:dyDescent="0.25"/>
  <cols>
    <col min="1" max="1" width="15.5703125" customWidth="1"/>
    <col min="2" max="2" width="27.42578125" customWidth="1"/>
    <col min="3" max="8" width="12.85546875" customWidth="1"/>
    <col min="9" max="10" width="9.7109375" customWidth="1"/>
    <col min="11" max="11" width="12.28515625" customWidth="1"/>
    <col min="17" max="18" width="11.42578125" customWidth="1"/>
    <col min="19" max="20" width="10.42578125" customWidth="1"/>
    <col min="21" max="21" width="11.140625" customWidth="1"/>
    <col min="22" max="22" width="10.42578125" customWidth="1"/>
  </cols>
  <sheetData>
    <row r="1" spans="1:22" ht="42.75" customHeight="1" x14ac:dyDescent="0.25"/>
    <row r="2" spans="1:22" ht="24" x14ac:dyDescent="0.4">
      <c r="B2" s="129"/>
      <c r="C2" s="129"/>
      <c r="D2" s="129"/>
      <c r="E2" s="129"/>
      <c r="F2" s="129"/>
    </row>
    <row r="3" spans="1:22" ht="40.5" customHeight="1" thickBot="1" x14ac:dyDescent="0.3">
      <c r="B3" s="66" t="s">
        <v>145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2" ht="8.25" customHeight="1" thickBot="1" x14ac:dyDescent="0.3">
      <c r="B4" s="85"/>
      <c r="C4" s="85"/>
      <c r="D4" s="85"/>
      <c r="E4" s="85"/>
      <c r="F4" s="85"/>
      <c r="G4" s="85"/>
      <c r="H4" s="85"/>
      <c r="I4" s="85"/>
      <c r="J4" s="86"/>
      <c r="K4" s="85"/>
      <c r="L4" s="85"/>
      <c r="M4" s="85"/>
      <c r="N4" s="85"/>
      <c r="O4" s="85"/>
      <c r="P4" s="85"/>
      <c r="Q4" s="85"/>
      <c r="R4" s="86"/>
      <c r="S4" s="86"/>
      <c r="T4" s="86"/>
      <c r="U4" s="86"/>
      <c r="V4" s="86"/>
    </row>
    <row r="5" spans="1:22" ht="60.75" thickBot="1" x14ac:dyDescent="0.3">
      <c r="B5" s="87"/>
      <c r="C5" s="130" t="s">
        <v>257</v>
      </c>
      <c r="D5" s="130" t="s">
        <v>230</v>
      </c>
      <c r="E5" s="130" t="s">
        <v>231</v>
      </c>
      <c r="F5" s="130" t="s">
        <v>232</v>
      </c>
      <c r="G5" s="130" t="s">
        <v>233</v>
      </c>
      <c r="H5" s="130" t="s">
        <v>234</v>
      </c>
      <c r="I5" s="131" t="str">
        <f>CONCATENATE("var. ",RIGHT(H5,2),"/",RIGHT(G5,2))</f>
        <v>var. 25/24</v>
      </c>
      <c r="J5" s="131" t="str">
        <f>CONCATENATE("dif. ",RIGHT(H5,2),"/",RIGHT(G5,2))</f>
        <v>dif. 25/24</v>
      </c>
      <c r="K5" s="14" t="str">
        <f>CONCATENATE("cuota ",H5)</f>
        <v>cuota acumulado a junio 2025</v>
      </c>
      <c r="L5" s="14" t="str">
        <f>CONCATENATE("cuota/ total municipio ",RIGHT(H5,2))</f>
        <v>cuota/ total municipio 25</v>
      </c>
      <c r="M5" s="13" t="s">
        <v>258</v>
      </c>
      <c r="N5" s="13" t="s">
        <v>224</v>
      </c>
      <c r="O5" s="13" t="s">
        <v>225</v>
      </c>
      <c r="P5" s="13" t="s">
        <v>226</v>
      </c>
      <c r="Q5" s="13" t="s">
        <v>227</v>
      </c>
      <c r="R5" s="13" t="s">
        <v>228</v>
      </c>
      <c r="S5" s="131" t="str">
        <f>CONCATENATE("var. ",RIGHT(R5,2),"/",RIGHT(Q5,2))</f>
        <v>var. 25/24</v>
      </c>
      <c r="T5" s="131" t="str">
        <f>CONCATENATE("dif. ",RIGHT(R5,2),"/",RIGHT(Q5,2))</f>
        <v>dif. 25/24</v>
      </c>
      <c r="U5" s="14" t="str">
        <f>CONCATENATE("cuota ",R5)</f>
        <v>cuota junio 2025</v>
      </c>
      <c r="V5" s="132" t="str">
        <f>CONCATENATE("cuota/ total municipio ",RIGHT(R5,2))</f>
        <v>cuota/ total municipio 25</v>
      </c>
    </row>
    <row r="6" spans="1:22" ht="15.75" x14ac:dyDescent="0.25">
      <c r="B6" s="133" t="s">
        <v>45</v>
      </c>
      <c r="C6" s="134">
        <v>953043</v>
      </c>
      <c r="D6" s="134">
        <v>520786</v>
      </c>
      <c r="E6" s="134">
        <v>2203401</v>
      </c>
      <c r="F6" s="134">
        <v>2523398</v>
      </c>
      <c r="G6" s="134">
        <v>2685619</v>
      </c>
      <c r="H6" s="134">
        <v>2666692</v>
      </c>
      <c r="I6" s="135">
        <f>IFERROR(H6/G6-1,"-")</f>
        <v>-7.0475372716680695E-3</v>
      </c>
      <c r="J6" s="134">
        <f>IFERROR(H6-G6,"-")</f>
        <v>-18927</v>
      </c>
      <c r="K6" s="135">
        <f t="shared" ref="K6:K57" si="0">IFERROR(H6/$H$6,"-")</f>
        <v>1</v>
      </c>
      <c r="L6" s="136">
        <f>H6/H6</f>
        <v>1</v>
      </c>
      <c r="M6" s="134">
        <v>4661</v>
      </c>
      <c r="N6" s="134">
        <v>142483</v>
      </c>
      <c r="O6" s="134">
        <v>381871</v>
      </c>
      <c r="P6" s="134">
        <v>431303</v>
      </c>
      <c r="Q6" s="134">
        <v>446421</v>
      </c>
      <c r="R6" s="134">
        <v>437805</v>
      </c>
      <c r="S6" s="135">
        <f>IFERROR(R6/Q6-1,"-")</f>
        <v>-1.9300167330837947E-2</v>
      </c>
      <c r="T6" s="134">
        <f t="shared" ref="T6:T57" si="1">R6-Q6</f>
        <v>-8616</v>
      </c>
      <c r="U6" s="135">
        <f>IFERROR(P6/$P$6,"-")</f>
        <v>1</v>
      </c>
      <c r="V6" s="136">
        <f>IFERROR(R6/R6,"-")</f>
        <v>1</v>
      </c>
    </row>
    <row r="7" spans="1:22" ht="15.75" x14ac:dyDescent="0.25">
      <c r="B7" s="137" t="s">
        <v>62</v>
      </c>
      <c r="C7" s="138">
        <v>724591</v>
      </c>
      <c r="D7" s="138">
        <v>400632</v>
      </c>
      <c r="E7" s="138">
        <v>1755213</v>
      </c>
      <c r="F7" s="138">
        <v>1992209</v>
      </c>
      <c r="G7" s="138">
        <v>2100816</v>
      </c>
      <c r="H7" s="138">
        <v>2057357</v>
      </c>
      <c r="I7" s="139">
        <f t="shared" ref="I7:I57" si="2">IFERROR(H7/G7-1,"-")</f>
        <v>-2.0686723635006565E-2</v>
      </c>
      <c r="J7" s="138">
        <f t="shared" ref="J7:J57" si="3">IFERROR(H7-G7,"-")</f>
        <v>-43459</v>
      </c>
      <c r="K7" s="139">
        <f t="shared" si="0"/>
        <v>0.77150154573531549</v>
      </c>
      <c r="L7" s="139">
        <f>H7/H6</f>
        <v>0.77150154573531549</v>
      </c>
      <c r="M7" s="138">
        <v>0</v>
      </c>
      <c r="N7" s="138">
        <v>111793</v>
      </c>
      <c r="O7" s="138">
        <v>305537</v>
      </c>
      <c r="P7" s="138">
        <v>337785</v>
      </c>
      <c r="Q7" s="138">
        <v>348451</v>
      </c>
      <c r="R7" s="138">
        <v>333209</v>
      </c>
      <c r="S7" s="139">
        <f t="shared" ref="S7:S57" si="4">IFERROR(R7/Q7-1,"-")</f>
        <v>-4.3742161738666296E-2</v>
      </c>
      <c r="T7" s="138">
        <f t="shared" si="1"/>
        <v>-15242</v>
      </c>
      <c r="U7" s="139">
        <f t="shared" ref="U7:U57" si="5">IFERROR(P7/$P$6,"-")</f>
        <v>0.78317331435209125</v>
      </c>
      <c r="V7" s="139">
        <f>IFERROR(R7/R6,"-")</f>
        <v>0.76108998298329167</v>
      </c>
    </row>
    <row r="8" spans="1:22" x14ac:dyDescent="0.25">
      <c r="B8" s="99" t="s">
        <v>142</v>
      </c>
      <c r="C8" s="53">
        <v>575900</v>
      </c>
      <c r="D8" s="53">
        <v>317849</v>
      </c>
      <c r="E8" s="53">
        <v>1440620</v>
      </c>
      <c r="F8" s="53">
        <v>1617630</v>
      </c>
      <c r="G8" s="53">
        <v>1727598</v>
      </c>
      <c r="H8" s="53">
        <v>1684575</v>
      </c>
      <c r="I8" s="100">
        <f t="shared" si="2"/>
        <v>-2.4903362935127293E-2</v>
      </c>
      <c r="J8" s="53">
        <f t="shared" si="3"/>
        <v>-43023</v>
      </c>
      <c r="K8" s="100">
        <f t="shared" si="0"/>
        <v>0.63170962375857431</v>
      </c>
      <c r="L8" s="100">
        <f>H8/H6</f>
        <v>0.63170962375857431</v>
      </c>
      <c r="M8" s="53">
        <v>0</v>
      </c>
      <c r="N8" s="53">
        <v>91326</v>
      </c>
      <c r="O8" s="53">
        <v>253229</v>
      </c>
      <c r="P8" s="53">
        <v>277365</v>
      </c>
      <c r="Q8" s="53">
        <v>286036</v>
      </c>
      <c r="R8" s="53">
        <v>272691</v>
      </c>
      <c r="S8" s="100">
        <f t="shared" si="4"/>
        <v>-4.6654966507712281E-2</v>
      </c>
      <c r="T8" s="53">
        <f t="shared" si="1"/>
        <v>-13345</v>
      </c>
      <c r="U8" s="100">
        <f t="shared" si="5"/>
        <v>0.64308618303141873</v>
      </c>
      <c r="V8" s="100">
        <f>IFERROR(R8/R6,"-")</f>
        <v>0.62285949223969572</v>
      </c>
    </row>
    <row r="9" spans="1:22" x14ac:dyDescent="0.25">
      <c r="B9" s="99" t="s">
        <v>144</v>
      </c>
      <c r="C9" s="53">
        <v>148691</v>
      </c>
      <c r="D9" s="53">
        <v>82783</v>
      </c>
      <c r="E9" s="53">
        <v>314593</v>
      </c>
      <c r="F9" s="53">
        <v>374579</v>
      </c>
      <c r="G9" s="53">
        <v>373218</v>
      </c>
      <c r="H9" s="53">
        <v>372782</v>
      </c>
      <c r="I9" s="100">
        <f t="shared" si="2"/>
        <v>-1.1682180387869723E-3</v>
      </c>
      <c r="J9" s="53">
        <f t="shared" si="3"/>
        <v>-436</v>
      </c>
      <c r="K9" s="100">
        <f t="shared" si="0"/>
        <v>0.13979192197674123</v>
      </c>
      <c r="L9" s="100">
        <f>H9/H6</f>
        <v>0.13979192197674123</v>
      </c>
      <c r="M9" s="53">
        <v>0</v>
      </c>
      <c r="N9" s="53">
        <v>20467</v>
      </c>
      <c r="O9" s="53">
        <v>52308</v>
      </c>
      <c r="P9" s="53">
        <v>60420</v>
      </c>
      <c r="Q9" s="53">
        <v>62415</v>
      </c>
      <c r="R9" s="53">
        <v>60518</v>
      </c>
      <c r="S9" s="100">
        <f t="shared" si="4"/>
        <v>-3.0393334935512328E-2</v>
      </c>
      <c r="T9" s="53">
        <f t="shared" si="1"/>
        <v>-1897</v>
      </c>
      <c r="U9" s="100">
        <f t="shared" si="5"/>
        <v>0.14008713132067246</v>
      </c>
      <c r="V9" s="100">
        <f>IFERROR(R9/R6,"-")</f>
        <v>0.13823049074359589</v>
      </c>
    </row>
    <row r="10" spans="1:22" ht="16.5" thickBot="1" x14ac:dyDescent="0.3">
      <c r="B10" s="140" t="s">
        <v>65</v>
      </c>
      <c r="C10" s="141">
        <v>222725</v>
      </c>
      <c r="D10" s="141">
        <v>120154</v>
      </c>
      <c r="E10" s="141">
        <v>448188</v>
      </c>
      <c r="F10" s="141">
        <v>531189</v>
      </c>
      <c r="G10" s="141">
        <v>584803</v>
      </c>
      <c r="H10" s="141">
        <v>609335</v>
      </c>
      <c r="I10" s="142">
        <f t="shared" si="2"/>
        <v>4.1949169207408321E-2</v>
      </c>
      <c r="J10" s="141">
        <f t="shared" si="3"/>
        <v>24532</v>
      </c>
      <c r="K10" s="142">
        <f t="shared" si="0"/>
        <v>0.22849845426468449</v>
      </c>
      <c r="L10" s="142">
        <f>H10/H6</f>
        <v>0.22849845426468449</v>
      </c>
      <c r="M10" s="141">
        <v>0</v>
      </c>
      <c r="N10" s="141">
        <v>30690</v>
      </c>
      <c r="O10" s="141">
        <v>76334</v>
      </c>
      <c r="P10" s="141">
        <v>93518</v>
      </c>
      <c r="Q10" s="141">
        <v>97970</v>
      </c>
      <c r="R10" s="141">
        <v>104596</v>
      </c>
      <c r="S10" s="142">
        <f t="shared" si="4"/>
        <v>6.7632948861896525E-2</v>
      </c>
      <c r="T10" s="141">
        <f t="shared" si="1"/>
        <v>6626</v>
      </c>
      <c r="U10" s="142">
        <f t="shared" si="5"/>
        <v>0.21682668564790877</v>
      </c>
      <c r="V10" s="142">
        <f>IFERROR(R10/R6,"-")</f>
        <v>0.23891001701670836</v>
      </c>
    </row>
    <row r="11" spans="1:22" ht="15.75" x14ac:dyDescent="0.25">
      <c r="A11" s="143">
        <f>G11/$G$11</f>
        <v>1</v>
      </c>
      <c r="B11" s="133" t="s">
        <v>46</v>
      </c>
      <c r="C11" s="134">
        <v>344170</v>
      </c>
      <c r="D11" s="134">
        <v>187853</v>
      </c>
      <c r="E11" s="134">
        <v>828210</v>
      </c>
      <c r="F11" s="134">
        <v>916045</v>
      </c>
      <c r="G11" s="134">
        <v>958917</v>
      </c>
      <c r="H11" s="134">
        <v>917365</v>
      </c>
      <c r="I11" s="135">
        <f t="shared" si="2"/>
        <v>-4.3332217491190539E-2</v>
      </c>
      <c r="J11" s="134">
        <f t="shared" si="3"/>
        <v>-41552</v>
      </c>
      <c r="K11" s="135">
        <f t="shared" si="0"/>
        <v>0.34400860691823426</v>
      </c>
      <c r="L11" s="136">
        <f>H11/H11</f>
        <v>1</v>
      </c>
      <c r="M11" s="134">
        <v>0</v>
      </c>
      <c r="N11" s="134">
        <v>53539</v>
      </c>
      <c r="O11" s="134">
        <v>144989</v>
      </c>
      <c r="P11" s="134">
        <v>157350</v>
      </c>
      <c r="Q11" s="134">
        <v>157065</v>
      </c>
      <c r="R11" s="134">
        <v>145993</v>
      </c>
      <c r="S11" s="135">
        <f t="shared" si="4"/>
        <v>-7.0493107948938372E-2</v>
      </c>
      <c r="T11" s="134">
        <f t="shared" si="1"/>
        <v>-11072</v>
      </c>
      <c r="U11" s="135">
        <f t="shared" si="5"/>
        <v>0.36482472878695488</v>
      </c>
      <c r="V11" s="136">
        <f>IFERROR(R11/R11,"-")</f>
        <v>1</v>
      </c>
    </row>
    <row r="12" spans="1:22" ht="15.75" x14ac:dyDescent="0.25">
      <c r="A12" s="143">
        <f>G12/$G$11</f>
        <v>0.81552000850959994</v>
      </c>
      <c r="B12" s="137" t="s">
        <v>62</v>
      </c>
      <c r="C12" s="138">
        <v>279824</v>
      </c>
      <c r="D12" s="138">
        <v>151180</v>
      </c>
      <c r="E12" s="138">
        <v>713676</v>
      </c>
      <c r="F12" s="138">
        <v>751148</v>
      </c>
      <c r="G12" s="138">
        <v>782016</v>
      </c>
      <c r="H12" s="138">
        <v>735111</v>
      </c>
      <c r="I12" s="139">
        <f t="shared" si="2"/>
        <v>-5.9979591210409966E-2</v>
      </c>
      <c r="J12" s="138">
        <f t="shared" si="3"/>
        <v>-46905</v>
      </c>
      <c r="K12" s="139">
        <f t="shared" si="0"/>
        <v>0.2756640061919412</v>
      </c>
      <c r="L12" s="139">
        <f>H12/H11</f>
        <v>0.80132880587334376</v>
      </c>
      <c r="M12" s="138">
        <v>0</v>
      </c>
      <c r="N12" s="138">
        <v>44847</v>
      </c>
      <c r="O12" s="138">
        <v>123799</v>
      </c>
      <c r="P12" s="138">
        <v>127951</v>
      </c>
      <c r="Q12" s="138">
        <v>129241</v>
      </c>
      <c r="R12" s="138">
        <v>115607</v>
      </c>
      <c r="S12" s="139">
        <f t="shared" si="4"/>
        <v>-0.10549283895977279</v>
      </c>
      <c r="T12" s="138">
        <f t="shared" si="1"/>
        <v>-13634</v>
      </c>
      <c r="U12" s="139">
        <f t="shared" si="5"/>
        <v>0.29666151174464356</v>
      </c>
      <c r="V12" s="139">
        <f>IFERROR(R12/R11,"-")</f>
        <v>0.79186673333652979</v>
      </c>
    </row>
    <row r="13" spans="1:22" x14ac:dyDescent="0.25">
      <c r="A13" s="143">
        <f>G13/$G$11</f>
        <v>0.735353529033274</v>
      </c>
      <c r="B13" s="99" t="s">
        <v>142</v>
      </c>
      <c r="C13" s="53">
        <v>243977</v>
      </c>
      <c r="D13" s="53">
        <v>147521</v>
      </c>
      <c r="E13" s="53">
        <v>638621</v>
      </c>
      <c r="F13" s="53">
        <v>669357</v>
      </c>
      <c r="G13" s="53">
        <v>705143</v>
      </c>
      <c r="H13" s="53">
        <v>656124</v>
      </c>
      <c r="I13" s="100">
        <f t="shared" si="2"/>
        <v>-6.9516395965073752E-2</v>
      </c>
      <c r="J13" s="53">
        <f t="shared" si="3"/>
        <v>-49019</v>
      </c>
      <c r="K13" s="100">
        <f t="shared" si="0"/>
        <v>0.24604416258045547</v>
      </c>
      <c r="L13" s="100">
        <f>H13/H11</f>
        <v>0.71522676361099458</v>
      </c>
      <c r="M13" s="53">
        <v>0</v>
      </c>
      <c r="N13" s="53">
        <v>43303</v>
      </c>
      <c r="O13" s="53">
        <v>110209</v>
      </c>
      <c r="P13" s="53">
        <v>114600</v>
      </c>
      <c r="Q13" s="53">
        <v>117142</v>
      </c>
      <c r="R13" s="53">
        <v>102220</v>
      </c>
      <c r="S13" s="100">
        <f t="shared" si="4"/>
        <v>-0.12738385890628467</v>
      </c>
      <c r="T13" s="53">
        <f t="shared" si="1"/>
        <v>-14922</v>
      </c>
      <c r="U13" s="100">
        <f t="shared" si="5"/>
        <v>0.26570647549402626</v>
      </c>
      <c r="V13" s="100">
        <f>IFERROR(R13/R11,"-")</f>
        <v>0.70017055612255386</v>
      </c>
    </row>
    <row r="14" spans="1:22" x14ac:dyDescent="0.25">
      <c r="A14" s="143">
        <f>G14/$G$11</f>
        <v>8.0166479476325894E-2</v>
      </c>
      <c r="B14" s="99" t="s">
        <v>144</v>
      </c>
      <c r="C14" s="53">
        <v>35847</v>
      </c>
      <c r="D14" s="53">
        <v>3659</v>
      </c>
      <c r="E14" s="53">
        <v>75055</v>
      </c>
      <c r="F14" s="53">
        <v>81791</v>
      </c>
      <c r="G14" s="53">
        <v>76873</v>
      </c>
      <c r="H14" s="53">
        <v>78987</v>
      </c>
      <c r="I14" s="100">
        <f t="shared" si="2"/>
        <v>2.7499902436486146E-2</v>
      </c>
      <c r="J14" s="53">
        <f t="shared" si="3"/>
        <v>2114</v>
      </c>
      <c r="K14" s="100">
        <f t="shared" si="0"/>
        <v>2.9619843611485692E-2</v>
      </c>
      <c r="L14" s="100">
        <f>H14/H11</f>
        <v>8.6102042262349229E-2</v>
      </c>
      <c r="M14" s="53">
        <v>0</v>
      </c>
      <c r="N14" s="53">
        <v>1544</v>
      </c>
      <c r="O14" s="53">
        <v>13590</v>
      </c>
      <c r="P14" s="53">
        <v>13351</v>
      </c>
      <c r="Q14" s="53">
        <v>12099</v>
      </c>
      <c r="R14" s="53">
        <v>13387</v>
      </c>
      <c r="S14" s="100">
        <f t="shared" si="4"/>
        <v>0.10645507893214323</v>
      </c>
      <c r="T14" s="53">
        <f t="shared" si="1"/>
        <v>1288</v>
      </c>
      <c r="U14" s="100">
        <f t="shared" si="5"/>
        <v>3.0955036250617317E-2</v>
      </c>
      <c r="V14" s="100">
        <f>IFERROR(R14/R11,"-")</f>
        <v>9.1696177213976007E-2</v>
      </c>
    </row>
    <row r="15" spans="1:22" ht="16.5" thickBot="1" x14ac:dyDescent="0.3">
      <c r="A15" s="143">
        <f>G15/$G$11</f>
        <v>0.18447999149040012</v>
      </c>
      <c r="B15" s="140" t="s">
        <v>65</v>
      </c>
      <c r="C15" s="141">
        <v>64346</v>
      </c>
      <c r="D15" s="141">
        <v>36673</v>
      </c>
      <c r="E15" s="141">
        <v>114534</v>
      </c>
      <c r="F15" s="141">
        <v>164897</v>
      </c>
      <c r="G15" s="141">
        <v>176901</v>
      </c>
      <c r="H15" s="141">
        <v>182254</v>
      </c>
      <c r="I15" s="142">
        <f t="shared" si="2"/>
        <v>3.0259862861148346E-2</v>
      </c>
      <c r="J15" s="141">
        <f t="shared" si="3"/>
        <v>5353</v>
      </c>
      <c r="K15" s="142">
        <f t="shared" si="0"/>
        <v>6.83446007262931E-2</v>
      </c>
      <c r="L15" s="142">
        <f>H15/H11</f>
        <v>0.19867119412665624</v>
      </c>
      <c r="M15" s="141">
        <v>0</v>
      </c>
      <c r="N15" s="141">
        <v>8692</v>
      </c>
      <c r="O15" s="141">
        <v>21190</v>
      </c>
      <c r="P15" s="141">
        <v>29399</v>
      </c>
      <c r="Q15" s="141">
        <v>27824</v>
      </c>
      <c r="R15" s="141">
        <v>30386</v>
      </c>
      <c r="S15" s="142">
        <f t="shared" si="4"/>
        <v>9.2078780908568136E-2</v>
      </c>
      <c r="T15" s="141">
        <f t="shared" si="1"/>
        <v>2562</v>
      </c>
      <c r="U15" s="142">
        <f t="shared" si="5"/>
        <v>6.8163217042311319E-2</v>
      </c>
      <c r="V15" s="142">
        <f>IFERROR(R15/R11,"-")</f>
        <v>0.20813326666347018</v>
      </c>
    </row>
    <row r="16" spans="1:22" ht="15.75" x14ac:dyDescent="0.25">
      <c r="A16" s="81"/>
      <c r="B16" s="133" t="s">
        <v>47</v>
      </c>
      <c r="C16" s="134">
        <v>249277</v>
      </c>
      <c r="D16" s="134">
        <v>81359</v>
      </c>
      <c r="E16" s="134">
        <v>573119</v>
      </c>
      <c r="F16" s="134">
        <v>637900</v>
      </c>
      <c r="G16" s="134">
        <v>674898</v>
      </c>
      <c r="H16" s="134">
        <v>696244</v>
      </c>
      <c r="I16" s="135">
        <f t="shared" si="2"/>
        <v>3.1628483118930628E-2</v>
      </c>
      <c r="J16" s="134">
        <f t="shared" si="3"/>
        <v>21346</v>
      </c>
      <c r="K16" s="135">
        <f t="shared" si="0"/>
        <v>0.2610890196543133</v>
      </c>
      <c r="L16" s="136">
        <f>H16/H16</f>
        <v>1</v>
      </c>
      <c r="M16" s="134">
        <v>0</v>
      </c>
      <c r="N16" s="134">
        <v>21147</v>
      </c>
      <c r="O16" s="134">
        <v>99145</v>
      </c>
      <c r="P16" s="134">
        <v>109784</v>
      </c>
      <c r="Q16" s="134">
        <v>113390</v>
      </c>
      <c r="R16" s="134">
        <v>117164</v>
      </c>
      <c r="S16" s="135">
        <f t="shared" si="4"/>
        <v>3.3283358320839618E-2</v>
      </c>
      <c r="T16" s="134">
        <f t="shared" si="1"/>
        <v>3774</v>
      </c>
      <c r="U16" s="135">
        <f t="shared" si="5"/>
        <v>0.25454031156750589</v>
      </c>
      <c r="V16" s="136">
        <f>IFERROR(R16/R16,"-")</f>
        <v>1</v>
      </c>
    </row>
    <row r="17" spans="2:22" ht="15.75" x14ac:dyDescent="0.25">
      <c r="B17" s="137" t="s">
        <v>62</v>
      </c>
      <c r="C17" s="138">
        <v>147106</v>
      </c>
      <c r="D17" s="138">
        <v>23957</v>
      </c>
      <c r="E17" s="138">
        <v>339898</v>
      </c>
      <c r="F17" s="138">
        <v>391097</v>
      </c>
      <c r="G17" s="138">
        <v>412779</v>
      </c>
      <c r="H17" s="138">
        <v>427725</v>
      </c>
      <c r="I17" s="139">
        <f t="shared" si="2"/>
        <v>3.6208237337655325E-2</v>
      </c>
      <c r="J17" s="138">
        <f t="shared" si="3"/>
        <v>14946</v>
      </c>
      <c r="K17" s="139">
        <f t="shared" si="0"/>
        <v>0.16039535124416318</v>
      </c>
      <c r="L17" s="139">
        <f>H17/H16</f>
        <v>0.6143320445131305</v>
      </c>
      <c r="M17" s="138">
        <v>0</v>
      </c>
      <c r="N17" s="138">
        <v>7554</v>
      </c>
      <c r="O17" s="138">
        <v>62022</v>
      </c>
      <c r="P17" s="138">
        <v>67287</v>
      </c>
      <c r="Q17" s="138">
        <v>70894</v>
      </c>
      <c r="R17" s="138">
        <v>72569</v>
      </c>
      <c r="S17" s="139">
        <f t="shared" si="4"/>
        <v>2.3626823144412779E-2</v>
      </c>
      <c r="T17" s="138">
        <f t="shared" si="1"/>
        <v>1675</v>
      </c>
      <c r="U17" s="139">
        <f t="shared" si="5"/>
        <v>0.15600865284962079</v>
      </c>
      <c r="V17" s="139">
        <f>IFERROR(R17/R16,"-")</f>
        <v>0.61937967293707963</v>
      </c>
    </row>
    <row r="18" spans="2:22" x14ac:dyDescent="0.25">
      <c r="B18" s="99" t="s">
        <v>142</v>
      </c>
      <c r="C18" s="53">
        <v>107490</v>
      </c>
      <c r="D18" s="53">
        <v>19317</v>
      </c>
      <c r="E18" s="53">
        <v>257587</v>
      </c>
      <c r="F18" s="53">
        <v>292456</v>
      </c>
      <c r="G18" s="53">
        <v>311918</v>
      </c>
      <c r="H18" s="53">
        <v>332717</v>
      </c>
      <c r="I18" s="100">
        <f t="shared" si="2"/>
        <v>6.668098666957345E-2</v>
      </c>
      <c r="J18" s="53">
        <f t="shared" si="3"/>
        <v>20799</v>
      </c>
      <c r="K18" s="100">
        <f t="shared" si="0"/>
        <v>0.12476768970694778</v>
      </c>
      <c r="L18" s="100">
        <f>H18/H16</f>
        <v>0.47787413607873103</v>
      </c>
      <c r="M18" s="53">
        <v>0</v>
      </c>
      <c r="N18" s="53">
        <v>5683</v>
      </c>
      <c r="O18" s="53">
        <v>46624</v>
      </c>
      <c r="P18" s="53">
        <v>50600</v>
      </c>
      <c r="Q18" s="53">
        <v>52676</v>
      </c>
      <c r="R18" s="53">
        <v>57563</v>
      </c>
      <c r="S18" s="100">
        <f t="shared" si="4"/>
        <v>9.2774698154757473E-2</v>
      </c>
      <c r="T18" s="53">
        <f t="shared" si="1"/>
        <v>4887</v>
      </c>
      <c r="U18" s="100">
        <f t="shared" si="5"/>
        <v>0.11731891500870617</v>
      </c>
      <c r="V18" s="100">
        <f>IFERROR(R18/R16,"-")</f>
        <v>0.49130278925267146</v>
      </c>
    </row>
    <row r="19" spans="2:22" x14ac:dyDescent="0.25">
      <c r="B19" s="99" t="s">
        <v>144</v>
      </c>
      <c r="C19" s="53">
        <v>39616</v>
      </c>
      <c r="D19" s="53">
        <v>4640</v>
      </c>
      <c r="E19" s="53">
        <v>82311</v>
      </c>
      <c r="F19" s="53">
        <v>98641</v>
      </c>
      <c r="G19" s="53">
        <v>100861</v>
      </c>
      <c r="H19" s="53">
        <v>95008</v>
      </c>
      <c r="I19" s="100">
        <f t="shared" si="2"/>
        <v>-5.8030358612347732E-2</v>
      </c>
      <c r="J19" s="53">
        <f t="shared" si="3"/>
        <v>-5853</v>
      </c>
      <c r="K19" s="100">
        <f t="shared" si="0"/>
        <v>3.5627661537215395E-2</v>
      </c>
      <c r="L19" s="100">
        <f>H19/H16</f>
        <v>0.13645790843439942</v>
      </c>
      <c r="M19" s="53">
        <v>0</v>
      </c>
      <c r="N19" s="53">
        <v>1871</v>
      </c>
      <c r="O19" s="53">
        <v>15398</v>
      </c>
      <c r="P19" s="53">
        <v>16687</v>
      </c>
      <c r="Q19" s="53">
        <v>18218</v>
      </c>
      <c r="R19" s="53">
        <v>15006</v>
      </c>
      <c r="S19" s="100">
        <f t="shared" si="4"/>
        <v>-0.17630914480184434</v>
      </c>
      <c r="T19" s="53">
        <f t="shared" si="1"/>
        <v>-3212</v>
      </c>
      <c r="U19" s="100">
        <f t="shared" si="5"/>
        <v>3.8689737840914624E-2</v>
      </c>
      <c r="V19" s="100">
        <f>IFERROR(R19/R16,"-")</f>
        <v>0.12807688368440817</v>
      </c>
    </row>
    <row r="20" spans="2:22" ht="16.5" thickBot="1" x14ac:dyDescent="0.3">
      <c r="B20" s="140" t="s">
        <v>65</v>
      </c>
      <c r="C20" s="141">
        <v>102171</v>
      </c>
      <c r="D20" s="141">
        <v>57402</v>
      </c>
      <c r="E20" s="141">
        <v>233221</v>
      </c>
      <c r="F20" s="141">
        <v>246803</v>
      </c>
      <c r="G20" s="141">
        <v>262119</v>
      </c>
      <c r="H20" s="141">
        <v>268519</v>
      </c>
      <c r="I20" s="142">
        <f t="shared" si="2"/>
        <v>2.4416391028502238E-2</v>
      </c>
      <c r="J20" s="141">
        <f t="shared" si="3"/>
        <v>6400</v>
      </c>
      <c r="K20" s="142">
        <f t="shared" si="0"/>
        <v>0.10069366841015011</v>
      </c>
      <c r="L20" s="142">
        <f>H20/H16</f>
        <v>0.38566795548686955</v>
      </c>
      <c r="M20" s="141">
        <v>0</v>
      </c>
      <c r="N20" s="141">
        <v>13593</v>
      </c>
      <c r="O20" s="141">
        <v>37123</v>
      </c>
      <c r="P20" s="141">
        <v>42497</v>
      </c>
      <c r="Q20" s="141">
        <v>42496</v>
      </c>
      <c r="R20" s="141">
        <v>44595</v>
      </c>
      <c r="S20" s="142">
        <f t="shared" si="4"/>
        <v>4.9392884036144613E-2</v>
      </c>
      <c r="T20" s="141">
        <f t="shared" si="1"/>
        <v>2099</v>
      </c>
      <c r="U20" s="142">
        <f t="shared" si="5"/>
        <v>9.8531658717885107E-2</v>
      </c>
      <c r="V20" s="142">
        <f>IFERROR(R20/R16,"-")</f>
        <v>0.38062032706292037</v>
      </c>
    </row>
    <row r="21" spans="2:22" ht="15.75" x14ac:dyDescent="0.25">
      <c r="B21" s="133" t="s">
        <v>48</v>
      </c>
      <c r="C21" s="134">
        <v>10070</v>
      </c>
      <c r="D21" s="134">
        <v>5058</v>
      </c>
      <c r="E21" s="134">
        <v>16823</v>
      </c>
      <c r="F21" s="134">
        <v>27446</v>
      </c>
      <c r="G21" s="134">
        <v>23231</v>
      </c>
      <c r="H21" s="134">
        <v>21785</v>
      </c>
      <c r="I21" s="135">
        <f t="shared" si="2"/>
        <v>-6.2244414790581515E-2</v>
      </c>
      <c r="J21" s="134">
        <f t="shared" si="3"/>
        <v>-1446</v>
      </c>
      <c r="K21" s="135">
        <f t="shared" si="0"/>
        <v>8.1692973916747784E-3</v>
      </c>
      <c r="L21" s="136">
        <f>H21/H21</f>
        <v>1</v>
      </c>
      <c r="M21" s="134">
        <v>0</v>
      </c>
      <c r="N21" s="134">
        <v>1595</v>
      </c>
      <c r="O21" s="134">
        <v>2523</v>
      </c>
      <c r="P21" s="134">
        <v>3080</v>
      </c>
      <c r="Q21" s="134">
        <v>2377</v>
      </c>
      <c r="R21" s="134">
        <v>3338</v>
      </c>
      <c r="S21" s="135">
        <f t="shared" si="4"/>
        <v>0.40429112326461936</v>
      </c>
      <c r="T21" s="134">
        <f t="shared" si="1"/>
        <v>961</v>
      </c>
      <c r="U21" s="135">
        <f t="shared" si="5"/>
        <v>7.1411513483560281E-3</v>
      </c>
      <c r="V21" s="136">
        <f>IFERROR(R21/R21,"-")</f>
        <v>1</v>
      </c>
    </row>
    <row r="22" spans="2:22" ht="15.75" x14ac:dyDescent="0.25">
      <c r="B22" s="137" t="s">
        <v>62</v>
      </c>
      <c r="C22" s="138">
        <v>8192</v>
      </c>
      <c r="D22" s="138">
        <v>5058</v>
      </c>
      <c r="E22" s="138">
        <v>16823</v>
      </c>
      <c r="F22" s="138">
        <v>27125</v>
      </c>
      <c r="G22" s="138">
        <v>22938</v>
      </c>
      <c r="H22" s="138">
        <v>21490</v>
      </c>
      <c r="I22" s="139">
        <f t="shared" si="2"/>
        <v>-6.3126689336472253E-2</v>
      </c>
      <c r="J22" s="138">
        <f t="shared" si="3"/>
        <v>-1448</v>
      </c>
      <c r="K22" s="139">
        <f t="shared" si="0"/>
        <v>8.0586734426022957E-3</v>
      </c>
      <c r="L22" s="139">
        <f>H22/H21</f>
        <v>0.98645857241221024</v>
      </c>
      <c r="M22" s="138">
        <v>0</v>
      </c>
      <c r="N22" s="138">
        <v>1595</v>
      </c>
      <c r="O22" s="138">
        <v>2523</v>
      </c>
      <c r="P22" s="138">
        <v>3022</v>
      </c>
      <c r="Q22" s="138">
        <v>2354</v>
      </c>
      <c r="R22" s="138">
        <v>3330</v>
      </c>
      <c r="S22" s="139">
        <f t="shared" si="4"/>
        <v>0.4146134239592183</v>
      </c>
      <c r="T22" s="138">
        <f t="shared" si="1"/>
        <v>976</v>
      </c>
      <c r="U22" s="139">
        <f t="shared" si="5"/>
        <v>7.006675121666207E-3</v>
      </c>
      <c r="V22" s="139">
        <f>IFERROR(R22/R21,"-")</f>
        <v>0.99760335530257638</v>
      </c>
    </row>
    <row r="23" spans="2:22" x14ac:dyDescent="0.25">
      <c r="B23" s="99" t="s">
        <v>142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100" t="str">
        <f t="shared" si="2"/>
        <v>-</v>
      </c>
      <c r="J23" s="53">
        <f t="shared" si="3"/>
        <v>0</v>
      </c>
      <c r="K23" s="100">
        <f t="shared" si="0"/>
        <v>0</v>
      </c>
      <c r="L23" s="100">
        <f>H23/H21</f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100" t="str">
        <f t="shared" si="4"/>
        <v>-</v>
      </c>
      <c r="T23" s="53">
        <f t="shared" si="1"/>
        <v>0</v>
      </c>
      <c r="U23" s="100">
        <f t="shared" si="5"/>
        <v>0</v>
      </c>
      <c r="V23" s="100">
        <f>IFERROR(R23/R21,"-")</f>
        <v>0</v>
      </c>
    </row>
    <row r="24" spans="2:22" x14ac:dyDescent="0.25">
      <c r="B24" s="99" t="s">
        <v>144</v>
      </c>
      <c r="C24" s="53">
        <v>0</v>
      </c>
      <c r="D24" s="53">
        <v>3463</v>
      </c>
      <c r="E24" s="53">
        <v>0</v>
      </c>
      <c r="F24" s="53">
        <v>0</v>
      </c>
      <c r="G24" s="53">
        <v>0</v>
      </c>
      <c r="H24" s="53">
        <v>0</v>
      </c>
      <c r="I24" s="100" t="str">
        <f t="shared" si="2"/>
        <v>-</v>
      </c>
      <c r="J24" s="53">
        <f t="shared" si="3"/>
        <v>0</v>
      </c>
      <c r="K24" s="100">
        <f t="shared" si="0"/>
        <v>0</v>
      </c>
      <c r="L24" s="100">
        <f>H24/H21</f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100" t="str">
        <f t="shared" si="4"/>
        <v>-</v>
      </c>
      <c r="T24" s="53">
        <f t="shared" si="1"/>
        <v>0</v>
      </c>
      <c r="U24" s="100">
        <f t="shared" si="5"/>
        <v>0</v>
      </c>
      <c r="V24" s="100">
        <f>IFERROR(R24/R21,"-")</f>
        <v>0</v>
      </c>
    </row>
    <row r="25" spans="2:22" ht="16.5" thickBot="1" x14ac:dyDescent="0.3">
      <c r="B25" s="140" t="s">
        <v>65</v>
      </c>
      <c r="C25" s="141">
        <v>1878</v>
      </c>
      <c r="D25" s="141">
        <v>0</v>
      </c>
      <c r="E25" s="141">
        <v>0</v>
      </c>
      <c r="F25" s="141">
        <v>0</v>
      </c>
      <c r="G25" s="141">
        <v>0</v>
      </c>
      <c r="H25" s="141">
        <v>0</v>
      </c>
      <c r="I25" s="142" t="str">
        <f t="shared" si="2"/>
        <v>-</v>
      </c>
      <c r="J25" s="141">
        <f t="shared" si="3"/>
        <v>0</v>
      </c>
      <c r="K25" s="142">
        <f t="shared" si="0"/>
        <v>0</v>
      </c>
      <c r="L25" s="142">
        <f>H25/H21</f>
        <v>0</v>
      </c>
      <c r="M25" s="141">
        <v>0</v>
      </c>
      <c r="N25" s="141">
        <v>0</v>
      </c>
      <c r="O25" s="141">
        <v>0</v>
      </c>
      <c r="P25" s="141">
        <v>0</v>
      </c>
      <c r="Q25" s="141">
        <v>0</v>
      </c>
      <c r="R25" s="141">
        <v>0</v>
      </c>
      <c r="S25" s="142" t="str">
        <f t="shared" si="4"/>
        <v>-</v>
      </c>
      <c r="T25" s="141">
        <f t="shared" si="1"/>
        <v>0</v>
      </c>
      <c r="U25" s="142">
        <f t="shared" si="5"/>
        <v>0</v>
      </c>
      <c r="V25" s="142">
        <f>IFERROR(R25/R21,"-")</f>
        <v>0</v>
      </c>
    </row>
    <row r="26" spans="2:22" ht="15.75" x14ac:dyDescent="0.25">
      <c r="B26" s="133" t="s">
        <v>49</v>
      </c>
      <c r="C26" s="134">
        <v>24073</v>
      </c>
      <c r="D26" s="134">
        <v>16999</v>
      </c>
      <c r="E26" s="134">
        <v>67366</v>
      </c>
      <c r="F26" s="134">
        <v>86656</v>
      </c>
      <c r="G26" s="134">
        <v>116855</v>
      </c>
      <c r="H26" s="134">
        <v>94193</v>
      </c>
      <c r="I26" s="135">
        <f t="shared" si="2"/>
        <v>-0.19393265157674044</v>
      </c>
      <c r="J26" s="134">
        <f t="shared" si="3"/>
        <v>-22662</v>
      </c>
      <c r="K26" s="135">
        <f t="shared" si="0"/>
        <v>3.5322039440625314E-2</v>
      </c>
      <c r="L26" s="136">
        <f>H26/H26</f>
        <v>1</v>
      </c>
      <c r="M26" s="134">
        <v>0</v>
      </c>
      <c r="N26" s="134">
        <v>3302</v>
      </c>
      <c r="O26" s="134">
        <v>10420</v>
      </c>
      <c r="P26" s="134">
        <v>14934</v>
      </c>
      <c r="Q26" s="134">
        <v>16055</v>
      </c>
      <c r="R26" s="134">
        <v>16193</v>
      </c>
      <c r="S26" s="135">
        <f t="shared" si="4"/>
        <v>8.595453129865982E-3</v>
      </c>
      <c r="T26" s="134">
        <f t="shared" si="1"/>
        <v>138</v>
      </c>
      <c r="U26" s="135">
        <f t="shared" si="5"/>
        <v>3.4625309816996401E-2</v>
      </c>
      <c r="V26" s="136">
        <f>IFERROR(R26/R26,"-")</f>
        <v>1</v>
      </c>
    </row>
    <row r="27" spans="2:22" ht="15.75" x14ac:dyDescent="0.25">
      <c r="B27" s="137" t="s">
        <v>62</v>
      </c>
      <c r="C27" s="138">
        <v>23335</v>
      </c>
      <c r="D27" s="138">
        <v>16603</v>
      </c>
      <c r="E27" s="138">
        <v>62155</v>
      </c>
      <c r="F27" s="138">
        <v>82441</v>
      </c>
      <c r="G27" s="138">
        <v>96861</v>
      </c>
      <c r="H27" s="138">
        <v>75400</v>
      </c>
      <c r="I27" s="139">
        <f t="shared" si="2"/>
        <v>-0.22156492293079777</v>
      </c>
      <c r="J27" s="138">
        <f t="shared" si="3"/>
        <v>-21461</v>
      </c>
      <c r="K27" s="139">
        <f t="shared" si="0"/>
        <v>2.8274731390051794E-2</v>
      </c>
      <c r="L27" s="139">
        <f>H27/H26</f>
        <v>0.80048411240750372</v>
      </c>
      <c r="M27" s="138">
        <v>0</v>
      </c>
      <c r="N27" s="138">
        <v>3239</v>
      </c>
      <c r="O27" s="138">
        <v>10004</v>
      </c>
      <c r="P27" s="138">
        <v>14510</v>
      </c>
      <c r="Q27" s="138">
        <v>12747</v>
      </c>
      <c r="R27" s="138">
        <v>13316</v>
      </c>
      <c r="S27" s="139">
        <f t="shared" si="4"/>
        <v>4.4637954028398763E-2</v>
      </c>
      <c r="T27" s="138">
        <f t="shared" si="1"/>
        <v>569</v>
      </c>
      <c r="U27" s="139">
        <f t="shared" si="5"/>
        <v>3.3642242228781156E-2</v>
      </c>
      <c r="V27" s="139">
        <f>IFERROR(R27/R26,"-")</f>
        <v>0.82233063669486817</v>
      </c>
    </row>
    <row r="28" spans="2:22" x14ac:dyDescent="0.25">
      <c r="B28" s="99" t="s">
        <v>142</v>
      </c>
      <c r="C28" s="53">
        <v>21395</v>
      </c>
      <c r="D28" s="53">
        <v>16603</v>
      </c>
      <c r="E28" s="53">
        <v>0</v>
      </c>
      <c r="F28" s="53">
        <v>21288</v>
      </c>
      <c r="G28" s="53">
        <v>0</v>
      </c>
      <c r="H28" s="53">
        <v>0</v>
      </c>
      <c r="I28" s="100" t="str">
        <f t="shared" si="2"/>
        <v>-</v>
      </c>
      <c r="J28" s="53">
        <f t="shared" si="3"/>
        <v>0</v>
      </c>
      <c r="K28" s="100">
        <f t="shared" si="0"/>
        <v>0</v>
      </c>
      <c r="L28" s="100">
        <f>H28/H26</f>
        <v>0</v>
      </c>
      <c r="M28" s="53">
        <v>0</v>
      </c>
      <c r="N28" s="53">
        <v>3239</v>
      </c>
      <c r="O28" s="53">
        <v>0</v>
      </c>
      <c r="P28" s="53">
        <v>14510</v>
      </c>
      <c r="Q28" s="53">
        <v>0</v>
      </c>
      <c r="R28" s="53">
        <v>0</v>
      </c>
      <c r="S28" s="100" t="str">
        <f t="shared" si="4"/>
        <v>-</v>
      </c>
      <c r="T28" s="53">
        <f t="shared" si="1"/>
        <v>0</v>
      </c>
      <c r="U28" s="100">
        <f t="shared" si="5"/>
        <v>3.3642242228781156E-2</v>
      </c>
      <c r="V28" s="100">
        <f>IFERROR(R28/R26,"-")</f>
        <v>0</v>
      </c>
    </row>
    <row r="29" spans="2:22" ht="15.75" thickBot="1" x14ac:dyDescent="0.3">
      <c r="B29" s="99" t="s">
        <v>144</v>
      </c>
      <c r="C29" s="53">
        <v>1940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100" t="str">
        <f t="shared" si="2"/>
        <v>-</v>
      </c>
      <c r="J29" s="53">
        <f t="shared" si="3"/>
        <v>0</v>
      </c>
      <c r="K29" s="100">
        <f t="shared" si="0"/>
        <v>0</v>
      </c>
      <c r="L29" s="100">
        <f>H29/H26</f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100" t="str">
        <f t="shared" si="4"/>
        <v>-</v>
      </c>
      <c r="T29" s="53">
        <f t="shared" si="1"/>
        <v>0</v>
      </c>
      <c r="U29" s="100">
        <f t="shared" si="5"/>
        <v>0</v>
      </c>
      <c r="V29" s="100">
        <f>IFERROR(R29/R26,"-")</f>
        <v>0</v>
      </c>
    </row>
    <row r="30" spans="2:22" ht="15.75" x14ac:dyDescent="0.25">
      <c r="B30" s="133" t="s">
        <v>50</v>
      </c>
      <c r="C30" s="134">
        <v>142242</v>
      </c>
      <c r="D30" s="134">
        <v>70082</v>
      </c>
      <c r="E30" s="134">
        <v>321332</v>
      </c>
      <c r="F30" s="134">
        <v>378937</v>
      </c>
      <c r="G30" s="134">
        <v>434631</v>
      </c>
      <c r="H30" s="134">
        <v>443938</v>
      </c>
      <c r="I30" s="135">
        <f t="shared" si="2"/>
        <v>2.1413566910781778E-2</v>
      </c>
      <c r="J30" s="134">
        <f t="shared" si="3"/>
        <v>9307</v>
      </c>
      <c r="K30" s="135">
        <f t="shared" si="0"/>
        <v>0.16647516848589938</v>
      </c>
      <c r="L30" s="136">
        <f>H30/H30</f>
        <v>1</v>
      </c>
      <c r="M30" s="134">
        <v>0</v>
      </c>
      <c r="N30" s="134">
        <v>25023</v>
      </c>
      <c r="O30" s="134">
        <v>63207</v>
      </c>
      <c r="P30" s="134">
        <v>71344</v>
      </c>
      <c r="Q30" s="134">
        <v>83393</v>
      </c>
      <c r="R30" s="134">
        <v>77257</v>
      </c>
      <c r="S30" s="135">
        <f t="shared" si="4"/>
        <v>-7.3579317208878448E-2</v>
      </c>
      <c r="T30" s="134">
        <f t="shared" si="1"/>
        <v>-6136</v>
      </c>
      <c r="U30" s="135">
        <f t="shared" si="5"/>
        <v>0.16541503305101055</v>
      </c>
      <c r="V30" s="136">
        <f>IFERROR(R30/R30,"-")</f>
        <v>1</v>
      </c>
    </row>
    <row r="31" spans="2:22" ht="15.75" x14ac:dyDescent="0.25">
      <c r="B31" s="137" t="s">
        <v>62</v>
      </c>
      <c r="C31" s="138">
        <v>116219</v>
      </c>
      <c r="D31" s="138">
        <v>51204</v>
      </c>
      <c r="E31" s="138">
        <v>261325</v>
      </c>
      <c r="F31" s="138">
        <v>306518</v>
      </c>
      <c r="G31" s="138">
        <v>353422</v>
      </c>
      <c r="H31" s="138">
        <v>351603</v>
      </c>
      <c r="I31" s="139">
        <f t="shared" si="2"/>
        <v>-5.1468216466433736E-3</v>
      </c>
      <c r="J31" s="138">
        <f t="shared" si="3"/>
        <v>-1819</v>
      </c>
      <c r="K31" s="139">
        <f t="shared" si="0"/>
        <v>0.13184987242621196</v>
      </c>
      <c r="L31" s="139">
        <f>H31/H30</f>
        <v>0.79200924453414667</v>
      </c>
      <c r="M31" s="138">
        <v>0</v>
      </c>
      <c r="N31" s="138">
        <v>18500</v>
      </c>
      <c r="O31" s="138">
        <v>51223</v>
      </c>
      <c r="P31" s="138">
        <v>57186</v>
      </c>
      <c r="Q31" s="138">
        <v>66284</v>
      </c>
      <c r="R31" s="138">
        <v>58629</v>
      </c>
      <c r="S31" s="139">
        <f t="shared" si="4"/>
        <v>-0.11548790054915214</v>
      </c>
      <c r="T31" s="138">
        <f t="shared" si="1"/>
        <v>-7655</v>
      </c>
      <c r="U31" s="139">
        <f t="shared" si="5"/>
        <v>0.13258892240489864</v>
      </c>
      <c r="V31" s="139">
        <f>IFERROR(R31/R30,"-")</f>
        <v>0.758882690241661</v>
      </c>
    </row>
    <row r="32" spans="2:22" x14ac:dyDescent="0.25">
      <c r="B32" s="99" t="s">
        <v>142</v>
      </c>
      <c r="C32" s="53">
        <v>93394</v>
      </c>
      <c r="D32" s="53">
        <v>30999</v>
      </c>
      <c r="E32" s="53">
        <v>210056</v>
      </c>
      <c r="F32" s="53">
        <v>256421</v>
      </c>
      <c r="G32" s="53">
        <v>297132</v>
      </c>
      <c r="H32" s="53">
        <v>291861</v>
      </c>
      <c r="I32" s="100">
        <f t="shared" si="2"/>
        <v>-1.7739590485036927E-2</v>
      </c>
      <c r="J32" s="53">
        <f t="shared" si="3"/>
        <v>-5271</v>
      </c>
      <c r="K32" s="100">
        <f t="shared" si="0"/>
        <v>0.10944683525506507</v>
      </c>
      <c r="L32" s="100">
        <f>H32/H30</f>
        <v>0.65743639877640569</v>
      </c>
      <c r="M32" s="53">
        <v>0</v>
      </c>
      <c r="N32" s="53">
        <v>12260</v>
      </c>
      <c r="O32" s="53">
        <v>43291</v>
      </c>
      <c r="P32" s="53">
        <v>47732</v>
      </c>
      <c r="Q32" s="53">
        <v>55532</v>
      </c>
      <c r="R32" s="53">
        <v>47404</v>
      </c>
      <c r="S32" s="100">
        <f t="shared" si="4"/>
        <v>-0.14636605920910462</v>
      </c>
      <c r="T32" s="53">
        <f t="shared" si="1"/>
        <v>-8128</v>
      </c>
      <c r="U32" s="100">
        <f t="shared" si="5"/>
        <v>0.11066929745445778</v>
      </c>
      <c r="V32" s="100">
        <f>IFERROR(R32/R30,"-")</f>
        <v>0.61358841270046727</v>
      </c>
    </row>
    <row r="33" spans="2:22" x14ac:dyDescent="0.25">
      <c r="B33" s="99" t="s">
        <v>144</v>
      </c>
      <c r="C33" s="53">
        <v>22825</v>
      </c>
      <c r="D33" s="53">
        <v>20205</v>
      </c>
      <c r="E33" s="53">
        <v>51269</v>
      </c>
      <c r="F33" s="53">
        <v>50097</v>
      </c>
      <c r="G33" s="53">
        <v>56290</v>
      </c>
      <c r="H33" s="53">
        <v>59742</v>
      </c>
      <c r="I33" s="100">
        <f t="shared" si="2"/>
        <v>6.1325279801030419E-2</v>
      </c>
      <c r="J33" s="53">
        <f t="shared" si="3"/>
        <v>3452</v>
      </c>
      <c r="K33" s="100">
        <f t="shared" si="0"/>
        <v>2.2403037171146875E-2</v>
      </c>
      <c r="L33" s="100">
        <f>H33/H30</f>
        <v>0.13457284575774095</v>
      </c>
      <c r="M33" s="53">
        <v>0</v>
      </c>
      <c r="N33" s="53">
        <v>6240</v>
      </c>
      <c r="O33" s="53">
        <v>7932</v>
      </c>
      <c r="P33" s="53">
        <v>9454</v>
      </c>
      <c r="Q33" s="53">
        <v>10752</v>
      </c>
      <c r="R33" s="53">
        <v>11225</v>
      </c>
      <c r="S33" s="100">
        <f t="shared" si="4"/>
        <v>4.3991815476190466E-2</v>
      </c>
      <c r="T33" s="53">
        <f t="shared" si="1"/>
        <v>473</v>
      </c>
      <c r="U33" s="100">
        <f t="shared" si="5"/>
        <v>2.1919624950440874E-2</v>
      </c>
      <c r="V33" s="100">
        <f>IFERROR(R33/R30,"-")</f>
        <v>0.14529427754119367</v>
      </c>
    </row>
    <row r="34" spans="2:22" ht="16.5" thickBot="1" x14ac:dyDescent="0.3">
      <c r="B34" s="140" t="s">
        <v>65</v>
      </c>
      <c r="C34" s="141">
        <v>26023</v>
      </c>
      <c r="D34" s="141">
        <v>18878</v>
      </c>
      <c r="E34" s="141">
        <v>60007</v>
      </c>
      <c r="F34" s="141">
        <v>72419</v>
      </c>
      <c r="G34" s="141">
        <v>81209</v>
      </c>
      <c r="H34" s="141">
        <v>92335</v>
      </c>
      <c r="I34" s="142">
        <f t="shared" si="2"/>
        <v>0.13700451920353651</v>
      </c>
      <c r="J34" s="141">
        <f t="shared" si="3"/>
        <v>11126</v>
      </c>
      <c r="K34" s="142">
        <f t="shared" si="0"/>
        <v>3.4625296059687435E-2</v>
      </c>
      <c r="L34" s="142">
        <f>H34/H30</f>
        <v>0.20799075546585333</v>
      </c>
      <c r="M34" s="141">
        <v>0</v>
      </c>
      <c r="N34" s="141">
        <v>6523</v>
      </c>
      <c r="O34" s="141">
        <v>11984</v>
      </c>
      <c r="P34" s="141">
        <v>14158</v>
      </c>
      <c r="Q34" s="141">
        <v>17109</v>
      </c>
      <c r="R34" s="141">
        <v>18628</v>
      </c>
      <c r="S34" s="142">
        <f t="shared" si="4"/>
        <v>8.8783681103512757E-2</v>
      </c>
      <c r="T34" s="141">
        <f t="shared" si="1"/>
        <v>1519</v>
      </c>
      <c r="U34" s="142">
        <f t="shared" si="5"/>
        <v>3.2826110646111899E-2</v>
      </c>
      <c r="V34" s="142">
        <f>IFERROR(R34/R30,"-")</f>
        <v>0.24111730975833906</v>
      </c>
    </row>
    <row r="35" spans="2:22" ht="15.75" x14ac:dyDescent="0.25">
      <c r="B35" s="133" t="s">
        <v>51</v>
      </c>
      <c r="C35" s="134">
        <v>12754</v>
      </c>
      <c r="D35" s="134">
        <v>11802</v>
      </c>
      <c r="E35" s="134">
        <v>24671</v>
      </c>
      <c r="F35" s="134">
        <v>30683</v>
      </c>
      <c r="G35" s="134">
        <v>29198</v>
      </c>
      <c r="H35" s="134">
        <v>28272</v>
      </c>
      <c r="I35" s="135">
        <f t="shared" si="2"/>
        <v>-3.1714500993218708E-2</v>
      </c>
      <c r="J35" s="134">
        <f t="shared" si="3"/>
        <v>-926</v>
      </c>
      <c r="K35" s="135">
        <f t="shared" si="0"/>
        <v>1.0601899281956822E-2</v>
      </c>
      <c r="L35" s="136">
        <f>H35/H35</f>
        <v>1</v>
      </c>
      <c r="M35" s="134">
        <v>0</v>
      </c>
      <c r="N35" s="134">
        <v>2494</v>
      </c>
      <c r="O35" s="134">
        <v>4520</v>
      </c>
      <c r="P35" s="134">
        <v>4181</v>
      </c>
      <c r="Q35" s="134">
        <v>3964</v>
      </c>
      <c r="R35" s="134">
        <v>4119</v>
      </c>
      <c r="S35" s="135">
        <f t="shared" si="4"/>
        <v>3.9101917255297769E-2</v>
      </c>
      <c r="T35" s="134">
        <f t="shared" si="1"/>
        <v>155</v>
      </c>
      <c r="U35" s="135">
        <f t="shared" si="5"/>
        <v>9.6938810998300502E-3</v>
      </c>
      <c r="V35" s="136">
        <f>IFERROR(R35/R35,"-")</f>
        <v>1</v>
      </c>
    </row>
    <row r="36" spans="2:22" ht="15.75" x14ac:dyDescent="0.25">
      <c r="B36" s="137" t="s">
        <v>62</v>
      </c>
      <c r="C36" s="138">
        <v>12754</v>
      </c>
      <c r="D36" s="138">
        <v>11802</v>
      </c>
      <c r="E36" s="138">
        <v>24671</v>
      </c>
      <c r="F36" s="138">
        <v>30683</v>
      </c>
      <c r="G36" s="138">
        <v>29198</v>
      </c>
      <c r="H36" s="138">
        <v>28272</v>
      </c>
      <c r="I36" s="139">
        <f t="shared" si="2"/>
        <v>-3.1714500993218708E-2</v>
      </c>
      <c r="J36" s="138">
        <f t="shared" si="3"/>
        <v>-926</v>
      </c>
      <c r="K36" s="139">
        <f t="shared" si="0"/>
        <v>1.0601899281956822E-2</v>
      </c>
      <c r="L36" s="139">
        <f>H36/H35</f>
        <v>1</v>
      </c>
      <c r="M36" s="138">
        <v>0</v>
      </c>
      <c r="N36" s="138">
        <v>2494</v>
      </c>
      <c r="O36" s="138">
        <v>4520</v>
      </c>
      <c r="P36" s="138">
        <v>4181</v>
      </c>
      <c r="Q36" s="138">
        <v>3964</v>
      </c>
      <c r="R36" s="138">
        <v>4119</v>
      </c>
      <c r="S36" s="139">
        <f t="shared" si="4"/>
        <v>3.9101917255297769E-2</v>
      </c>
      <c r="T36" s="138">
        <f t="shared" si="1"/>
        <v>155</v>
      </c>
      <c r="U36" s="139">
        <f t="shared" si="5"/>
        <v>9.6938810998300502E-3</v>
      </c>
      <c r="V36" s="139">
        <f>IFERROR(R36/R35,"-")</f>
        <v>1</v>
      </c>
    </row>
    <row r="37" spans="2:22" x14ac:dyDescent="0.25">
      <c r="B37" s="99" t="s">
        <v>142</v>
      </c>
      <c r="C37" s="53">
        <v>8693</v>
      </c>
      <c r="D37" s="53">
        <v>0</v>
      </c>
      <c r="E37" s="53">
        <v>10845</v>
      </c>
      <c r="F37" s="53">
        <v>26674</v>
      </c>
      <c r="G37" s="53">
        <v>25280</v>
      </c>
      <c r="H37" s="53">
        <v>23778</v>
      </c>
      <c r="I37" s="100">
        <f t="shared" si="2"/>
        <v>-5.9414556962025356E-2</v>
      </c>
      <c r="J37" s="53">
        <f t="shared" si="3"/>
        <v>-1502</v>
      </c>
      <c r="K37" s="100">
        <f t="shared" si="0"/>
        <v>8.9166652916797297E-3</v>
      </c>
      <c r="L37" s="100">
        <f>H37/H35</f>
        <v>0.84104414261460103</v>
      </c>
      <c r="M37" s="53">
        <v>0</v>
      </c>
      <c r="N37" s="53">
        <v>0</v>
      </c>
      <c r="O37" s="53">
        <v>4107</v>
      </c>
      <c r="P37" s="53">
        <v>3719</v>
      </c>
      <c r="Q37" s="53">
        <v>3480</v>
      </c>
      <c r="R37" s="53">
        <v>3490</v>
      </c>
      <c r="S37" s="100">
        <f t="shared" si="4"/>
        <v>2.8735632183907178E-3</v>
      </c>
      <c r="T37" s="53">
        <f t="shared" si="1"/>
        <v>10</v>
      </c>
      <c r="U37" s="100">
        <f t="shared" si="5"/>
        <v>8.622708397576645E-3</v>
      </c>
      <c r="V37" s="100">
        <f>IFERROR(R37/R35,"-")</f>
        <v>0.84729303228939068</v>
      </c>
    </row>
    <row r="38" spans="2:22" ht="15.75" thickBot="1" x14ac:dyDescent="0.3">
      <c r="B38" s="99" t="s">
        <v>144</v>
      </c>
      <c r="C38" s="53">
        <v>4061</v>
      </c>
      <c r="D38" s="53">
        <v>0</v>
      </c>
      <c r="E38" s="53">
        <v>1382</v>
      </c>
      <c r="F38" s="53">
        <v>4009</v>
      </c>
      <c r="G38" s="53">
        <v>3918</v>
      </c>
      <c r="H38" s="53">
        <v>4494</v>
      </c>
      <c r="I38" s="100">
        <f t="shared" si="2"/>
        <v>0.14701378254211339</v>
      </c>
      <c r="J38" s="53">
        <f t="shared" si="3"/>
        <v>576</v>
      </c>
      <c r="K38" s="100">
        <f t="shared" si="0"/>
        <v>1.6852339902770923E-3</v>
      </c>
      <c r="L38" s="100">
        <f>H38/H35</f>
        <v>0.15895585738539897</v>
      </c>
      <c r="M38" s="53">
        <v>0</v>
      </c>
      <c r="N38" s="53">
        <v>0</v>
      </c>
      <c r="O38" s="53">
        <v>413</v>
      </c>
      <c r="P38" s="53">
        <v>462</v>
      </c>
      <c r="Q38" s="53">
        <v>484</v>
      </c>
      <c r="R38" s="53">
        <v>629</v>
      </c>
      <c r="S38" s="100">
        <f t="shared" si="4"/>
        <v>0.29958677685950419</v>
      </c>
      <c r="T38" s="53">
        <f t="shared" si="1"/>
        <v>145</v>
      </c>
      <c r="U38" s="100">
        <f t="shared" si="5"/>
        <v>1.0711727022534043E-3</v>
      </c>
      <c r="V38" s="100">
        <f>IFERROR(R38/R35,"-")</f>
        <v>0.15270696771060938</v>
      </c>
    </row>
    <row r="39" spans="2:22" ht="15.75" x14ac:dyDescent="0.25">
      <c r="B39" s="133" t="s">
        <v>52</v>
      </c>
      <c r="C39" s="134">
        <v>36009</v>
      </c>
      <c r="D39" s="134">
        <v>32678</v>
      </c>
      <c r="E39" s="134">
        <v>92080</v>
      </c>
      <c r="F39" s="134">
        <v>126756</v>
      </c>
      <c r="G39" s="134">
        <v>118276</v>
      </c>
      <c r="H39" s="134">
        <v>128577</v>
      </c>
      <c r="I39" s="135">
        <f t="shared" si="2"/>
        <v>8.7092901349386187E-2</v>
      </c>
      <c r="J39" s="134">
        <f t="shared" si="3"/>
        <v>10301</v>
      </c>
      <c r="K39" s="135">
        <f t="shared" si="0"/>
        <v>4.8215916948788989E-2</v>
      </c>
      <c r="L39" s="136">
        <f>H39/H39</f>
        <v>1</v>
      </c>
      <c r="M39" s="134">
        <v>0</v>
      </c>
      <c r="N39" s="134">
        <v>12758</v>
      </c>
      <c r="O39" s="134">
        <v>13606</v>
      </c>
      <c r="P39" s="134">
        <v>22097</v>
      </c>
      <c r="Q39" s="134">
        <v>19721</v>
      </c>
      <c r="R39" s="134">
        <v>20354</v>
      </c>
      <c r="S39" s="135">
        <f t="shared" si="4"/>
        <v>3.2097763805080781E-2</v>
      </c>
      <c r="T39" s="134">
        <f t="shared" si="1"/>
        <v>633</v>
      </c>
      <c r="U39" s="135">
        <f t="shared" si="5"/>
        <v>5.1233123813189334E-2</v>
      </c>
      <c r="V39" s="136">
        <f>IFERROR(R39/R39,"-")</f>
        <v>1</v>
      </c>
    </row>
    <row r="40" spans="2:22" ht="15.75" x14ac:dyDescent="0.25">
      <c r="B40" s="137" t="s">
        <v>62</v>
      </c>
      <c r="C40" s="138">
        <v>22627</v>
      </c>
      <c r="D40" s="138">
        <v>30374</v>
      </c>
      <c r="E40" s="138">
        <v>79606</v>
      </c>
      <c r="F40" s="138">
        <v>111862</v>
      </c>
      <c r="G40" s="138">
        <v>103725</v>
      </c>
      <c r="H40" s="138">
        <v>112596</v>
      </c>
      <c r="I40" s="139">
        <f t="shared" si="2"/>
        <v>8.5524222704266073E-2</v>
      </c>
      <c r="J40" s="138">
        <f t="shared" si="3"/>
        <v>8871</v>
      </c>
      <c r="K40" s="139">
        <f t="shared" si="0"/>
        <v>4.2223098880560632E-2</v>
      </c>
      <c r="L40" s="139">
        <f>H40/H39</f>
        <v>0.87570871928883087</v>
      </c>
      <c r="M40" s="138">
        <v>0</v>
      </c>
      <c r="N40" s="138">
        <v>12413</v>
      </c>
      <c r="O40" s="138">
        <v>11319</v>
      </c>
      <c r="P40" s="138">
        <v>19134</v>
      </c>
      <c r="Q40" s="138">
        <v>17089</v>
      </c>
      <c r="R40" s="138">
        <v>17337</v>
      </c>
      <c r="S40" s="139">
        <f t="shared" si="4"/>
        <v>1.4512259348118617E-2</v>
      </c>
      <c r="T40" s="138">
        <f t="shared" si="1"/>
        <v>248</v>
      </c>
      <c r="U40" s="139">
        <f t="shared" si="5"/>
        <v>4.4363243473845536E-2</v>
      </c>
      <c r="V40" s="139">
        <f>IFERROR(R40/R39,"-")</f>
        <v>0.85177360715338513</v>
      </c>
    </row>
    <row r="41" spans="2:22" x14ac:dyDescent="0.25">
      <c r="B41" s="99" t="s">
        <v>142</v>
      </c>
      <c r="C41" s="53">
        <v>22627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100" t="str">
        <f t="shared" si="2"/>
        <v>-</v>
      </c>
      <c r="J41" s="53">
        <f t="shared" si="3"/>
        <v>0</v>
      </c>
      <c r="K41" s="100">
        <f t="shared" si="0"/>
        <v>0</v>
      </c>
      <c r="L41" s="100">
        <f>H41/H39</f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100" t="str">
        <f t="shared" si="4"/>
        <v>-</v>
      </c>
      <c r="T41" s="53">
        <f t="shared" si="1"/>
        <v>0</v>
      </c>
      <c r="U41" s="100">
        <f t="shared" si="5"/>
        <v>0</v>
      </c>
      <c r="V41" s="100">
        <f>IFERROR(R41/R39,"-")</f>
        <v>0</v>
      </c>
    </row>
    <row r="42" spans="2:22" x14ac:dyDescent="0.25">
      <c r="B42" s="99" t="s">
        <v>144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100" t="str">
        <f t="shared" si="2"/>
        <v>-</v>
      </c>
      <c r="J42" s="53">
        <f t="shared" si="3"/>
        <v>0</v>
      </c>
      <c r="K42" s="100">
        <f t="shared" si="0"/>
        <v>0</v>
      </c>
      <c r="L42" s="100">
        <f>H42/H39</f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100" t="str">
        <f t="shared" si="4"/>
        <v>-</v>
      </c>
      <c r="T42" s="53">
        <f t="shared" si="1"/>
        <v>0</v>
      </c>
      <c r="U42" s="100">
        <f t="shared" si="5"/>
        <v>0</v>
      </c>
      <c r="V42" s="100">
        <f>IFERROR(R42/R39,"-")</f>
        <v>0</v>
      </c>
    </row>
    <row r="43" spans="2:22" ht="16.5" thickBot="1" x14ac:dyDescent="0.3">
      <c r="B43" s="140" t="s">
        <v>65</v>
      </c>
      <c r="C43" s="141">
        <v>13382</v>
      </c>
      <c r="D43" s="141">
        <v>379</v>
      </c>
      <c r="E43" s="141">
        <v>12474</v>
      </c>
      <c r="F43" s="141">
        <v>14894</v>
      </c>
      <c r="G43" s="141">
        <v>14551</v>
      </c>
      <c r="H43" s="141">
        <v>15981</v>
      </c>
      <c r="I43" s="142">
        <f t="shared" si="2"/>
        <v>9.8275032643804439E-2</v>
      </c>
      <c r="J43" s="141">
        <f t="shared" si="3"/>
        <v>1430</v>
      </c>
      <c r="K43" s="142">
        <f t="shared" si="0"/>
        <v>5.9928180682283522E-3</v>
      </c>
      <c r="L43" s="142">
        <f>H43/H39</f>
        <v>0.12429128071116918</v>
      </c>
      <c r="M43" s="141">
        <v>0</v>
      </c>
      <c r="N43" s="141">
        <v>345</v>
      </c>
      <c r="O43" s="141">
        <v>2287</v>
      </c>
      <c r="P43" s="141">
        <v>2963</v>
      </c>
      <c r="Q43" s="141">
        <v>2632</v>
      </c>
      <c r="R43" s="141">
        <v>3017</v>
      </c>
      <c r="S43" s="142">
        <f t="shared" si="4"/>
        <v>0.14627659574468077</v>
      </c>
      <c r="T43" s="141">
        <f t="shared" si="1"/>
        <v>385</v>
      </c>
      <c r="U43" s="142">
        <f t="shared" si="5"/>
        <v>6.8698803393438023E-3</v>
      </c>
      <c r="V43" s="142">
        <f>IFERROR(R43/R39,"-")</f>
        <v>0.14822639284661493</v>
      </c>
    </row>
    <row r="44" spans="2:22" ht="15.75" x14ac:dyDescent="0.25">
      <c r="B44" s="133" t="s">
        <v>53</v>
      </c>
      <c r="C44" s="134">
        <v>52853</v>
      </c>
      <c r="D44" s="134">
        <v>58803</v>
      </c>
      <c r="E44" s="134">
        <v>104421</v>
      </c>
      <c r="F44" s="134">
        <v>126576</v>
      </c>
      <c r="G44" s="134">
        <v>125410</v>
      </c>
      <c r="H44" s="134">
        <v>140761</v>
      </c>
      <c r="I44" s="135">
        <f t="shared" si="2"/>
        <v>0.12240650665816122</v>
      </c>
      <c r="J44" s="134">
        <f t="shared" si="3"/>
        <v>15351</v>
      </c>
      <c r="K44" s="135">
        <f t="shared" si="0"/>
        <v>5.2784873543701337E-2</v>
      </c>
      <c r="L44" s="136">
        <f>H44/H44</f>
        <v>1</v>
      </c>
      <c r="M44" s="134">
        <v>0</v>
      </c>
      <c r="N44" s="134">
        <v>13541</v>
      </c>
      <c r="O44" s="134">
        <v>17608</v>
      </c>
      <c r="P44" s="134">
        <v>17983</v>
      </c>
      <c r="Q44" s="134">
        <v>19479</v>
      </c>
      <c r="R44" s="134">
        <v>20873</v>
      </c>
      <c r="S44" s="135">
        <f t="shared" si="4"/>
        <v>7.1564248678063658E-2</v>
      </c>
      <c r="T44" s="134">
        <f t="shared" si="1"/>
        <v>1394</v>
      </c>
      <c r="U44" s="135">
        <f t="shared" si="5"/>
        <v>4.1694585940742358E-2</v>
      </c>
      <c r="V44" s="136">
        <f>IFERROR(R44/R44,"-")</f>
        <v>1</v>
      </c>
    </row>
    <row r="45" spans="2:22" ht="15.75" x14ac:dyDescent="0.25">
      <c r="B45" s="137" t="s">
        <v>62</v>
      </c>
      <c r="C45" s="138">
        <v>52853</v>
      </c>
      <c r="D45" s="138">
        <v>58803</v>
      </c>
      <c r="E45" s="138">
        <v>104421</v>
      </c>
      <c r="F45" s="138">
        <v>126576</v>
      </c>
      <c r="G45" s="138">
        <v>125410</v>
      </c>
      <c r="H45" s="138">
        <v>140761</v>
      </c>
      <c r="I45" s="139">
        <f t="shared" si="2"/>
        <v>0.12240650665816122</v>
      </c>
      <c r="J45" s="138">
        <f t="shared" si="3"/>
        <v>15351</v>
      </c>
      <c r="K45" s="139">
        <f t="shared" si="0"/>
        <v>5.2784873543701337E-2</v>
      </c>
      <c r="L45" s="139">
        <f>H45/H44</f>
        <v>1</v>
      </c>
      <c r="M45" s="138">
        <v>0</v>
      </c>
      <c r="N45" s="138">
        <v>13541</v>
      </c>
      <c r="O45" s="138">
        <v>17608</v>
      </c>
      <c r="P45" s="138">
        <v>17983</v>
      </c>
      <c r="Q45" s="138">
        <v>19479</v>
      </c>
      <c r="R45" s="138">
        <v>20873</v>
      </c>
      <c r="S45" s="139">
        <f t="shared" si="4"/>
        <v>7.1564248678063658E-2</v>
      </c>
      <c r="T45" s="138">
        <f t="shared" si="1"/>
        <v>1394</v>
      </c>
      <c r="U45" s="139">
        <f t="shared" si="5"/>
        <v>4.1694585940742358E-2</v>
      </c>
      <c r="V45" s="139">
        <f>IFERROR(R45/R44,"-")</f>
        <v>1</v>
      </c>
    </row>
    <row r="46" spans="2:22" x14ac:dyDescent="0.25">
      <c r="B46" s="99" t="s">
        <v>142</v>
      </c>
      <c r="C46" s="53">
        <v>26292</v>
      </c>
      <c r="D46" s="53">
        <v>34867</v>
      </c>
      <c r="E46" s="53">
        <v>64125</v>
      </c>
      <c r="F46" s="53">
        <v>75573</v>
      </c>
      <c r="G46" s="53">
        <v>72479</v>
      </c>
      <c r="H46" s="53">
        <v>91652</v>
      </c>
      <c r="I46" s="100">
        <f t="shared" si="2"/>
        <v>0.26453179541660332</v>
      </c>
      <c r="J46" s="53">
        <f t="shared" si="3"/>
        <v>19173</v>
      </c>
      <c r="K46" s="100">
        <f t="shared" si="0"/>
        <v>3.4369173492851818E-2</v>
      </c>
      <c r="L46" s="100">
        <f>H46/H44</f>
        <v>0.6511178522460056</v>
      </c>
      <c r="M46" s="53">
        <v>0</v>
      </c>
      <c r="N46" s="53">
        <v>9155</v>
      </c>
      <c r="O46" s="53">
        <v>10141</v>
      </c>
      <c r="P46" s="53">
        <v>10170</v>
      </c>
      <c r="Q46" s="53">
        <v>11059</v>
      </c>
      <c r="R46" s="53">
        <v>14375</v>
      </c>
      <c r="S46" s="100">
        <f t="shared" si="4"/>
        <v>0.29984627904873862</v>
      </c>
      <c r="T46" s="53">
        <f t="shared" si="1"/>
        <v>3316</v>
      </c>
      <c r="U46" s="100">
        <f t="shared" si="5"/>
        <v>2.3579710783370393E-2</v>
      </c>
      <c r="V46" s="100">
        <f>IFERROR(R46/R44,"-")</f>
        <v>0.68868873664542707</v>
      </c>
    </row>
    <row r="47" spans="2:22" ht="15.75" thickBot="1" x14ac:dyDescent="0.3">
      <c r="B47" s="99" t="s">
        <v>144</v>
      </c>
      <c r="C47" s="53">
        <v>26561</v>
      </c>
      <c r="D47" s="53">
        <v>23936</v>
      </c>
      <c r="E47" s="53">
        <v>40296</v>
      </c>
      <c r="F47" s="53">
        <v>51003</v>
      </c>
      <c r="G47" s="53">
        <v>52931</v>
      </c>
      <c r="H47" s="53">
        <v>49109</v>
      </c>
      <c r="I47" s="100">
        <f t="shared" si="2"/>
        <v>-7.2207213164308226E-2</v>
      </c>
      <c r="J47" s="53">
        <f t="shared" si="3"/>
        <v>-3822</v>
      </c>
      <c r="K47" s="100">
        <f t="shared" si="0"/>
        <v>1.8415700050849516E-2</v>
      </c>
      <c r="L47" s="100">
        <f>H47/H44</f>
        <v>0.34888214775399434</v>
      </c>
      <c r="M47" s="53">
        <v>0</v>
      </c>
      <c r="N47" s="53">
        <v>4386</v>
      </c>
      <c r="O47" s="53">
        <v>7467</v>
      </c>
      <c r="P47" s="53">
        <v>7813</v>
      </c>
      <c r="Q47" s="53">
        <v>8420</v>
      </c>
      <c r="R47" s="53">
        <v>6498</v>
      </c>
      <c r="S47" s="100">
        <f t="shared" si="4"/>
        <v>-0.22826603325415673</v>
      </c>
      <c r="T47" s="53">
        <f t="shared" si="1"/>
        <v>-1922</v>
      </c>
      <c r="U47" s="100">
        <f t="shared" si="5"/>
        <v>1.8114875157371965E-2</v>
      </c>
      <c r="V47" s="100">
        <f>IFERROR(R47/R44,"-")</f>
        <v>0.31131126335457288</v>
      </c>
    </row>
    <row r="48" spans="2:22" ht="15.75" x14ac:dyDescent="0.25">
      <c r="B48" s="133" t="s">
        <v>54</v>
      </c>
      <c r="C48" s="134">
        <v>52299</v>
      </c>
      <c r="D48" s="134">
        <v>33859</v>
      </c>
      <c r="E48" s="134">
        <v>122526</v>
      </c>
      <c r="F48" s="134">
        <v>133361</v>
      </c>
      <c r="G48" s="134">
        <v>142422</v>
      </c>
      <c r="H48" s="134">
        <v>136065</v>
      </c>
      <c r="I48" s="135">
        <f t="shared" si="2"/>
        <v>-4.4634958082318765E-2</v>
      </c>
      <c r="J48" s="134">
        <f t="shared" si="3"/>
        <v>-6357</v>
      </c>
      <c r="K48" s="135">
        <f t="shared" si="0"/>
        <v>5.1023890273042403E-2</v>
      </c>
      <c r="L48" s="136">
        <f>H48/H48</f>
        <v>1</v>
      </c>
      <c r="M48" s="134">
        <v>0</v>
      </c>
      <c r="N48" s="134">
        <v>3802</v>
      </c>
      <c r="O48" s="134">
        <v>18886</v>
      </c>
      <c r="P48" s="134">
        <v>21065</v>
      </c>
      <c r="Q48" s="134">
        <v>22841</v>
      </c>
      <c r="R48" s="134">
        <v>23159</v>
      </c>
      <c r="S48" s="135">
        <f t="shared" si="4"/>
        <v>1.3922332647432256E-2</v>
      </c>
      <c r="T48" s="134">
        <f t="shared" si="1"/>
        <v>318</v>
      </c>
      <c r="U48" s="135">
        <f t="shared" si="5"/>
        <v>4.8840374400363547E-2</v>
      </c>
      <c r="V48" s="136">
        <f>IFERROR(R48/R48,"-")</f>
        <v>1</v>
      </c>
    </row>
    <row r="49" spans="2:22" ht="15.75" x14ac:dyDescent="0.25">
      <c r="B49" s="137" t="s">
        <v>62</v>
      </c>
      <c r="C49" s="138">
        <v>39287</v>
      </c>
      <c r="D49" s="138">
        <v>27596</v>
      </c>
      <c r="E49" s="138">
        <v>101147</v>
      </c>
      <c r="F49" s="138">
        <v>110205</v>
      </c>
      <c r="G49" s="138">
        <v>117985</v>
      </c>
      <c r="H49" s="138">
        <v>110668</v>
      </c>
      <c r="I49" s="139">
        <f t="shared" si="2"/>
        <v>-6.201635801161165E-2</v>
      </c>
      <c r="J49" s="138">
        <f t="shared" si="3"/>
        <v>-7317</v>
      </c>
      <c r="K49" s="139">
        <f t="shared" si="0"/>
        <v>4.1500105748995382E-2</v>
      </c>
      <c r="L49" s="139">
        <f>H49/H48</f>
        <v>0.81334656230478075</v>
      </c>
      <c r="M49" s="138">
        <v>0</v>
      </c>
      <c r="N49" s="138">
        <v>2370</v>
      </c>
      <c r="O49" s="138">
        <v>15881</v>
      </c>
      <c r="P49" s="138">
        <v>17783</v>
      </c>
      <c r="Q49" s="138">
        <v>19273</v>
      </c>
      <c r="R49" s="138">
        <v>19200</v>
      </c>
      <c r="S49" s="139">
        <f t="shared" si="4"/>
        <v>-3.7876822497794338E-3</v>
      </c>
      <c r="T49" s="138">
        <f t="shared" si="1"/>
        <v>-73</v>
      </c>
      <c r="U49" s="139">
        <f t="shared" si="5"/>
        <v>4.1230874814225729E-2</v>
      </c>
      <c r="V49" s="139">
        <f>IFERROR(R49/R48,"-")</f>
        <v>0.82905134073146514</v>
      </c>
    </row>
    <row r="50" spans="2:22" x14ac:dyDescent="0.25">
      <c r="B50" s="99" t="s">
        <v>142</v>
      </c>
      <c r="C50" s="53">
        <v>32534</v>
      </c>
      <c r="D50" s="53">
        <v>0</v>
      </c>
      <c r="E50" s="53">
        <v>77628</v>
      </c>
      <c r="F50" s="53">
        <v>87658</v>
      </c>
      <c r="G50" s="53">
        <v>92306</v>
      </c>
      <c r="H50" s="53">
        <v>86086</v>
      </c>
      <c r="I50" s="100">
        <f t="shared" si="2"/>
        <v>-6.7384568717093196E-2</v>
      </c>
      <c r="J50" s="53">
        <f t="shared" si="3"/>
        <v>-6220</v>
      </c>
      <c r="K50" s="100">
        <f t="shared" si="0"/>
        <v>3.2281943321538442E-2</v>
      </c>
      <c r="L50" s="100">
        <f>H50/H48</f>
        <v>0.63268290890383272</v>
      </c>
      <c r="M50" s="53">
        <v>0</v>
      </c>
      <c r="N50" s="53">
        <v>0</v>
      </c>
      <c r="O50" s="53">
        <v>11604</v>
      </c>
      <c r="P50" s="53">
        <v>13809</v>
      </c>
      <c r="Q50" s="53">
        <v>14680</v>
      </c>
      <c r="R50" s="53">
        <v>14746</v>
      </c>
      <c r="S50" s="100">
        <f t="shared" si="4"/>
        <v>4.4959128065396037E-3</v>
      </c>
      <c r="T50" s="53">
        <f t="shared" si="1"/>
        <v>66</v>
      </c>
      <c r="U50" s="100">
        <f t="shared" si="5"/>
        <v>3.2016934730340389E-2</v>
      </c>
      <c r="V50" s="100">
        <f>IFERROR(R50/R48,"-")</f>
        <v>0.63672870158469708</v>
      </c>
    </row>
    <row r="51" spans="2:22" x14ac:dyDescent="0.25">
      <c r="B51" s="99" t="s">
        <v>144</v>
      </c>
      <c r="C51" s="53">
        <v>6753</v>
      </c>
      <c r="D51" s="53">
        <v>0</v>
      </c>
      <c r="E51" s="53">
        <v>23519</v>
      </c>
      <c r="F51" s="53">
        <v>22547</v>
      </c>
      <c r="G51" s="53">
        <v>25679</v>
      </c>
      <c r="H51" s="53">
        <v>24582</v>
      </c>
      <c r="I51" s="100">
        <f t="shared" si="2"/>
        <v>-4.2719732076794248E-2</v>
      </c>
      <c r="J51" s="53">
        <f t="shared" si="3"/>
        <v>-1097</v>
      </c>
      <c r="K51" s="100">
        <f t="shared" si="0"/>
        <v>9.2181624274569399E-3</v>
      </c>
      <c r="L51" s="100">
        <f>H51/H48</f>
        <v>0.18066365340094809</v>
      </c>
      <c r="M51" s="53">
        <v>0</v>
      </c>
      <c r="N51" s="53">
        <v>0</v>
      </c>
      <c r="O51" s="53">
        <v>4277</v>
      </c>
      <c r="P51" s="53">
        <v>3974</v>
      </c>
      <c r="Q51" s="53">
        <v>4593</v>
      </c>
      <c r="R51" s="53">
        <v>4454</v>
      </c>
      <c r="S51" s="100">
        <f t="shared" si="4"/>
        <v>-3.026344437187023E-2</v>
      </c>
      <c r="T51" s="53">
        <f t="shared" si="1"/>
        <v>-139</v>
      </c>
      <c r="U51" s="100">
        <f t="shared" si="5"/>
        <v>9.2139400838853434E-3</v>
      </c>
      <c r="V51" s="100">
        <f>IFERROR(R51/R48,"-")</f>
        <v>0.192322639146768</v>
      </c>
    </row>
    <row r="52" spans="2:22" ht="16.5" thickBot="1" x14ac:dyDescent="0.3">
      <c r="B52" s="140" t="s">
        <v>65</v>
      </c>
      <c r="C52" s="141">
        <v>13012</v>
      </c>
      <c r="D52" s="141">
        <v>6263</v>
      </c>
      <c r="E52" s="141">
        <v>21379</v>
      </c>
      <c r="F52" s="141">
        <v>23156</v>
      </c>
      <c r="G52" s="141">
        <v>24437</v>
      </c>
      <c r="H52" s="141">
        <v>25397</v>
      </c>
      <c r="I52" s="142">
        <f t="shared" si="2"/>
        <v>3.9284691246879833E-2</v>
      </c>
      <c r="J52" s="141">
        <f t="shared" si="3"/>
        <v>960</v>
      </c>
      <c r="K52" s="142">
        <f t="shared" si="0"/>
        <v>9.5237845240470215E-3</v>
      </c>
      <c r="L52" s="142">
        <f>H52/H48</f>
        <v>0.18665343769521919</v>
      </c>
      <c r="M52" s="141">
        <v>0</v>
      </c>
      <c r="N52" s="141">
        <v>1432</v>
      </c>
      <c r="O52" s="141">
        <v>3005</v>
      </c>
      <c r="P52" s="141">
        <v>3282</v>
      </c>
      <c r="Q52" s="141">
        <v>3568</v>
      </c>
      <c r="R52" s="141">
        <v>3959</v>
      </c>
      <c r="S52" s="142">
        <f t="shared" si="4"/>
        <v>0.109585201793722</v>
      </c>
      <c r="T52" s="141">
        <f t="shared" si="1"/>
        <v>391</v>
      </c>
      <c r="U52" s="142">
        <f t="shared" si="5"/>
        <v>7.6094995861378193E-3</v>
      </c>
      <c r="V52" s="142">
        <f>IFERROR(R52/R48,"-")</f>
        <v>0.17094865926853492</v>
      </c>
    </row>
    <row r="53" spans="2:22" ht="15.75" x14ac:dyDescent="0.25">
      <c r="B53" s="133" t="s">
        <v>55</v>
      </c>
      <c r="C53" s="134">
        <f t="shared" ref="C53:H56" si="6">C6-C11-C16-C21-C26-C30-C35-C39-C44-C48</f>
        <v>29296</v>
      </c>
      <c r="D53" s="134">
        <f t="shared" si="6"/>
        <v>22293</v>
      </c>
      <c r="E53" s="134">
        <f t="shared" si="6"/>
        <v>52853</v>
      </c>
      <c r="F53" s="134">
        <f t="shared" si="6"/>
        <v>59038</v>
      </c>
      <c r="G53" s="134">
        <f t="shared" si="6"/>
        <v>61781</v>
      </c>
      <c r="H53" s="134">
        <f t="shared" si="6"/>
        <v>59492</v>
      </c>
      <c r="I53" s="135">
        <f t="shared" si="2"/>
        <v>-3.7050225797575331E-2</v>
      </c>
      <c r="J53" s="134">
        <f t="shared" si="3"/>
        <v>-2289</v>
      </c>
      <c r="K53" s="135">
        <f t="shared" si="0"/>
        <v>2.2309288061763414E-2</v>
      </c>
      <c r="L53" s="136">
        <f>H53/H53</f>
        <v>1</v>
      </c>
      <c r="M53" s="134">
        <v>0</v>
      </c>
      <c r="N53" s="134">
        <v>5282</v>
      </c>
      <c r="O53" s="134">
        <v>6967</v>
      </c>
      <c r="P53" s="134">
        <v>9485</v>
      </c>
      <c r="Q53" s="134">
        <v>8136</v>
      </c>
      <c r="R53" s="134">
        <v>9355</v>
      </c>
      <c r="S53" s="135">
        <f t="shared" si="4"/>
        <v>0.14982792527040312</v>
      </c>
      <c r="T53" s="134">
        <f t="shared" si="1"/>
        <v>1219</v>
      </c>
      <c r="U53" s="135">
        <f t="shared" si="5"/>
        <v>2.199150017505095E-2</v>
      </c>
      <c r="V53" s="136">
        <f>IFERROR(R53/R53,"-")</f>
        <v>1</v>
      </c>
    </row>
    <row r="54" spans="2:22" ht="15.75" x14ac:dyDescent="0.25">
      <c r="B54" s="137" t="s">
        <v>62</v>
      </c>
      <c r="C54" s="138">
        <f t="shared" si="6"/>
        <v>22394</v>
      </c>
      <c r="D54" s="138">
        <f t="shared" si="6"/>
        <v>24055</v>
      </c>
      <c r="E54" s="138">
        <f t="shared" si="6"/>
        <v>51491</v>
      </c>
      <c r="F54" s="138">
        <f t="shared" si="6"/>
        <v>54554</v>
      </c>
      <c r="G54" s="138">
        <f t="shared" si="6"/>
        <v>56482</v>
      </c>
      <c r="H54" s="138">
        <f t="shared" si="6"/>
        <v>53731</v>
      </c>
      <c r="I54" s="139">
        <f t="shared" si="2"/>
        <v>-4.8705782373145379E-2</v>
      </c>
      <c r="J54" s="138">
        <f t="shared" si="3"/>
        <v>-2751</v>
      </c>
      <c r="K54" s="139">
        <f t="shared" si="0"/>
        <v>2.0148933585130941E-2</v>
      </c>
      <c r="L54" s="139">
        <f>H54/H53</f>
        <v>0.90316345054797287</v>
      </c>
      <c r="M54" s="138">
        <v>0</v>
      </c>
      <c r="N54" s="138">
        <v>5240</v>
      </c>
      <c r="O54" s="138">
        <v>6638</v>
      </c>
      <c r="P54" s="138">
        <v>8748</v>
      </c>
      <c r="Q54" s="138">
        <v>7126</v>
      </c>
      <c r="R54" s="138">
        <v>8229</v>
      </c>
      <c r="S54" s="139">
        <f t="shared" si="4"/>
        <v>0.15478529329216961</v>
      </c>
      <c r="T54" s="138">
        <f t="shared" si="1"/>
        <v>1103</v>
      </c>
      <c r="U54" s="139">
        <f t="shared" si="5"/>
        <v>2.0282724673837186E-2</v>
      </c>
      <c r="V54" s="139">
        <f>IFERROR(R54/R53,"-")</f>
        <v>0.87963655799037943</v>
      </c>
    </row>
    <row r="55" spans="2:22" x14ac:dyDescent="0.25">
      <c r="B55" s="99" t="s">
        <v>142</v>
      </c>
      <c r="C55" s="53">
        <f t="shared" si="6"/>
        <v>19498</v>
      </c>
      <c r="D55" s="53">
        <f t="shared" si="6"/>
        <v>68542</v>
      </c>
      <c r="E55" s="53">
        <f t="shared" si="6"/>
        <v>181758</v>
      </c>
      <c r="F55" s="53">
        <f t="shared" si="6"/>
        <v>188203</v>
      </c>
      <c r="G55" s="53">
        <f t="shared" si="6"/>
        <v>223340</v>
      </c>
      <c r="H55" s="53">
        <f t="shared" si="6"/>
        <v>202357</v>
      </c>
      <c r="I55" s="100">
        <f t="shared" si="2"/>
        <v>-9.3950926838004878E-2</v>
      </c>
      <c r="J55" s="53">
        <f t="shared" si="3"/>
        <v>-20983</v>
      </c>
      <c r="K55" s="100">
        <f t="shared" si="0"/>
        <v>7.5883154110035961E-2</v>
      </c>
      <c r="L55" s="100">
        <f>H55/H53</f>
        <v>3.4014153163450547</v>
      </c>
      <c r="M55" s="53">
        <v>0</v>
      </c>
      <c r="N55" s="53">
        <v>4783</v>
      </c>
      <c r="O55" s="53">
        <v>5472</v>
      </c>
      <c r="P55" s="53">
        <v>6410</v>
      </c>
      <c r="Q55" s="53">
        <v>4475</v>
      </c>
      <c r="R55" s="53">
        <v>5886</v>
      </c>
      <c r="S55" s="100">
        <f t="shared" si="4"/>
        <v>0.31530726256983233</v>
      </c>
      <c r="T55" s="53">
        <f t="shared" si="1"/>
        <v>1411</v>
      </c>
      <c r="U55" s="100">
        <f t="shared" si="5"/>
        <v>1.4861941604857837E-2</v>
      </c>
      <c r="V55" s="100">
        <f>IFERROR(R55/R53,"-")</f>
        <v>0.62918225547835382</v>
      </c>
    </row>
    <row r="56" spans="2:22" x14ac:dyDescent="0.25">
      <c r="B56" s="99" t="s">
        <v>144</v>
      </c>
      <c r="C56" s="53">
        <f t="shared" si="6"/>
        <v>11088</v>
      </c>
      <c r="D56" s="53">
        <f t="shared" si="6"/>
        <v>26880</v>
      </c>
      <c r="E56" s="53">
        <f t="shared" si="6"/>
        <v>40761</v>
      </c>
      <c r="F56" s="53">
        <f t="shared" si="6"/>
        <v>66491</v>
      </c>
      <c r="G56" s="53">
        <f t="shared" si="6"/>
        <v>56666</v>
      </c>
      <c r="H56" s="53">
        <f t="shared" si="6"/>
        <v>60860</v>
      </c>
      <c r="I56" s="100">
        <f t="shared" si="2"/>
        <v>7.4012635442769925E-2</v>
      </c>
      <c r="J56" s="53">
        <f t="shared" si="3"/>
        <v>4194</v>
      </c>
      <c r="K56" s="100">
        <f t="shared" si="0"/>
        <v>2.282228318830971E-2</v>
      </c>
      <c r="L56" s="100">
        <f>H56/H53</f>
        <v>1.0229946883614605</v>
      </c>
      <c r="M56" s="53">
        <v>0</v>
      </c>
      <c r="N56" s="53">
        <v>457</v>
      </c>
      <c r="O56" s="53">
        <v>1166</v>
      </c>
      <c r="P56" s="53">
        <v>2338</v>
      </c>
      <c r="Q56" s="53">
        <v>2651</v>
      </c>
      <c r="R56" s="53">
        <v>2343</v>
      </c>
      <c r="S56" s="100">
        <f t="shared" si="4"/>
        <v>-0.11618257261410792</v>
      </c>
      <c r="T56" s="53">
        <f t="shared" si="1"/>
        <v>-308</v>
      </c>
      <c r="U56" s="100">
        <f t="shared" si="5"/>
        <v>5.4207830689793485E-3</v>
      </c>
      <c r="V56" s="100">
        <f>IFERROR(R56/R53,"-")</f>
        <v>0.25045430251202566</v>
      </c>
    </row>
    <row r="57" spans="2:22" ht="15.75" x14ac:dyDescent="0.25">
      <c r="B57" s="140" t="s">
        <v>65</v>
      </c>
      <c r="C57" s="141">
        <f>C53-C54</f>
        <v>6902</v>
      </c>
      <c r="D57" s="141">
        <f t="shared" ref="D57:H57" si="7">D53-D54</f>
        <v>-1762</v>
      </c>
      <c r="E57" s="141">
        <f t="shared" si="7"/>
        <v>1362</v>
      </c>
      <c r="F57" s="141">
        <f t="shared" si="7"/>
        <v>4484</v>
      </c>
      <c r="G57" s="141">
        <f t="shared" si="7"/>
        <v>5299</v>
      </c>
      <c r="H57" s="141">
        <f t="shared" si="7"/>
        <v>5761</v>
      </c>
      <c r="I57" s="142">
        <f t="shared" si="2"/>
        <v>8.7186261558784617E-2</v>
      </c>
      <c r="J57" s="141">
        <f t="shared" si="3"/>
        <v>462</v>
      </c>
      <c r="K57" s="142">
        <f t="shared" si="0"/>
        <v>2.160354476632472E-3</v>
      </c>
      <c r="L57" s="142">
        <f>H57/H53</f>
        <v>9.683654945202716E-2</v>
      </c>
      <c r="M57" s="141">
        <v>0</v>
      </c>
      <c r="N57" s="141">
        <v>105</v>
      </c>
      <c r="O57" s="141">
        <v>745</v>
      </c>
      <c r="P57" s="141">
        <v>1161</v>
      </c>
      <c r="Q57" s="141">
        <v>4318</v>
      </c>
      <c r="R57" s="141">
        <v>4003</v>
      </c>
      <c r="S57" s="142">
        <f t="shared" si="4"/>
        <v>-7.295044001852713E-2</v>
      </c>
      <c r="T57" s="141">
        <f t="shared" si="1"/>
        <v>-315</v>
      </c>
      <c r="U57" s="142">
        <f t="shared" si="5"/>
        <v>2.6918430894290091E-3</v>
      </c>
      <c r="V57" s="142">
        <f>IFERROR(R57/R53,"-")</f>
        <v>0.42789951897381079</v>
      </c>
    </row>
    <row r="58" spans="2:22" x14ac:dyDescent="0.25">
      <c r="B58" s="103"/>
      <c r="C58" s="104"/>
      <c r="D58" s="104"/>
      <c r="E58" s="104"/>
      <c r="F58" s="104"/>
      <c r="G58" s="104"/>
      <c r="H58" s="105"/>
      <c r="I58" s="104"/>
      <c r="J58" s="106"/>
      <c r="K58" s="106"/>
      <c r="L58" s="106"/>
    </row>
    <row r="59" spans="2:22" x14ac:dyDescent="0.25">
      <c r="B59" s="107" t="s">
        <v>57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39A12-D8DD-4B35-A00B-E4052E2BB066}">
  <sheetPr>
    <tabColor theme="7" tint="0.79998168889431442"/>
    <pageSetUpPr fitToPage="1"/>
  </sheetPr>
  <dimension ref="A1:W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4" max="23" width="11.42578125" hidden="1" customWidth="1"/>
  </cols>
  <sheetData>
    <row r="1" spans="1:23" ht="42.75" customHeight="1" x14ac:dyDescent="0.25"/>
    <row r="3" spans="1:23" ht="42" customHeight="1" thickBot="1" x14ac:dyDescent="0.3">
      <c r="B3" s="278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3" s="278"/>
      <c r="D3" s="278"/>
      <c r="E3" s="278"/>
      <c r="F3" s="278"/>
      <c r="G3" s="278"/>
      <c r="H3" s="278"/>
      <c r="I3" s="278"/>
      <c r="J3" s="278"/>
      <c r="K3" s="278"/>
      <c r="N3" s="144" t="s">
        <v>259</v>
      </c>
      <c r="O3" s="145"/>
      <c r="P3" s="145"/>
      <c r="Q3" s="145"/>
      <c r="R3" s="145"/>
      <c r="S3" s="145"/>
      <c r="T3" s="145"/>
      <c r="U3" s="145"/>
      <c r="V3" s="145"/>
      <c r="W3" s="145"/>
    </row>
    <row r="4" spans="1:23" ht="6" customHeight="1" x14ac:dyDescent="0.25"/>
    <row r="5" spans="1:23" ht="15.75" x14ac:dyDescent="0.25">
      <c r="B5" s="146"/>
      <c r="C5" s="309" t="s">
        <v>45</v>
      </c>
      <c r="D5" s="310"/>
      <c r="E5" s="310"/>
      <c r="F5" s="310"/>
      <c r="G5" s="310"/>
      <c r="H5" s="310"/>
      <c r="I5" s="310"/>
      <c r="J5" s="310"/>
      <c r="K5" s="310"/>
      <c r="N5" s="146"/>
      <c r="O5" s="309" t="s">
        <v>45</v>
      </c>
      <c r="P5" s="310"/>
      <c r="Q5" s="310"/>
      <c r="R5" s="310"/>
      <c r="S5" s="310"/>
      <c r="T5" s="310"/>
      <c r="U5" s="310"/>
      <c r="V5" s="310"/>
      <c r="W5" s="310"/>
    </row>
    <row r="6" spans="1:23" s="147" customFormat="1" ht="72" customHeight="1" x14ac:dyDescent="0.25">
      <c r="B6" s="148"/>
      <c r="C6" s="149">
        <v>2019</v>
      </c>
      <c r="D6" s="150">
        <v>2020</v>
      </c>
      <c r="E6" s="150">
        <v>2021</v>
      </c>
      <c r="F6" s="150">
        <v>2022</v>
      </c>
      <c r="G6" s="150">
        <v>2023</v>
      </c>
      <c r="H6" s="150">
        <v>2024</v>
      </c>
      <c r="I6" s="151" t="str">
        <f>CONCATENATE("var. ",RIGHT(H6,2),"/",RIGHT(G6,2))</f>
        <v>var. 24/23</v>
      </c>
      <c r="J6" s="152" t="str">
        <f>CONCATENATE("dif. ",RIGHT(H6,2),"/",RIGHT(G6,2))</f>
        <v>dif. 24/23</v>
      </c>
      <c r="K6" s="151" t="str">
        <f>CONCATENATE("Cuota s/ total lugares de residencia ",RIGHT(H6,4))</f>
        <v>Cuota s/ total lugares de residencia 2024</v>
      </c>
      <c r="N6" s="148"/>
      <c r="O6" s="149">
        <v>2019</v>
      </c>
      <c r="P6" s="150">
        <v>2020</v>
      </c>
      <c r="Q6" s="150">
        <v>2021</v>
      </c>
      <c r="R6" s="150">
        <v>2022</v>
      </c>
      <c r="S6" s="150">
        <v>2023</v>
      </c>
      <c r="T6" s="150">
        <v>2024</v>
      </c>
      <c r="U6" s="151" t="str">
        <f>CONCATENATE("var. ",RIGHT(T6,2),"/",RIGHT(S6,2))</f>
        <v>var. 24/23</v>
      </c>
      <c r="V6" s="152" t="str">
        <f>CONCATENATE("dif. ",RIGHT(T6,2),"/",RIGHT(S6,2))</f>
        <v>dif. 24/23</v>
      </c>
      <c r="W6" s="151" t="str">
        <f>CONCATENATE("Cuota s/ total lugares de residencia ",RIGHT(T6,4))</f>
        <v>Cuota s/ total lugares de residencia 2024</v>
      </c>
    </row>
    <row r="7" spans="1:23" x14ac:dyDescent="0.25">
      <c r="A7" s="1"/>
      <c r="B7" s="153" t="s">
        <v>45</v>
      </c>
      <c r="C7" s="154"/>
      <c r="D7" s="154"/>
      <c r="E7" s="154"/>
      <c r="F7" s="154"/>
      <c r="G7" s="154"/>
      <c r="H7" s="155"/>
      <c r="I7" s="155"/>
      <c r="J7" s="155"/>
      <c r="K7" s="154"/>
      <c r="L7" s="81"/>
      <c r="N7" s="156" t="s">
        <v>51</v>
      </c>
      <c r="O7" s="154"/>
      <c r="P7" s="154"/>
      <c r="Q7" s="154"/>
      <c r="R7" s="154"/>
      <c r="S7" s="154"/>
      <c r="T7" s="155"/>
      <c r="U7" s="155"/>
      <c r="V7" s="155"/>
      <c r="W7" s="154"/>
    </row>
    <row r="8" spans="1:23" x14ac:dyDescent="0.25">
      <c r="A8" s="1"/>
      <c r="B8" s="157" t="s">
        <v>70</v>
      </c>
      <c r="C8" s="158">
        <v>4831573</v>
      </c>
      <c r="D8" s="158">
        <v>1565303</v>
      </c>
      <c r="E8" s="158">
        <v>2335438</v>
      </c>
      <c r="F8" s="158">
        <v>4757683</v>
      </c>
      <c r="G8" s="158">
        <v>5188807</v>
      </c>
      <c r="H8" s="158">
        <v>5480280</v>
      </c>
      <c r="I8" s="159">
        <f>IFERROR(H8/G8-1,"-")</f>
        <v>5.6173413272068151E-2</v>
      </c>
      <c r="J8" s="158">
        <f t="shared" ref="J8:J20" si="0">H8-G8</f>
        <v>291473</v>
      </c>
      <c r="K8" s="159">
        <f t="shared" ref="K8:K20" si="1">H8/H$8</f>
        <v>1</v>
      </c>
      <c r="L8" s="81"/>
      <c r="N8" s="157" t="s">
        <v>70</v>
      </c>
      <c r="O8" s="158">
        <v>55887</v>
      </c>
      <c r="P8" s="158">
        <v>24221</v>
      </c>
      <c r="Q8" s="158">
        <v>33444</v>
      </c>
      <c r="R8" s="158">
        <v>51485</v>
      </c>
      <c r="S8" s="158">
        <v>58157</v>
      </c>
      <c r="T8" s="158">
        <v>57388</v>
      </c>
      <c r="U8" s="159">
        <f>IFERROR(T8/S8-1,"-")</f>
        <v>-1.3222827862510056E-2</v>
      </c>
      <c r="V8" s="158">
        <f>T8-S8</f>
        <v>-769</v>
      </c>
      <c r="W8" s="159">
        <f>T8/T$8</f>
        <v>1</v>
      </c>
    </row>
    <row r="9" spans="1:23" x14ac:dyDescent="0.25">
      <c r="A9" s="1" t="s">
        <v>98</v>
      </c>
      <c r="B9" s="160" t="s">
        <v>99</v>
      </c>
      <c r="C9" s="161">
        <v>1047557</v>
      </c>
      <c r="D9" s="161">
        <v>456683</v>
      </c>
      <c r="E9" s="161">
        <v>800301</v>
      </c>
      <c r="F9" s="161">
        <v>1016781</v>
      </c>
      <c r="G9" s="161">
        <v>1041269</v>
      </c>
      <c r="H9" s="161">
        <v>1058434</v>
      </c>
      <c r="I9" s="162">
        <f>IFERROR(H9/G9-1,"-")</f>
        <v>1.6484693196474609E-2</v>
      </c>
      <c r="J9" s="161">
        <f t="shared" si="0"/>
        <v>17165</v>
      </c>
      <c r="K9" s="162">
        <f t="shared" si="1"/>
        <v>0.19313502229813076</v>
      </c>
      <c r="L9" s="81"/>
      <c r="N9" s="160" t="s">
        <v>99</v>
      </c>
      <c r="O9" s="161">
        <v>37119</v>
      </c>
      <c r="P9" s="161">
        <v>16023</v>
      </c>
      <c r="Q9" s="161">
        <v>21732</v>
      </c>
      <c r="R9" s="161">
        <v>33809</v>
      </c>
      <c r="S9" s="161">
        <v>37722</v>
      </c>
      <c r="T9" s="161">
        <v>35821</v>
      </c>
      <c r="U9" s="162">
        <f>IFERROR(T9/S9-1,"-")</f>
        <v>-5.0394994963151474E-2</v>
      </c>
      <c r="V9" s="161">
        <f t="shared" ref="V9:V19" si="2">T9-S9</f>
        <v>-1901</v>
      </c>
      <c r="W9" s="162">
        <f>T9/T$8</f>
        <v>0.62418972607513767</v>
      </c>
    </row>
    <row r="10" spans="1:23" x14ac:dyDescent="0.25">
      <c r="A10" s="163" t="s">
        <v>105</v>
      </c>
      <c r="B10" s="164" t="s">
        <v>105</v>
      </c>
      <c r="C10" s="165">
        <v>415150</v>
      </c>
      <c r="D10" s="165">
        <v>208389</v>
      </c>
      <c r="E10" s="165">
        <v>416048</v>
      </c>
      <c r="F10" s="165">
        <v>423208</v>
      </c>
      <c r="G10" s="165">
        <v>428791</v>
      </c>
      <c r="H10" s="165">
        <v>421973</v>
      </c>
      <c r="I10" s="166">
        <f>IFERROR(H10/G10-1,"-")</f>
        <v>-1.5900520300099585E-2</v>
      </c>
      <c r="J10" s="165">
        <f t="shared" si="0"/>
        <v>-6818</v>
      </c>
      <c r="K10" s="166">
        <f t="shared" si="1"/>
        <v>7.6998438036012765E-2</v>
      </c>
      <c r="L10" s="81"/>
      <c r="N10" s="164" t="s">
        <v>105</v>
      </c>
      <c r="O10" s="165">
        <v>19153</v>
      </c>
      <c r="P10" s="165">
        <v>8684</v>
      </c>
      <c r="Q10" s="165">
        <v>11001</v>
      </c>
      <c r="R10" s="165">
        <v>16289</v>
      </c>
      <c r="S10" s="165">
        <v>12024</v>
      </c>
      <c r="T10" s="165">
        <v>11877</v>
      </c>
      <c r="U10" s="166">
        <f>IFERROR(T10/S10-1,"-")</f>
        <v>-1.2225548902195627E-2</v>
      </c>
      <c r="V10" s="165">
        <f t="shared" si="2"/>
        <v>-147</v>
      </c>
      <c r="W10" s="166">
        <f>T10/T$8</f>
        <v>0.20695964313096815</v>
      </c>
    </row>
    <row r="11" spans="1:23" x14ac:dyDescent="0.25">
      <c r="A11" s="163" t="s">
        <v>102</v>
      </c>
      <c r="B11" s="164" t="s">
        <v>102</v>
      </c>
      <c r="C11" s="165">
        <v>632407</v>
      </c>
      <c r="D11" s="165">
        <v>248294</v>
      </c>
      <c r="E11" s="165">
        <v>384253</v>
      </c>
      <c r="F11" s="165">
        <v>593573</v>
      </c>
      <c r="G11" s="165">
        <v>612478</v>
      </c>
      <c r="H11" s="165">
        <v>636461</v>
      </c>
      <c r="I11" s="166">
        <f>IFERROR(H11/G11-1,"-")</f>
        <v>3.915732483452472E-2</v>
      </c>
      <c r="J11" s="165">
        <f t="shared" si="0"/>
        <v>23983</v>
      </c>
      <c r="K11" s="166">
        <f t="shared" si="1"/>
        <v>0.116136584262118</v>
      </c>
      <c r="L11" s="81"/>
      <c r="N11" s="164" t="s">
        <v>102</v>
      </c>
      <c r="O11" s="165">
        <v>17966</v>
      </c>
      <c r="P11" s="165">
        <v>7339</v>
      </c>
      <c r="Q11" s="165">
        <v>10731</v>
      </c>
      <c r="R11" s="165">
        <v>17520</v>
      </c>
      <c r="S11" s="165">
        <v>25698</v>
      </c>
      <c r="T11" s="165">
        <v>23944</v>
      </c>
      <c r="U11" s="166">
        <f>IFERROR(T11/S11-1,"-")</f>
        <v>-6.8254338859055186E-2</v>
      </c>
      <c r="V11" s="165">
        <f t="shared" si="2"/>
        <v>-1754</v>
      </c>
      <c r="W11" s="166">
        <f>T11/T$8</f>
        <v>0.41723008294416952</v>
      </c>
    </row>
    <row r="12" spans="1:23" x14ac:dyDescent="0.25">
      <c r="A12" s="1"/>
      <c r="B12" s="160" t="s">
        <v>109</v>
      </c>
      <c r="C12" s="161">
        <v>3784016</v>
      </c>
      <c r="D12" s="161">
        <v>1108620</v>
      </c>
      <c r="E12" s="161">
        <v>1535137</v>
      </c>
      <c r="F12" s="161">
        <v>3740902</v>
      </c>
      <c r="G12" s="161">
        <v>4147538</v>
      </c>
      <c r="H12" s="161">
        <v>4421846</v>
      </c>
      <c r="I12" s="162">
        <f>IFERROR(H12/G12-1,"-")</f>
        <v>6.6137549553494157E-2</v>
      </c>
      <c r="J12" s="161">
        <f t="shared" si="0"/>
        <v>274308</v>
      </c>
      <c r="K12" s="162">
        <f t="shared" si="1"/>
        <v>0.80686497770186927</v>
      </c>
      <c r="L12" s="81"/>
      <c r="N12" s="160" t="s">
        <v>109</v>
      </c>
      <c r="O12" s="161">
        <v>18768</v>
      </c>
      <c r="P12" s="161">
        <v>8198</v>
      </c>
      <c r="Q12" s="161">
        <v>11712</v>
      </c>
      <c r="R12" s="161">
        <v>17676</v>
      </c>
      <c r="S12" s="161">
        <v>20435</v>
      </c>
      <c r="T12" s="161">
        <v>21567</v>
      </c>
      <c r="U12" s="162">
        <f>IFERROR(T12/S12-1,"-")</f>
        <v>5.539515537068751E-2</v>
      </c>
      <c r="V12" s="161">
        <f t="shared" si="2"/>
        <v>1132</v>
      </c>
      <c r="W12" s="162">
        <f>T12/T$8</f>
        <v>0.37581027392486233</v>
      </c>
    </row>
    <row r="13" spans="1:23" s="57" customFormat="1" x14ac:dyDescent="0.25">
      <c r="B13" s="164" t="s">
        <v>112</v>
      </c>
      <c r="C13" s="165">
        <v>1721079</v>
      </c>
      <c r="D13" s="165">
        <v>436137</v>
      </c>
      <c r="E13" s="165">
        <v>446045</v>
      </c>
      <c r="F13" s="165">
        <v>1722453</v>
      </c>
      <c r="G13" s="165">
        <v>1939344</v>
      </c>
      <c r="H13" s="165">
        <v>2075266</v>
      </c>
      <c r="I13" s="166">
        <f t="shared" ref="I13:I20" si="3">IFERROR(H13/G13-1,"-")</f>
        <v>7.0086585979588945E-2</v>
      </c>
      <c r="J13" s="165">
        <f t="shared" si="0"/>
        <v>135922</v>
      </c>
      <c r="K13" s="166">
        <f t="shared" si="1"/>
        <v>0.37867882662929631</v>
      </c>
      <c r="L13" s="167"/>
      <c r="N13" s="164" t="s">
        <v>112</v>
      </c>
      <c r="O13" s="165">
        <v>2421</v>
      </c>
      <c r="P13" s="165">
        <v>1288</v>
      </c>
      <c r="Q13" s="165">
        <v>921</v>
      </c>
      <c r="R13" s="165">
        <v>2403</v>
      </c>
      <c r="S13" s="165">
        <v>2795</v>
      </c>
      <c r="T13" s="165">
        <v>3030</v>
      </c>
      <c r="U13" s="166">
        <f t="shared" ref="U13:U20" si="4">IFERROR(T13/S13-1,"-")</f>
        <v>8.4078711985688726E-2</v>
      </c>
      <c r="V13" s="165">
        <f t="shared" si="2"/>
        <v>235</v>
      </c>
      <c r="W13" s="166">
        <f t="shared" ref="W13:W20" si="5">T13/T$8</f>
        <v>5.2798494458771869E-2</v>
      </c>
    </row>
    <row r="14" spans="1:23" s="57" customFormat="1" x14ac:dyDescent="0.25">
      <c r="B14" s="164" t="s">
        <v>115</v>
      </c>
      <c r="C14" s="165">
        <v>491040</v>
      </c>
      <c r="D14" s="165">
        <v>138922</v>
      </c>
      <c r="E14" s="165">
        <v>222501</v>
      </c>
      <c r="F14" s="165">
        <v>385709</v>
      </c>
      <c r="G14" s="165">
        <v>431586</v>
      </c>
      <c r="H14" s="165">
        <v>447017</v>
      </c>
      <c r="I14" s="166">
        <f t="shared" si="3"/>
        <v>3.5754171822070191E-2</v>
      </c>
      <c r="J14" s="165">
        <f t="shared" si="0"/>
        <v>15431</v>
      </c>
      <c r="K14" s="166">
        <f t="shared" si="1"/>
        <v>8.1568277533264719E-2</v>
      </c>
      <c r="L14" s="167"/>
      <c r="N14" s="164" t="s">
        <v>115</v>
      </c>
      <c r="O14" s="165">
        <v>3905</v>
      </c>
      <c r="P14" s="165">
        <v>1481</v>
      </c>
      <c r="Q14" s="165">
        <v>2395</v>
      </c>
      <c r="R14" s="165">
        <v>3482</v>
      </c>
      <c r="S14" s="165">
        <v>3814</v>
      </c>
      <c r="T14" s="165">
        <v>4234</v>
      </c>
      <c r="U14" s="166">
        <f t="shared" si="4"/>
        <v>0.11012060828526482</v>
      </c>
      <c r="V14" s="165">
        <f t="shared" si="2"/>
        <v>420</v>
      </c>
      <c r="W14" s="166">
        <f t="shared" si="5"/>
        <v>7.3778490276712905E-2</v>
      </c>
    </row>
    <row r="15" spans="1:23" x14ac:dyDescent="0.25">
      <c r="A15" s="1"/>
      <c r="B15" s="164" t="s">
        <v>118</v>
      </c>
      <c r="C15" s="165">
        <v>166950</v>
      </c>
      <c r="D15" s="165">
        <v>58766</v>
      </c>
      <c r="E15" s="165">
        <v>128102</v>
      </c>
      <c r="F15" s="165">
        <v>197280</v>
      </c>
      <c r="G15" s="165">
        <v>216824</v>
      </c>
      <c r="H15" s="165">
        <v>230379</v>
      </c>
      <c r="I15" s="166">
        <f t="shared" si="3"/>
        <v>6.2516142124487972E-2</v>
      </c>
      <c r="J15" s="165">
        <f t="shared" si="0"/>
        <v>13555</v>
      </c>
      <c r="K15" s="166">
        <f t="shared" si="1"/>
        <v>4.2037815586064946E-2</v>
      </c>
      <c r="L15" s="81"/>
      <c r="N15" s="164" t="s">
        <v>118</v>
      </c>
      <c r="O15" s="165">
        <v>3854</v>
      </c>
      <c r="P15" s="165">
        <v>1974</v>
      </c>
      <c r="Q15" s="165">
        <v>3541</v>
      </c>
      <c r="R15" s="165">
        <v>3412</v>
      </c>
      <c r="S15" s="165">
        <v>3885</v>
      </c>
      <c r="T15" s="165">
        <v>3685</v>
      </c>
      <c r="U15" s="166">
        <f t="shared" si="4"/>
        <v>-5.1480051480051525E-2</v>
      </c>
      <c r="V15" s="165">
        <f t="shared" si="2"/>
        <v>-200</v>
      </c>
      <c r="W15" s="166">
        <f t="shared" si="5"/>
        <v>6.4212030389628499E-2</v>
      </c>
    </row>
    <row r="16" spans="1:23" x14ac:dyDescent="0.25">
      <c r="A16" s="1"/>
      <c r="B16" s="164" t="s">
        <v>125</v>
      </c>
      <c r="C16" s="165">
        <v>137818</v>
      </c>
      <c r="D16" s="165">
        <v>39662</v>
      </c>
      <c r="E16" s="165">
        <v>93209</v>
      </c>
      <c r="F16" s="165">
        <v>169583</v>
      </c>
      <c r="G16" s="165">
        <v>165044</v>
      </c>
      <c r="H16" s="165">
        <v>174675</v>
      </c>
      <c r="I16" s="166">
        <f t="shared" si="3"/>
        <v>5.8354135866799162E-2</v>
      </c>
      <c r="J16" s="165">
        <f t="shared" si="0"/>
        <v>9631</v>
      </c>
      <c r="K16" s="166">
        <f t="shared" si="1"/>
        <v>3.1873371433576388E-2</v>
      </c>
      <c r="L16" s="81"/>
      <c r="N16" s="164" t="s">
        <v>125</v>
      </c>
      <c r="O16" s="165">
        <v>699</v>
      </c>
      <c r="P16" s="165">
        <v>323</v>
      </c>
      <c r="Q16" s="165">
        <v>432</v>
      </c>
      <c r="R16" s="165">
        <v>1172</v>
      </c>
      <c r="S16" s="165">
        <v>938</v>
      </c>
      <c r="T16" s="165">
        <v>933</v>
      </c>
      <c r="U16" s="166">
        <f t="shared" si="4"/>
        <v>-5.3304904051172386E-3</v>
      </c>
      <c r="V16" s="165">
        <f t="shared" si="2"/>
        <v>-5</v>
      </c>
      <c r="W16" s="166">
        <f t="shared" si="5"/>
        <v>1.6257754234334704E-2</v>
      </c>
    </row>
    <row r="17" spans="1:23" x14ac:dyDescent="0.25">
      <c r="A17" s="1"/>
      <c r="B17" s="164" t="s">
        <v>121</v>
      </c>
      <c r="C17" s="165">
        <v>133862</v>
      </c>
      <c r="D17" s="165">
        <v>55544</v>
      </c>
      <c r="E17" s="165">
        <v>93337</v>
      </c>
      <c r="F17" s="165">
        <v>146133</v>
      </c>
      <c r="G17" s="165">
        <v>151265</v>
      </c>
      <c r="H17" s="165">
        <v>157483</v>
      </c>
      <c r="I17" s="166">
        <f t="shared" si="3"/>
        <v>4.1106667107394301E-2</v>
      </c>
      <c r="J17" s="165">
        <f t="shared" si="0"/>
        <v>6218</v>
      </c>
      <c r="K17" s="166">
        <f t="shared" si="1"/>
        <v>2.8736305444247375E-2</v>
      </c>
      <c r="L17" s="81"/>
      <c r="N17" s="164" t="s">
        <v>121</v>
      </c>
      <c r="O17" s="165">
        <v>519</v>
      </c>
      <c r="P17" s="165">
        <v>351</v>
      </c>
      <c r="Q17" s="165">
        <v>507</v>
      </c>
      <c r="R17" s="165">
        <v>682</v>
      </c>
      <c r="S17" s="165">
        <v>650</v>
      </c>
      <c r="T17" s="165">
        <v>903</v>
      </c>
      <c r="U17" s="166">
        <f t="shared" si="4"/>
        <v>0.38923076923076927</v>
      </c>
      <c r="V17" s="165">
        <f t="shared" si="2"/>
        <v>253</v>
      </c>
      <c r="W17" s="166">
        <f t="shared" si="5"/>
        <v>1.5734996863455773E-2</v>
      </c>
    </row>
    <row r="18" spans="1:23" x14ac:dyDescent="0.25">
      <c r="A18" s="1"/>
      <c r="B18" s="164" t="s">
        <v>130</v>
      </c>
      <c r="C18" s="165">
        <v>74390</v>
      </c>
      <c r="D18" s="165">
        <v>28784</v>
      </c>
      <c r="E18" s="165">
        <v>25400</v>
      </c>
      <c r="F18" s="165">
        <v>62340</v>
      </c>
      <c r="G18" s="165">
        <v>67966</v>
      </c>
      <c r="H18" s="165">
        <v>63716</v>
      </c>
      <c r="I18" s="166">
        <f t="shared" si="3"/>
        <v>-6.2531265632816413E-2</v>
      </c>
      <c r="J18" s="165">
        <f t="shared" si="0"/>
        <v>-4250</v>
      </c>
      <c r="K18" s="166">
        <f t="shared" si="1"/>
        <v>1.1626413248958082E-2</v>
      </c>
      <c r="L18" s="81"/>
      <c r="N18" s="164" t="s">
        <v>130</v>
      </c>
      <c r="O18" s="165">
        <v>155</v>
      </c>
      <c r="P18" s="165">
        <v>124</v>
      </c>
      <c r="Q18" s="165">
        <v>105</v>
      </c>
      <c r="R18" s="165">
        <v>270</v>
      </c>
      <c r="S18" s="165">
        <v>153</v>
      </c>
      <c r="T18" s="165">
        <v>230</v>
      </c>
      <c r="U18" s="166">
        <f t="shared" si="4"/>
        <v>0.50326797385620914</v>
      </c>
      <c r="V18" s="165">
        <f t="shared" si="2"/>
        <v>77</v>
      </c>
      <c r="W18" s="166">
        <f t="shared" si="5"/>
        <v>4.0078065100717921E-3</v>
      </c>
    </row>
    <row r="19" spans="1:23" x14ac:dyDescent="0.25">
      <c r="A19" s="163" t="s">
        <v>146</v>
      </c>
      <c r="B19" s="164" t="s">
        <v>133</v>
      </c>
      <c r="C19" s="165">
        <v>106028</v>
      </c>
      <c r="D19" s="165">
        <v>42711</v>
      </c>
      <c r="E19" s="165">
        <v>22147</v>
      </c>
      <c r="F19" s="165">
        <v>56752</v>
      </c>
      <c r="G19" s="165">
        <v>70972</v>
      </c>
      <c r="H19" s="165">
        <v>68752</v>
      </c>
      <c r="I19" s="166">
        <f t="shared" si="3"/>
        <v>-3.1279941385335075E-2</v>
      </c>
      <c r="J19" s="165">
        <f t="shared" si="0"/>
        <v>-2220</v>
      </c>
      <c r="K19" s="166">
        <f t="shared" si="1"/>
        <v>1.2545344398461392E-2</v>
      </c>
      <c r="L19" s="81"/>
      <c r="N19" s="164" t="s">
        <v>133</v>
      </c>
      <c r="O19" s="165">
        <v>271</v>
      </c>
      <c r="P19" s="165">
        <v>89</v>
      </c>
      <c r="Q19" s="165">
        <v>96</v>
      </c>
      <c r="R19" s="165">
        <v>168</v>
      </c>
      <c r="S19" s="165">
        <v>270</v>
      </c>
      <c r="T19" s="165">
        <v>384</v>
      </c>
      <c r="U19" s="166">
        <f t="shared" si="4"/>
        <v>0.42222222222222228</v>
      </c>
      <c r="V19" s="165">
        <f t="shared" si="2"/>
        <v>114</v>
      </c>
      <c r="W19" s="166">
        <f t="shared" si="5"/>
        <v>6.6912943472502966E-3</v>
      </c>
    </row>
    <row r="20" spans="1:23" x14ac:dyDescent="0.25">
      <c r="A20" s="168" t="s">
        <v>147</v>
      </c>
      <c r="B20" s="169" t="s">
        <v>147</v>
      </c>
      <c r="C20" s="170">
        <f t="shared" ref="C20:H20" si="6">C12-SUM(C13:C19)</f>
        <v>952849</v>
      </c>
      <c r="D20" s="170">
        <f t="shared" si="6"/>
        <v>308094</v>
      </c>
      <c r="E20" s="170">
        <f t="shared" si="6"/>
        <v>504396</v>
      </c>
      <c r="F20" s="170">
        <f t="shared" si="6"/>
        <v>1000652</v>
      </c>
      <c r="G20" s="170">
        <f t="shared" si="6"/>
        <v>1104537</v>
      </c>
      <c r="H20" s="170">
        <f t="shared" si="6"/>
        <v>1204558</v>
      </c>
      <c r="I20" s="171">
        <f t="shared" si="3"/>
        <v>9.0554684904172511E-2</v>
      </c>
      <c r="J20" s="170">
        <f t="shared" si="0"/>
        <v>100021</v>
      </c>
      <c r="K20" s="171">
        <f t="shared" si="1"/>
        <v>0.21979862342800002</v>
      </c>
      <c r="L20" s="81"/>
      <c r="N20" s="169" t="s">
        <v>147</v>
      </c>
      <c r="O20" s="170">
        <f t="shared" ref="O20:T20" si="7">O12-SUM(O13:O19)</f>
        <v>6944</v>
      </c>
      <c r="P20" s="170">
        <f t="shared" si="7"/>
        <v>2568</v>
      </c>
      <c r="Q20" s="170">
        <f t="shared" si="7"/>
        <v>3715</v>
      </c>
      <c r="R20" s="170">
        <f t="shared" si="7"/>
        <v>6087</v>
      </c>
      <c r="S20" s="170">
        <f t="shared" si="7"/>
        <v>7930</v>
      </c>
      <c r="T20" s="170">
        <f t="shared" si="7"/>
        <v>8168</v>
      </c>
      <c r="U20" s="171">
        <f t="shared" si="4"/>
        <v>3.0012610340479196E-2</v>
      </c>
      <c r="V20" s="170">
        <f>T20-S20</f>
        <v>238</v>
      </c>
      <c r="W20" s="171">
        <f t="shared" si="5"/>
        <v>0.14232940684463652</v>
      </c>
    </row>
    <row r="21" spans="1:23" x14ac:dyDescent="0.25">
      <c r="B21" s="156" t="s">
        <v>46</v>
      </c>
      <c r="C21" s="154"/>
      <c r="D21" s="154"/>
      <c r="E21" s="154"/>
      <c r="F21" s="154"/>
      <c r="G21" s="154"/>
      <c r="H21" s="155"/>
      <c r="I21" s="155"/>
      <c r="J21" s="155"/>
      <c r="K21" s="154"/>
      <c r="L21" s="172"/>
      <c r="M21" s="172"/>
      <c r="N21" s="172"/>
    </row>
    <row r="22" spans="1:23" x14ac:dyDescent="0.25">
      <c r="B22" s="157" t="s">
        <v>70</v>
      </c>
      <c r="C22" s="158">
        <v>1762715</v>
      </c>
      <c r="D22" s="158">
        <v>550867</v>
      </c>
      <c r="E22" s="158">
        <v>881045</v>
      </c>
      <c r="F22" s="158">
        <v>1757049</v>
      </c>
      <c r="G22" s="158">
        <v>1888332</v>
      </c>
      <c r="H22" s="158">
        <v>1938898</v>
      </c>
      <c r="I22" s="159">
        <f>IFERROR(H22/G22-1,"-")</f>
        <v>2.677813011694985E-2</v>
      </c>
      <c r="J22" s="158">
        <f>H22-G22</f>
        <v>50566</v>
      </c>
      <c r="K22" s="159">
        <f>H22/H$8</f>
        <v>0.35379542651105417</v>
      </c>
      <c r="L22" s="107"/>
      <c r="M22" s="107"/>
      <c r="N22" s="107"/>
    </row>
    <row r="23" spans="1:23" x14ac:dyDescent="0.25">
      <c r="B23" s="160" t="s">
        <v>99</v>
      </c>
      <c r="C23" s="161">
        <v>222987</v>
      </c>
      <c r="D23" s="161">
        <v>117997</v>
      </c>
      <c r="E23" s="161">
        <v>247584</v>
      </c>
      <c r="F23" s="161">
        <v>207208</v>
      </c>
      <c r="G23" s="161">
        <v>181512</v>
      </c>
      <c r="H23" s="161">
        <v>161819</v>
      </c>
      <c r="I23" s="162">
        <f>IFERROR(H23/G23-1,"-")</f>
        <v>-0.10849420423994005</v>
      </c>
      <c r="J23" s="161">
        <f t="shared" ref="J23:J33" si="8">H23-G23</f>
        <v>-19693</v>
      </c>
      <c r="K23" s="162">
        <f>H23/H$8</f>
        <v>2.9527505893859437E-2</v>
      </c>
    </row>
    <row r="24" spans="1:23" x14ac:dyDescent="0.25">
      <c r="B24" s="164" t="s">
        <v>105</v>
      </c>
      <c r="C24" s="165">
        <v>113067</v>
      </c>
      <c r="D24" s="165">
        <v>68476</v>
      </c>
      <c r="E24" s="165">
        <v>126666</v>
      </c>
      <c r="F24" s="165">
        <v>86811</v>
      </c>
      <c r="G24" s="165">
        <v>75374</v>
      </c>
      <c r="H24" s="165">
        <v>60650</v>
      </c>
      <c r="I24" s="166">
        <f>IFERROR(H24/G24-1,"-")</f>
        <v>-0.19534587523549229</v>
      </c>
      <c r="J24" s="165">
        <f t="shared" si="8"/>
        <v>-14724</v>
      </c>
      <c r="K24" s="166">
        <f>H24/H$8</f>
        <v>1.1066952783434423E-2</v>
      </c>
    </row>
    <row r="25" spans="1:23" x14ac:dyDescent="0.25">
      <c r="B25" s="164" t="s">
        <v>102</v>
      </c>
      <c r="C25" s="165">
        <v>109920</v>
      </c>
      <c r="D25" s="165">
        <v>49521</v>
      </c>
      <c r="E25" s="165">
        <v>120918</v>
      </c>
      <c r="F25" s="165">
        <v>120397</v>
      </c>
      <c r="G25" s="165">
        <v>106138</v>
      </c>
      <c r="H25" s="165">
        <v>101169</v>
      </c>
      <c r="I25" s="166">
        <f>IFERROR(H25/G25-1,"-")</f>
        <v>-4.6816408826245048E-2</v>
      </c>
      <c r="J25" s="165">
        <f t="shared" si="8"/>
        <v>-4969</v>
      </c>
      <c r="K25" s="166">
        <f>H25/H$8</f>
        <v>1.8460553110425014E-2</v>
      </c>
    </row>
    <row r="26" spans="1:23" x14ac:dyDescent="0.25">
      <c r="B26" s="160" t="s">
        <v>109</v>
      </c>
      <c r="C26" s="161">
        <v>1539728</v>
      </c>
      <c r="D26" s="161">
        <v>432870</v>
      </c>
      <c r="E26" s="161">
        <v>633461</v>
      </c>
      <c r="F26" s="161">
        <v>1549841</v>
      </c>
      <c r="G26" s="161">
        <v>1706820</v>
      </c>
      <c r="H26" s="161">
        <v>1777079</v>
      </c>
      <c r="I26" s="162">
        <f>IFERROR(H26/G26-1,"-")</f>
        <v>4.1163684512719456E-2</v>
      </c>
      <c r="J26" s="161">
        <f t="shared" si="8"/>
        <v>70259</v>
      </c>
      <c r="K26" s="162">
        <f>H26/H$8</f>
        <v>0.32426792061719473</v>
      </c>
    </row>
    <row r="27" spans="1:23" x14ac:dyDescent="0.25">
      <c r="B27" s="164" t="s">
        <v>112</v>
      </c>
      <c r="C27" s="165">
        <v>757594</v>
      </c>
      <c r="D27" s="165">
        <v>187852</v>
      </c>
      <c r="E27" s="165">
        <v>208305</v>
      </c>
      <c r="F27" s="165">
        <v>783677</v>
      </c>
      <c r="G27" s="165">
        <v>883653</v>
      </c>
      <c r="H27" s="165">
        <v>930359</v>
      </c>
      <c r="I27" s="166">
        <f t="shared" ref="I27:I34" si="9">IFERROR(H27/G27-1,"-")</f>
        <v>5.2855589241478373E-2</v>
      </c>
      <c r="J27" s="165">
        <f t="shared" si="8"/>
        <v>46706</v>
      </c>
      <c r="K27" s="166">
        <f t="shared" ref="K27:K34" si="10">H27/H$8</f>
        <v>0.16976486602874305</v>
      </c>
    </row>
    <row r="28" spans="1:23" x14ac:dyDescent="0.25">
      <c r="B28" s="164" t="s">
        <v>115</v>
      </c>
      <c r="C28" s="165">
        <v>201016</v>
      </c>
      <c r="D28" s="165">
        <v>57141</v>
      </c>
      <c r="E28" s="165">
        <v>103865</v>
      </c>
      <c r="F28" s="165">
        <v>169299</v>
      </c>
      <c r="G28" s="165">
        <v>182538</v>
      </c>
      <c r="H28" s="165">
        <v>183463</v>
      </c>
      <c r="I28" s="166">
        <f t="shared" si="9"/>
        <v>5.0674380129069885E-3</v>
      </c>
      <c r="J28" s="165">
        <f t="shared" si="8"/>
        <v>925</v>
      </c>
      <c r="K28" s="166">
        <f t="shared" si="10"/>
        <v>3.3476939134496779E-2</v>
      </c>
    </row>
    <row r="29" spans="1:23" x14ac:dyDescent="0.25">
      <c r="B29" s="164" t="s">
        <v>118</v>
      </c>
      <c r="C29" s="165">
        <v>52571</v>
      </c>
      <c r="D29" s="165">
        <v>20504</v>
      </c>
      <c r="E29" s="165">
        <v>42447</v>
      </c>
      <c r="F29" s="165">
        <v>63176</v>
      </c>
      <c r="G29" s="165">
        <v>65334</v>
      </c>
      <c r="H29" s="165">
        <v>57978</v>
      </c>
      <c r="I29" s="166">
        <f t="shared" si="9"/>
        <v>-0.11259068785012394</v>
      </c>
      <c r="J29" s="165">
        <f t="shared" si="8"/>
        <v>-7356</v>
      </c>
      <c r="K29" s="166">
        <f t="shared" si="10"/>
        <v>1.0579386454706694E-2</v>
      </c>
    </row>
    <row r="30" spans="1:23" x14ac:dyDescent="0.25">
      <c r="B30" s="164" t="s">
        <v>125</v>
      </c>
      <c r="C30" s="165">
        <v>61428</v>
      </c>
      <c r="D30" s="165">
        <v>17078</v>
      </c>
      <c r="E30" s="165">
        <v>41550</v>
      </c>
      <c r="F30" s="165">
        <v>75901</v>
      </c>
      <c r="G30" s="165">
        <v>70878</v>
      </c>
      <c r="H30" s="165">
        <v>71598</v>
      </c>
      <c r="I30" s="166">
        <f t="shared" si="9"/>
        <v>1.0158300177770307E-2</v>
      </c>
      <c r="J30" s="165">
        <f t="shared" si="8"/>
        <v>720</v>
      </c>
      <c r="K30" s="166">
        <f t="shared" si="10"/>
        <v>1.3064660929733518E-2</v>
      </c>
    </row>
    <row r="31" spans="1:23" x14ac:dyDescent="0.25">
      <c r="B31" s="164" t="s">
        <v>121</v>
      </c>
      <c r="C31" s="165">
        <v>70272</v>
      </c>
      <c r="D31" s="165">
        <v>28980</v>
      </c>
      <c r="E31" s="165">
        <v>51893</v>
      </c>
      <c r="F31" s="165">
        <v>82793</v>
      </c>
      <c r="G31" s="165">
        <v>80226</v>
      </c>
      <c r="H31" s="165">
        <v>81717</v>
      </c>
      <c r="I31" s="166">
        <f t="shared" si="9"/>
        <v>1.858499738239483E-2</v>
      </c>
      <c r="J31" s="165">
        <f t="shared" si="8"/>
        <v>1491</v>
      </c>
      <c r="K31" s="166">
        <f t="shared" si="10"/>
        <v>1.4911099432875692E-2</v>
      </c>
    </row>
    <row r="32" spans="1:23" x14ac:dyDescent="0.25">
      <c r="B32" s="164" t="s">
        <v>130</v>
      </c>
      <c r="C32" s="165">
        <v>30964</v>
      </c>
      <c r="D32" s="165">
        <v>11625</v>
      </c>
      <c r="E32" s="165">
        <v>7603</v>
      </c>
      <c r="F32" s="165">
        <v>22864</v>
      </c>
      <c r="G32" s="165">
        <v>24590</v>
      </c>
      <c r="H32" s="165">
        <v>24160</v>
      </c>
      <c r="I32" s="166">
        <f t="shared" si="9"/>
        <v>-1.7486783245221682E-2</v>
      </c>
      <c r="J32" s="165">
        <f t="shared" si="8"/>
        <v>-430</v>
      </c>
      <c r="K32" s="166">
        <f t="shared" si="10"/>
        <v>4.4085338705321629E-3</v>
      </c>
    </row>
    <row r="33" spans="2:14" x14ac:dyDescent="0.25">
      <c r="B33" s="164" t="s">
        <v>133</v>
      </c>
      <c r="C33" s="165">
        <v>35546</v>
      </c>
      <c r="D33" s="165">
        <v>13377</v>
      </c>
      <c r="E33" s="165">
        <v>5465</v>
      </c>
      <c r="F33" s="165">
        <v>19705</v>
      </c>
      <c r="G33" s="165">
        <v>25667</v>
      </c>
      <c r="H33" s="165">
        <v>23273</v>
      </c>
      <c r="I33" s="166">
        <f t="shared" si="9"/>
        <v>-9.3271515954338247E-2</v>
      </c>
      <c r="J33" s="165">
        <f t="shared" si="8"/>
        <v>-2394</v>
      </c>
      <c r="K33" s="166">
        <f t="shared" si="10"/>
        <v>4.2466808265271116E-3</v>
      </c>
    </row>
    <row r="34" spans="2:14" x14ac:dyDescent="0.25">
      <c r="B34" s="169" t="s">
        <v>147</v>
      </c>
      <c r="C34" s="170">
        <f t="shared" ref="C34:H34" si="11">C26-SUM(C27:C33)</f>
        <v>330337</v>
      </c>
      <c r="D34" s="170">
        <f t="shared" si="11"/>
        <v>96313</v>
      </c>
      <c r="E34" s="170">
        <f t="shared" si="11"/>
        <v>172333</v>
      </c>
      <c r="F34" s="170">
        <f t="shared" si="11"/>
        <v>332426</v>
      </c>
      <c r="G34" s="170">
        <f t="shared" si="11"/>
        <v>373934</v>
      </c>
      <c r="H34" s="170">
        <f t="shared" si="11"/>
        <v>404531</v>
      </c>
      <c r="I34" s="171">
        <f t="shared" si="9"/>
        <v>8.1824600063112651E-2</v>
      </c>
      <c r="J34" s="170">
        <f>H34-G34</f>
        <v>30597</v>
      </c>
      <c r="K34" s="171">
        <f t="shared" si="10"/>
        <v>7.3815753939579731E-2</v>
      </c>
    </row>
    <row r="35" spans="2:14" x14ac:dyDescent="0.25">
      <c r="B35" s="156" t="s">
        <v>47</v>
      </c>
      <c r="C35" s="154"/>
      <c r="D35" s="154"/>
      <c r="E35" s="154"/>
      <c r="F35" s="154"/>
      <c r="G35" s="154"/>
      <c r="H35" s="155"/>
      <c r="I35" s="155"/>
      <c r="J35" s="155"/>
      <c r="K35" s="154"/>
      <c r="L35" s="172"/>
      <c r="M35" s="172"/>
      <c r="N35" s="172"/>
    </row>
    <row r="36" spans="2:14" x14ac:dyDescent="0.25">
      <c r="B36" s="157" t="s">
        <v>70</v>
      </c>
      <c r="C36" s="158">
        <v>1299411</v>
      </c>
      <c r="D36" s="158">
        <v>375345</v>
      </c>
      <c r="E36" s="158">
        <v>492258</v>
      </c>
      <c r="F36" s="158">
        <v>1243535</v>
      </c>
      <c r="G36" s="158">
        <v>1319978</v>
      </c>
      <c r="H36" s="158">
        <v>1387823</v>
      </c>
      <c r="I36" s="159">
        <f>IFERROR(H36/G36-1,"-")</f>
        <v>5.139858391579244E-2</v>
      </c>
      <c r="J36" s="158">
        <f>H36-G36</f>
        <v>67845</v>
      </c>
      <c r="K36" s="159">
        <f>H36/H$8</f>
        <v>0.2532394330216704</v>
      </c>
      <c r="L36" s="107"/>
      <c r="M36" s="107"/>
      <c r="N36" s="107"/>
    </row>
    <row r="37" spans="2:14" x14ac:dyDescent="0.25">
      <c r="B37" s="160" t="s">
        <v>99</v>
      </c>
      <c r="C37" s="161">
        <v>127819</v>
      </c>
      <c r="D37" s="161">
        <v>51760</v>
      </c>
      <c r="E37" s="161">
        <v>83468</v>
      </c>
      <c r="F37" s="161">
        <v>123951</v>
      </c>
      <c r="G37" s="161">
        <v>118966</v>
      </c>
      <c r="H37" s="161">
        <v>114660</v>
      </c>
      <c r="I37" s="162">
        <f>IFERROR(H37/G37-1,"-")</f>
        <v>-3.6195215439705497E-2</v>
      </c>
      <c r="J37" s="161">
        <f t="shared" ref="J37:J47" si="12">H37-G37</f>
        <v>-4306</v>
      </c>
      <c r="K37" s="162">
        <f>H37/H$8</f>
        <v>2.0922288642186166E-2</v>
      </c>
    </row>
    <row r="38" spans="2:14" x14ac:dyDescent="0.25">
      <c r="B38" s="164" t="s">
        <v>105</v>
      </c>
      <c r="C38" s="165">
        <v>51328</v>
      </c>
      <c r="D38" s="165">
        <v>24912</v>
      </c>
      <c r="E38" s="165">
        <v>43482</v>
      </c>
      <c r="F38" s="165">
        <v>48094</v>
      </c>
      <c r="G38" s="165">
        <v>51902</v>
      </c>
      <c r="H38" s="165">
        <v>50245</v>
      </c>
      <c r="I38" s="166">
        <f>IFERROR(H38/G38-1,"-")</f>
        <v>-3.1925552001849655E-2</v>
      </c>
      <c r="J38" s="165">
        <f t="shared" si="12"/>
        <v>-1657</v>
      </c>
      <c r="K38" s="166">
        <f>H38/H$8</f>
        <v>9.1683271657652526E-3</v>
      </c>
    </row>
    <row r="39" spans="2:14" x14ac:dyDescent="0.25">
      <c r="B39" s="164" t="s">
        <v>102</v>
      </c>
      <c r="C39" s="165">
        <v>76491</v>
      </c>
      <c r="D39" s="165">
        <v>26848</v>
      </c>
      <c r="E39" s="165">
        <v>39986</v>
      </c>
      <c r="F39" s="165">
        <v>75857</v>
      </c>
      <c r="G39" s="165">
        <v>67064</v>
      </c>
      <c r="H39" s="165">
        <v>64415</v>
      </c>
      <c r="I39" s="166">
        <f>IFERROR(H39/G39-1,"-")</f>
        <v>-3.9499582488369267E-2</v>
      </c>
      <c r="J39" s="165">
        <f t="shared" si="12"/>
        <v>-2649</v>
      </c>
      <c r="K39" s="166">
        <f>H39/H$8</f>
        <v>1.1753961476420913E-2</v>
      </c>
    </row>
    <row r="40" spans="2:14" x14ac:dyDescent="0.25">
      <c r="B40" s="160" t="s">
        <v>109</v>
      </c>
      <c r="C40" s="161">
        <v>1171592</v>
      </c>
      <c r="D40" s="161">
        <v>323585</v>
      </c>
      <c r="E40" s="161">
        <v>408790</v>
      </c>
      <c r="F40" s="161">
        <v>1119584</v>
      </c>
      <c r="G40" s="161">
        <v>1201012</v>
      </c>
      <c r="H40" s="161">
        <v>1273163</v>
      </c>
      <c r="I40" s="162">
        <f>IFERROR(H40/G40-1,"-")</f>
        <v>6.007516994001727E-2</v>
      </c>
      <c r="J40" s="161">
        <f t="shared" si="12"/>
        <v>72151</v>
      </c>
      <c r="K40" s="162">
        <f>H40/H$8</f>
        <v>0.23231714437948425</v>
      </c>
    </row>
    <row r="41" spans="2:14" x14ac:dyDescent="0.25">
      <c r="B41" s="164" t="s">
        <v>112</v>
      </c>
      <c r="C41" s="165">
        <v>640459</v>
      </c>
      <c r="D41" s="165">
        <v>146501</v>
      </c>
      <c r="E41" s="165">
        <v>142606</v>
      </c>
      <c r="F41" s="165">
        <v>581865</v>
      </c>
      <c r="G41" s="165">
        <v>634691</v>
      </c>
      <c r="H41" s="165">
        <v>683651</v>
      </c>
      <c r="I41" s="166">
        <f t="shared" ref="I41:I48" si="13">IFERROR(H41/G41-1,"-")</f>
        <v>7.7139899573178239E-2</v>
      </c>
      <c r="J41" s="165">
        <f t="shared" si="12"/>
        <v>48960</v>
      </c>
      <c r="K41" s="166">
        <f t="shared" ref="K41:K48" si="14">H41/H$8</f>
        <v>0.12474745815907216</v>
      </c>
    </row>
    <row r="42" spans="2:14" x14ac:dyDescent="0.25">
      <c r="B42" s="164" t="s">
        <v>115</v>
      </c>
      <c r="C42" s="165">
        <v>52401</v>
      </c>
      <c r="D42" s="165">
        <v>16159</v>
      </c>
      <c r="E42" s="165">
        <v>21846</v>
      </c>
      <c r="F42" s="165">
        <v>39072</v>
      </c>
      <c r="G42" s="165">
        <v>45133</v>
      </c>
      <c r="H42" s="165">
        <v>44501</v>
      </c>
      <c r="I42" s="166">
        <f t="shared" si="13"/>
        <v>-1.4003057629672355E-2</v>
      </c>
      <c r="J42" s="165">
        <f t="shared" si="12"/>
        <v>-632</v>
      </c>
      <c r="K42" s="166">
        <f t="shared" si="14"/>
        <v>8.1202055369433684E-3</v>
      </c>
    </row>
    <row r="43" spans="2:14" x14ac:dyDescent="0.25">
      <c r="B43" s="164" t="s">
        <v>118</v>
      </c>
      <c r="C43" s="165">
        <v>24405</v>
      </c>
      <c r="D43" s="165">
        <v>9702</v>
      </c>
      <c r="E43" s="165">
        <v>19919</v>
      </c>
      <c r="F43" s="165">
        <v>27268</v>
      </c>
      <c r="G43" s="165">
        <v>28898</v>
      </c>
      <c r="H43" s="165">
        <v>29098</v>
      </c>
      <c r="I43" s="166">
        <f t="shared" si="13"/>
        <v>6.9208941795280143E-3</v>
      </c>
      <c r="J43" s="165">
        <f t="shared" si="12"/>
        <v>200</v>
      </c>
      <c r="K43" s="166">
        <f t="shared" si="14"/>
        <v>5.3095827220506981E-3</v>
      </c>
    </row>
    <row r="44" spans="2:14" x14ac:dyDescent="0.25">
      <c r="B44" s="164" t="s">
        <v>125</v>
      </c>
      <c r="C44" s="165">
        <v>53890</v>
      </c>
      <c r="D44" s="165">
        <v>15410</v>
      </c>
      <c r="E44" s="165">
        <v>30677</v>
      </c>
      <c r="F44" s="165">
        <v>57015</v>
      </c>
      <c r="G44" s="165">
        <v>55478</v>
      </c>
      <c r="H44" s="165">
        <v>57898</v>
      </c>
      <c r="I44" s="166">
        <f t="shared" si="13"/>
        <v>4.3620894769097696E-2</v>
      </c>
      <c r="J44" s="165">
        <f t="shared" si="12"/>
        <v>2420</v>
      </c>
      <c r="K44" s="166">
        <f t="shared" si="14"/>
        <v>1.0564788660433408E-2</v>
      </c>
    </row>
    <row r="45" spans="2:14" x14ac:dyDescent="0.25">
      <c r="B45" s="164" t="s">
        <v>121</v>
      </c>
      <c r="C45" s="165">
        <v>41202</v>
      </c>
      <c r="D45" s="165">
        <v>15534</v>
      </c>
      <c r="E45" s="165">
        <v>22807</v>
      </c>
      <c r="F45" s="165">
        <v>38767</v>
      </c>
      <c r="G45" s="165">
        <v>44187</v>
      </c>
      <c r="H45" s="165">
        <v>44633</v>
      </c>
      <c r="I45" s="166">
        <f t="shared" si="13"/>
        <v>1.0093466404146101E-2</v>
      </c>
      <c r="J45" s="165">
        <f t="shared" si="12"/>
        <v>446</v>
      </c>
      <c r="K45" s="166">
        <f t="shared" si="14"/>
        <v>8.1442918974942886E-3</v>
      </c>
    </row>
    <row r="46" spans="2:14" x14ac:dyDescent="0.25">
      <c r="B46" s="164" t="s">
        <v>130</v>
      </c>
      <c r="C46" s="165">
        <v>26919</v>
      </c>
      <c r="D46" s="165">
        <v>9750</v>
      </c>
      <c r="E46" s="165">
        <v>10533</v>
      </c>
      <c r="F46" s="165">
        <v>22457</v>
      </c>
      <c r="G46" s="165">
        <v>23505</v>
      </c>
      <c r="H46" s="165">
        <v>22219</v>
      </c>
      <c r="I46" s="166">
        <f t="shared" si="13"/>
        <v>-5.4711763454584172E-2</v>
      </c>
      <c r="J46" s="165">
        <f t="shared" si="12"/>
        <v>-1286</v>
      </c>
      <c r="K46" s="166">
        <f t="shared" si="14"/>
        <v>4.0543548869765777E-3</v>
      </c>
    </row>
    <row r="47" spans="2:14" x14ac:dyDescent="0.25">
      <c r="B47" s="164" t="s">
        <v>133</v>
      </c>
      <c r="C47" s="165">
        <v>42509</v>
      </c>
      <c r="D47" s="165">
        <v>16737</v>
      </c>
      <c r="E47" s="165">
        <v>10472</v>
      </c>
      <c r="F47" s="165">
        <v>22560</v>
      </c>
      <c r="G47" s="165">
        <v>26526</v>
      </c>
      <c r="H47" s="165">
        <v>24735</v>
      </c>
      <c r="I47" s="166">
        <f t="shared" si="13"/>
        <v>-6.7518660936439767E-2</v>
      </c>
      <c r="J47" s="165">
        <f t="shared" si="12"/>
        <v>-1791</v>
      </c>
      <c r="K47" s="166">
        <f t="shared" si="14"/>
        <v>4.5134555168714011E-3</v>
      </c>
    </row>
    <row r="48" spans="2:14" x14ac:dyDescent="0.25">
      <c r="B48" s="169" t="s">
        <v>147</v>
      </c>
      <c r="C48" s="170">
        <f t="shared" ref="C48:H48" si="15">C40-SUM(C41:C47)</f>
        <v>289807</v>
      </c>
      <c r="D48" s="170">
        <f t="shared" si="15"/>
        <v>93792</v>
      </c>
      <c r="E48" s="170">
        <f t="shared" si="15"/>
        <v>149930</v>
      </c>
      <c r="F48" s="170">
        <f t="shared" si="15"/>
        <v>330580</v>
      </c>
      <c r="G48" s="170">
        <f t="shared" si="15"/>
        <v>342594</v>
      </c>
      <c r="H48" s="170">
        <f t="shared" si="15"/>
        <v>366428</v>
      </c>
      <c r="I48" s="171">
        <f t="shared" si="13"/>
        <v>6.9569227715605031E-2</v>
      </c>
      <c r="J48" s="170">
        <f>H48-G48</f>
        <v>23834</v>
      </c>
      <c r="K48" s="171">
        <f t="shared" si="14"/>
        <v>6.6863006999642358E-2</v>
      </c>
    </row>
    <row r="49" spans="2:14" x14ac:dyDescent="0.25">
      <c r="B49" s="156" t="s">
        <v>48</v>
      </c>
      <c r="C49" s="154"/>
      <c r="D49" s="154"/>
      <c r="E49" s="154"/>
      <c r="F49" s="154"/>
      <c r="G49" s="154"/>
      <c r="H49" s="155"/>
      <c r="I49" s="155"/>
      <c r="J49" s="155"/>
      <c r="K49" s="154"/>
      <c r="L49" s="172"/>
      <c r="M49" s="172"/>
      <c r="N49" s="172"/>
    </row>
    <row r="50" spans="2:14" x14ac:dyDescent="0.25">
      <c r="B50" s="157" t="s">
        <v>70</v>
      </c>
      <c r="C50" s="158">
        <v>45076</v>
      </c>
      <c r="D50" s="158">
        <v>12633</v>
      </c>
      <c r="E50" s="158">
        <v>20161</v>
      </c>
      <c r="F50" s="158">
        <v>37751</v>
      </c>
      <c r="G50" s="158">
        <v>51166</v>
      </c>
      <c r="H50" s="158">
        <v>43737</v>
      </c>
      <c r="I50" s="159">
        <f>IFERROR(H50/G50-1,"-")</f>
        <v>-0.14519407418989172</v>
      </c>
      <c r="J50" s="158">
        <f>H50-G50</f>
        <v>-7429</v>
      </c>
      <c r="K50" s="159">
        <f>H50/H$8</f>
        <v>7.9807966016334931E-3</v>
      </c>
      <c r="L50" s="107"/>
      <c r="M50" s="107"/>
      <c r="N50" s="107"/>
    </row>
    <row r="51" spans="2:14" x14ac:dyDescent="0.25">
      <c r="B51" s="160" t="s">
        <v>99</v>
      </c>
      <c r="C51" s="161">
        <v>10509</v>
      </c>
      <c r="D51" s="161">
        <v>2339</v>
      </c>
      <c r="E51" s="161">
        <v>4950</v>
      </c>
      <c r="F51" s="161">
        <v>6762</v>
      </c>
      <c r="G51" s="161">
        <v>20250</v>
      </c>
      <c r="H51" s="161">
        <v>11054</v>
      </c>
      <c r="I51" s="162">
        <f>IFERROR(H51/G51-1,"-")</f>
        <v>-0.45412345679012345</v>
      </c>
      <c r="J51" s="161">
        <f t="shared" ref="J51:J61" si="16">H51-G51</f>
        <v>-9196</v>
      </c>
      <c r="K51" s="162">
        <f>H51/H$8</f>
        <v>2.0170502237111974E-3</v>
      </c>
    </row>
    <row r="52" spans="2:14" x14ac:dyDescent="0.25">
      <c r="B52" s="164" t="s">
        <v>105</v>
      </c>
      <c r="C52" s="165">
        <v>5944</v>
      </c>
      <c r="D52" s="165">
        <v>1658</v>
      </c>
      <c r="E52" s="165">
        <v>2415</v>
      </c>
      <c r="F52" s="165">
        <v>3515</v>
      </c>
      <c r="G52" s="165">
        <v>14811</v>
      </c>
      <c r="H52" s="165">
        <v>7251</v>
      </c>
      <c r="I52" s="166">
        <f>IFERROR(H52/G52-1,"-")</f>
        <v>-0.51043143609479436</v>
      </c>
      <c r="J52" s="165">
        <f t="shared" si="16"/>
        <v>-7560</v>
      </c>
      <c r="K52" s="166">
        <f>H52/H$8</f>
        <v>1.323107578444897E-3</v>
      </c>
    </row>
    <row r="53" spans="2:14" x14ac:dyDescent="0.25">
      <c r="B53" s="164" t="s">
        <v>102</v>
      </c>
      <c r="C53" s="165">
        <v>4565</v>
      </c>
      <c r="D53" s="165">
        <v>681</v>
      </c>
      <c r="E53" s="165">
        <v>2535</v>
      </c>
      <c r="F53" s="165">
        <v>3247</v>
      </c>
      <c r="G53" s="165">
        <v>5439</v>
      </c>
      <c r="H53" s="165">
        <v>3803</v>
      </c>
      <c r="I53" s="166">
        <f>IFERROR(H53/G53-1,"-")</f>
        <v>-0.30079058650487223</v>
      </c>
      <c r="J53" s="165">
        <f t="shared" si="16"/>
        <v>-1636</v>
      </c>
      <c r="K53" s="166">
        <f>H53/H$8</f>
        <v>6.9394264526630026E-4</v>
      </c>
    </row>
    <row r="54" spans="2:14" x14ac:dyDescent="0.25">
      <c r="B54" s="160" t="s">
        <v>109</v>
      </c>
      <c r="C54" s="161">
        <v>34567</v>
      </c>
      <c r="D54" s="161">
        <v>10294</v>
      </c>
      <c r="E54" s="161">
        <v>15211</v>
      </c>
      <c r="F54" s="161">
        <v>30989</v>
      </c>
      <c r="G54" s="161">
        <v>30916</v>
      </c>
      <c r="H54" s="161">
        <v>32683</v>
      </c>
      <c r="I54" s="162">
        <f>IFERROR(H54/G54-1,"-")</f>
        <v>5.7154871264070373E-2</v>
      </c>
      <c r="J54" s="161">
        <f t="shared" si="16"/>
        <v>1767</v>
      </c>
      <c r="K54" s="162">
        <f>H54/H$8</f>
        <v>5.9637463779222957E-3</v>
      </c>
    </row>
    <row r="55" spans="2:14" x14ac:dyDescent="0.25">
      <c r="B55" s="164" t="s">
        <v>112</v>
      </c>
      <c r="C55" s="165">
        <v>10275</v>
      </c>
      <c r="D55" s="165">
        <v>3060</v>
      </c>
      <c r="E55" s="165">
        <v>3030</v>
      </c>
      <c r="F55" s="165">
        <v>10352</v>
      </c>
      <c r="G55" s="165">
        <v>9308</v>
      </c>
      <c r="H55" s="165">
        <v>11037</v>
      </c>
      <c r="I55" s="166">
        <f t="shared" ref="I55:I62" si="17">IFERROR(H55/G55-1,"-")</f>
        <v>0.18575418994413417</v>
      </c>
      <c r="J55" s="165">
        <f t="shared" si="16"/>
        <v>1729</v>
      </c>
      <c r="K55" s="166">
        <f t="shared" ref="K55:K62" si="18">H55/H$8</f>
        <v>2.013948192428124E-3</v>
      </c>
    </row>
    <row r="56" spans="2:14" x14ac:dyDescent="0.25">
      <c r="B56" s="164" t="s">
        <v>115</v>
      </c>
      <c r="C56" s="165">
        <v>9881</v>
      </c>
      <c r="D56" s="165">
        <v>2874</v>
      </c>
      <c r="E56" s="165">
        <v>5150</v>
      </c>
      <c r="F56" s="165">
        <v>6811</v>
      </c>
      <c r="G56" s="165">
        <v>6211</v>
      </c>
      <c r="H56" s="165">
        <v>6595</v>
      </c>
      <c r="I56" s="166">
        <f t="shared" si="17"/>
        <v>6.1825792947995506E-2</v>
      </c>
      <c r="J56" s="165">
        <f t="shared" si="16"/>
        <v>384</v>
      </c>
      <c r="K56" s="166">
        <f t="shared" si="18"/>
        <v>1.2034056654039575E-3</v>
      </c>
    </row>
    <row r="57" spans="2:14" x14ac:dyDescent="0.25">
      <c r="B57" s="164" t="s">
        <v>118</v>
      </c>
      <c r="C57" s="165">
        <v>2186</v>
      </c>
      <c r="D57" s="165">
        <v>544</v>
      </c>
      <c r="E57" s="165">
        <v>1642</v>
      </c>
      <c r="F57" s="165">
        <v>2746</v>
      </c>
      <c r="G57" s="165">
        <v>2942</v>
      </c>
      <c r="H57" s="165">
        <v>2300</v>
      </c>
      <c r="I57" s="166">
        <f t="shared" si="17"/>
        <v>-0.21821889870836164</v>
      </c>
      <c r="J57" s="165">
        <f t="shared" si="16"/>
        <v>-642</v>
      </c>
      <c r="K57" s="166">
        <f t="shared" si="18"/>
        <v>4.1968658535695259E-4</v>
      </c>
    </row>
    <row r="58" spans="2:14" x14ac:dyDescent="0.25">
      <c r="B58" s="164" t="s">
        <v>125</v>
      </c>
      <c r="C58" s="165">
        <v>731</v>
      </c>
      <c r="D58" s="165">
        <v>284</v>
      </c>
      <c r="E58" s="165">
        <v>377</v>
      </c>
      <c r="F58" s="165">
        <v>868</v>
      </c>
      <c r="G58" s="165">
        <v>832</v>
      </c>
      <c r="H58" s="165">
        <v>1093</v>
      </c>
      <c r="I58" s="166">
        <f t="shared" si="17"/>
        <v>0.31370192307692313</v>
      </c>
      <c r="J58" s="165">
        <f t="shared" si="16"/>
        <v>261</v>
      </c>
      <c r="K58" s="166">
        <f t="shared" si="18"/>
        <v>1.994423642587605E-4</v>
      </c>
    </row>
    <row r="59" spans="2:14" x14ac:dyDescent="0.25">
      <c r="B59" s="164" t="s">
        <v>121</v>
      </c>
      <c r="C59" s="165">
        <v>686</v>
      </c>
      <c r="D59" s="165">
        <v>229</v>
      </c>
      <c r="E59" s="165">
        <v>476</v>
      </c>
      <c r="F59" s="165">
        <v>657</v>
      </c>
      <c r="G59" s="165">
        <v>709</v>
      </c>
      <c r="H59" s="165">
        <v>810</v>
      </c>
      <c r="I59" s="166">
        <f t="shared" si="17"/>
        <v>0.14245416078984485</v>
      </c>
      <c r="J59" s="165">
        <f t="shared" si="16"/>
        <v>101</v>
      </c>
      <c r="K59" s="166">
        <f t="shared" si="18"/>
        <v>1.4780266701701372E-4</v>
      </c>
    </row>
    <row r="60" spans="2:14" x14ac:dyDescent="0.25">
      <c r="B60" s="164" t="s">
        <v>130</v>
      </c>
      <c r="C60" s="165">
        <v>281</v>
      </c>
      <c r="D60" s="165">
        <v>136</v>
      </c>
      <c r="E60" s="165">
        <v>98</v>
      </c>
      <c r="F60" s="165">
        <v>136</v>
      </c>
      <c r="G60" s="165">
        <v>243</v>
      </c>
      <c r="H60" s="165">
        <v>141</v>
      </c>
      <c r="I60" s="166">
        <f t="shared" si="17"/>
        <v>-0.41975308641975306</v>
      </c>
      <c r="J60" s="165">
        <f t="shared" si="16"/>
        <v>-102</v>
      </c>
      <c r="K60" s="166">
        <f t="shared" si="18"/>
        <v>2.5728612406665352E-5</v>
      </c>
    </row>
    <row r="61" spans="2:14" x14ac:dyDescent="0.25">
      <c r="B61" s="164" t="s">
        <v>133</v>
      </c>
      <c r="C61" s="165">
        <v>591</v>
      </c>
      <c r="D61" s="165">
        <v>217</v>
      </c>
      <c r="E61" s="165">
        <v>91</v>
      </c>
      <c r="F61" s="165">
        <v>153</v>
      </c>
      <c r="G61" s="165">
        <v>195</v>
      </c>
      <c r="H61" s="165">
        <v>156</v>
      </c>
      <c r="I61" s="166">
        <f t="shared" si="17"/>
        <v>-0.19999999999999996</v>
      </c>
      <c r="J61" s="165">
        <f t="shared" si="16"/>
        <v>-39</v>
      </c>
      <c r="K61" s="166">
        <f t="shared" si="18"/>
        <v>2.8465698832906347E-5</v>
      </c>
    </row>
    <row r="62" spans="2:14" x14ac:dyDescent="0.25">
      <c r="B62" s="169" t="s">
        <v>147</v>
      </c>
      <c r="C62" s="170">
        <f t="shared" ref="C62:H62" si="19">C54-SUM(C55:C61)</f>
        <v>9936</v>
      </c>
      <c r="D62" s="170">
        <f t="shared" si="19"/>
        <v>2950</v>
      </c>
      <c r="E62" s="170">
        <f t="shared" si="19"/>
        <v>4347</v>
      </c>
      <c r="F62" s="170">
        <f t="shared" si="19"/>
        <v>9266</v>
      </c>
      <c r="G62" s="170">
        <f t="shared" si="19"/>
        <v>10476</v>
      </c>
      <c r="H62" s="170">
        <f t="shared" si="19"/>
        <v>10551</v>
      </c>
      <c r="I62" s="171">
        <f t="shared" si="17"/>
        <v>7.1592210767468245E-3</v>
      </c>
      <c r="J62" s="170">
        <f>H62-G62</f>
        <v>75</v>
      </c>
      <c r="K62" s="171">
        <f t="shared" si="18"/>
        <v>1.9252665922179159E-3</v>
      </c>
    </row>
    <row r="63" spans="2:14" x14ac:dyDescent="0.25">
      <c r="B63" s="156" t="s">
        <v>49</v>
      </c>
      <c r="C63" s="154"/>
      <c r="D63" s="154"/>
      <c r="E63" s="154"/>
      <c r="F63" s="154"/>
      <c r="G63" s="154"/>
      <c r="H63" s="155"/>
      <c r="I63" s="155"/>
      <c r="J63" s="155"/>
      <c r="K63" s="154"/>
      <c r="L63" s="172"/>
      <c r="M63" s="172"/>
      <c r="N63" s="172"/>
    </row>
    <row r="64" spans="2:14" x14ac:dyDescent="0.25">
      <c r="B64" s="157" t="s">
        <v>70</v>
      </c>
      <c r="C64" s="158">
        <v>137126</v>
      </c>
      <c r="D64" s="158">
        <v>55313</v>
      </c>
      <c r="E64" s="158">
        <v>70304</v>
      </c>
      <c r="F64" s="158">
        <v>161080</v>
      </c>
      <c r="G64" s="158">
        <v>179837</v>
      </c>
      <c r="H64" s="158">
        <v>231856</v>
      </c>
      <c r="I64" s="159">
        <f>IFERROR(H64/G64-1,"-")</f>
        <v>0.28925638216829674</v>
      </c>
      <c r="J64" s="158">
        <f>H64-G64</f>
        <v>52019</v>
      </c>
      <c r="K64" s="159">
        <f>H64/H$8</f>
        <v>4.2307327362835476E-2</v>
      </c>
      <c r="L64" s="107"/>
      <c r="M64" s="107"/>
      <c r="N64" s="107"/>
    </row>
    <row r="65" spans="2:14" x14ac:dyDescent="0.25">
      <c r="B65" s="160" t="s">
        <v>99</v>
      </c>
      <c r="C65" s="161">
        <v>41904</v>
      </c>
      <c r="D65" s="161">
        <v>24273</v>
      </c>
      <c r="E65" s="161">
        <v>26311</v>
      </c>
      <c r="F65" s="161">
        <v>32375</v>
      </c>
      <c r="G65" s="161">
        <v>47068</v>
      </c>
      <c r="H65" s="161">
        <v>61312</v>
      </c>
      <c r="I65" s="162">
        <f>IFERROR(H65/G65-1,"-")</f>
        <v>0.30262598793235318</v>
      </c>
      <c r="J65" s="161">
        <f t="shared" ref="J65:J75" si="20">H65-G65</f>
        <v>14244</v>
      </c>
      <c r="K65" s="162">
        <f>H65/H$8</f>
        <v>1.1187749531045859E-2</v>
      </c>
    </row>
    <row r="66" spans="2:14" x14ac:dyDescent="0.25">
      <c r="B66" s="164" t="s">
        <v>105</v>
      </c>
      <c r="C66" s="165">
        <v>22752</v>
      </c>
      <c r="D66" s="165">
        <v>8930</v>
      </c>
      <c r="E66" s="165">
        <v>21567</v>
      </c>
      <c r="F66" s="165">
        <v>23338</v>
      </c>
      <c r="G66" s="165">
        <v>31999</v>
      </c>
      <c r="H66" s="165">
        <v>37562</v>
      </c>
      <c r="I66" s="166">
        <f>IFERROR(H66/G66-1,"-")</f>
        <v>0.17384918278696215</v>
      </c>
      <c r="J66" s="165">
        <f t="shared" si="20"/>
        <v>5563</v>
      </c>
      <c r="K66" s="166">
        <f>H66/H$8</f>
        <v>6.8540293561642832E-3</v>
      </c>
    </row>
    <row r="67" spans="2:14" x14ac:dyDescent="0.25">
      <c r="B67" s="164" t="s">
        <v>102</v>
      </c>
      <c r="C67" s="165">
        <v>19152</v>
      </c>
      <c r="D67" s="165">
        <v>15343</v>
      </c>
      <c r="E67" s="165">
        <v>4744</v>
      </c>
      <c r="F67" s="165">
        <v>9037</v>
      </c>
      <c r="G67" s="165">
        <v>15069</v>
      </c>
      <c r="H67" s="165">
        <v>23750</v>
      </c>
      <c r="I67" s="166">
        <f>IFERROR(H67/G67-1,"-")</f>
        <v>0.57608334992368437</v>
      </c>
      <c r="J67" s="165">
        <f t="shared" si="20"/>
        <v>8681</v>
      </c>
      <c r="K67" s="166">
        <f>H67/H$8</f>
        <v>4.3337201748815755E-3</v>
      </c>
    </row>
    <row r="68" spans="2:14" x14ac:dyDescent="0.25">
      <c r="B68" s="160" t="s">
        <v>109</v>
      </c>
      <c r="C68" s="161">
        <v>95222</v>
      </c>
      <c r="D68" s="161">
        <v>31040</v>
      </c>
      <c r="E68" s="161">
        <v>43993</v>
      </c>
      <c r="F68" s="161">
        <v>128705</v>
      </c>
      <c r="G68" s="161">
        <v>132769</v>
      </c>
      <c r="H68" s="161">
        <v>170544</v>
      </c>
      <c r="I68" s="162">
        <f>IFERROR(H68/G68-1,"-")</f>
        <v>0.28451671700472247</v>
      </c>
      <c r="J68" s="161">
        <f t="shared" si="20"/>
        <v>37775</v>
      </c>
      <c r="K68" s="162">
        <f>H68/H$8</f>
        <v>3.1119577831789615E-2</v>
      </c>
    </row>
    <row r="69" spans="2:14" x14ac:dyDescent="0.25">
      <c r="B69" s="164" t="s">
        <v>112</v>
      </c>
      <c r="C69" s="165">
        <v>41026</v>
      </c>
      <c r="D69" s="165">
        <v>13899</v>
      </c>
      <c r="E69" s="165">
        <v>12264</v>
      </c>
      <c r="F69" s="165">
        <v>56081</v>
      </c>
      <c r="G69" s="165">
        <v>50457</v>
      </c>
      <c r="H69" s="165">
        <v>73242</v>
      </c>
      <c r="I69" s="166">
        <f t="shared" ref="I69:I76" si="21">IFERROR(H69/G69-1,"-")</f>
        <v>0.45157262619656335</v>
      </c>
      <c r="J69" s="165">
        <f t="shared" si="20"/>
        <v>22785</v>
      </c>
      <c r="K69" s="166">
        <f t="shared" ref="K69:K76" si="22">H69/H$8</f>
        <v>1.336464560204953E-2</v>
      </c>
    </row>
    <row r="70" spans="2:14" x14ac:dyDescent="0.25">
      <c r="B70" s="164" t="s">
        <v>115</v>
      </c>
      <c r="C70" s="165">
        <v>11534</v>
      </c>
      <c r="D70" s="165">
        <v>3374</v>
      </c>
      <c r="E70" s="165">
        <v>3586</v>
      </c>
      <c r="F70" s="165">
        <v>7748</v>
      </c>
      <c r="G70" s="165">
        <v>10955</v>
      </c>
      <c r="H70" s="165">
        <v>10731</v>
      </c>
      <c r="I70" s="166">
        <f t="shared" si="21"/>
        <v>-2.0447284345047945E-2</v>
      </c>
      <c r="J70" s="165">
        <f t="shared" si="20"/>
        <v>-224</v>
      </c>
      <c r="K70" s="166">
        <f t="shared" si="22"/>
        <v>1.9581116293328079E-3</v>
      </c>
    </row>
    <row r="71" spans="2:14" x14ac:dyDescent="0.25">
      <c r="B71" s="164" t="s">
        <v>118</v>
      </c>
      <c r="C71" s="165">
        <v>10880</v>
      </c>
      <c r="D71" s="165">
        <v>3449</v>
      </c>
      <c r="E71" s="165">
        <v>6294</v>
      </c>
      <c r="F71" s="165">
        <v>18047</v>
      </c>
      <c r="G71" s="165">
        <v>15837</v>
      </c>
      <c r="H71" s="165">
        <v>19123</v>
      </c>
      <c r="I71" s="166">
        <f t="shared" si="21"/>
        <v>0.20748879206920501</v>
      </c>
      <c r="J71" s="165">
        <f t="shared" si="20"/>
        <v>3286</v>
      </c>
      <c r="K71" s="166">
        <f t="shared" si="22"/>
        <v>3.4894202486004363E-3</v>
      </c>
    </row>
    <row r="72" spans="2:14" x14ac:dyDescent="0.25">
      <c r="B72" s="164" t="s">
        <v>125</v>
      </c>
      <c r="C72" s="165">
        <v>1784</v>
      </c>
      <c r="D72" s="165">
        <v>536</v>
      </c>
      <c r="E72" s="165">
        <v>3888</v>
      </c>
      <c r="F72" s="165">
        <v>3396</v>
      </c>
      <c r="G72" s="165">
        <v>3947</v>
      </c>
      <c r="H72" s="165">
        <v>6454</v>
      </c>
      <c r="I72" s="166">
        <f t="shared" si="21"/>
        <v>0.63516594882189015</v>
      </c>
      <c r="J72" s="165">
        <f t="shared" si="20"/>
        <v>2507</v>
      </c>
      <c r="K72" s="166">
        <f t="shared" si="22"/>
        <v>1.1776770529972921E-3</v>
      </c>
    </row>
    <row r="73" spans="2:14" x14ac:dyDescent="0.25">
      <c r="B73" s="164" t="s">
        <v>121</v>
      </c>
      <c r="C73" s="165">
        <v>2469</v>
      </c>
      <c r="D73" s="165">
        <v>1278</v>
      </c>
      <c r="E73" s="165">
        <v>1635</v>
      </c>
      <c r="F73" s="165">
        <v>3248</v>
      </c>
      <c r="G73" s="165">
        <v>2699</v>
      </c>
      <c r="H73" s="165">
        <v>4219</v>
      </c>
      <c r="I73" s="166">
        <f t="shared" si="21"/>
        <v>0.56317154501667277</v>
      </c>
      <c r="J73" s="165">
        <f t="shared" si="20"/>
        <v>1520</v>
      </c>
      <c r="K73" s="166">
        <f t="shared" si="22"/>
        <v>7.6985117548738385E-4</v>
      </c>
    </row>
    <row r="74" spans="2:14" x14ac:dyDescent="0.25">
      <c r="B74" s="164" t="s">
        <v>130</v>
      </c>
      <c r="C74" s="165">
        <v>2202</v>
      </c>
      <c r="D74" s="165">
        <v>686</v>
      </c>
      <c r="E74" s="165">
        <v>1848</v>
      </c>
      <c r="F74" s="165">
        <v>2875</v>
      </c>
      <c r="G74" s="165">
        <v>3786</v>
      </c>
      <c r="H74" s="165">
        <v>3186</v>
      </c>
      <c r="I74" s="166">
        <f t="shared" si="21"/>
        <v>-0.15847860538827263</v>
      </c>
      <c r="J74" s="165">
        <f t="shared" si="20"/>
        <v>-600</v>
      </c>
      <c r="K74" s="166">
        <f t="shared" si="22"/>
        <v>5.8135715693358734E-4</v>
      </c>
    </row>
    <row r="75" spans="2:14" x14ac:dyDescent="0.25">
      <c r="B75" s="164" t="s">
        <v>133</v>
      </c>
      <c r="C75" s="165">
        <v>2302</v>
      </c>
      <c r="D75" s="165">
        <v>932</v>
      </c>
      <c r="E75" s="165">
        <v>363</v>
      </c>
      <c r="F75" s="165">
        <v>967</v>
      </c>
      <c r="G75" s="165">
        <v>1128</v>
      </c>
      <c r="H75" s="165">
        <v>3135</v>
      </c>
      <c r="I75" s="166">
        <f t="shared" si="21"/>
        <v>1.7792553191489362</v>
      </c>
      <c r="J75" s="165">
        <f t="shared" si="20"/>
        <v>2007</v>
      </c>
      <c r="K75" s="166">
        <f t="shared" si="22"/>
        <v>5.7205106308436799E-4</v>
      </c>
    </row>
    <row r="76" spans="2:14" x14ac:dyDescent="0.25">
      <c r="B76" s="169" t="s">
        <v>147</v>
      </c>
      <c r="C76" s="170">
        <f t="shared" ref="C76:H76" si="23">C68-SUM(C69:C75)</f>
        <v>23025</v>
      </c>
      <c r="D76" s="170">
        <f t="shared" si="23"/>
        <v>6886</v>
      </c>
      <c r="E76" s="170">
        <f t="shared" si="23"/>
        <v>14115</v>
      </c>
      <c r="F76" s="170">
        <f t="shared" si="23"/>
        <v>36343</v>
      </c>
      <c r="G76" s="170">
        <f t="shared" si="23"/>
        <v>43960</v>
      </c>
      <c r="H76" s="170">
        <f t="shared" si="23"/>
        <v>50454</v>
      </c>
      <c r="I76" s="171">
        <f t="shared" si="21"/>
        <v>0.14772520473157424</v>
      </c>
      <c r="J76" s="170">
        <f>H76-G76</f>
        <v>6494</v>
      </c>
      <c r="K76" s="171">
        <f t="shared" si="22"/>
        <v>9.2064639033042107E-3</v>
      </c>
    </row>
    <row r="77" spans="2:14" x14ac:dyDescent="0.25">
      <c r="B77" s="156" t="s">
        <v>50</v>
      </c>
      <c r="C77" s="154"/>
      <c r="D77" s="154"/>
      <c r="E77" s="154"/>
      <c r="F77" s="154"/>
      <c r="G77" s="154"/>
      <c r="H77" s="155"/>
      <c r="I77" s="155"/>
      <c r="J77" s="155"/>
      <c r="K77" s="154"/>
      <c r="L77" s="172"/>
      <c r="M77" s="172"/>
      <c r="N77" s="172"/>
    </row>
    <row r="78" spans="2:14" x14ac:dyDescent="0.25">
      <c r="B78" s="157" t="s">
        <v>70</v>
      </c>
      <c r="C78" s="158">
        <v>791721</v>
      </c>
      <c r="D78" s="158">
        <v>225835</v>
      </c>
      <c r="E78" s="158">
        <v>354204</v>
      </c>
      <c r="F78" s="158">
        <v>710225</v>
      </c>
      <c r="G78" s="158">
        <v>797848</v>
      </c>
      <c r="H78" s="158">
        <v>914356</v>
      </c>
      <c r="I78" s="159">
        <f>IFERROR(H78/G78-1,"-")</f>
        <v>0.14602781482187077</v>
      </c>
      <c r="J78" s="158">
        <f>H78-G78</f>
        <v>116508</v>
      </c>
      <c r="K78" s="159">
        <f>H78/H$8</f>
        <v>0.16684475975680074</v>
      </c>
      <c r="L78" s="107"/>
      <c r="M78" s="107"/>
      <c r="N78" s="107"/>
    </row>
    <row r="79" spans="2:14" x14ac:dyDescent="0.25">
      <c r="B79" s="160" t="s">
        <v>99</v>
      </c>
      <c r="C79" s="161">
        <v>356283</v>
      </c>
      <c r="D79" s="161">
        <v>103133</v>
      </c>
      <c r="E79" s="161">
        <v>181693</v>
      </c>
      <c r="F79" s="161">
        <v>342343</v>
      </c>
      <c r="G79" s="161">
        <v>341923</v>
      </c>
      <c r="H79" s="161">
        <v>382237</v>
      </c>
      <c r="I79" s="162">
        <f>IFERROR(H79/G79-1,"-")</f>
        <v>0.1179037385610211</v>
      </c>
      <c r="J79" s="161">
        <f t="shared" ref="J79:J89" si="24">H79-G79</f>
        <v>40314</v>
      </c>
      <c r="K79" s="162">
        <f>H79/H$8</f>
        <v>6.9747713620471941E-2</v>
      </c>
    </row>
    <row r="80" spans="2:14" x14ac:dyDescent="0.25">
      <c r="B80" s="164" t="s">
        <v>105</v>
      </c>
      <c r="C80" s="165">
        <v>72064</v>
      </c>
      <c r="D80" s="165">
        <v>28320</v>
      </c>
      <c r="E80" s="165">
        <v>66989</v>
      </c>
      <c r="F80" s="165">
        <v>97391</v>
      </c>
      <c r="G80" s="165">
        <v>92103</v>
      </c>
      <c r="H80" s="165">
        <v>106284</v>
      </c>
      <c r="I80" s="166">
        <f>IFERROR(H80/G80-1,"-")</f>
        <v>0.15396892609361257</v>
      </c>
      <c r="J80" s="165">
        <f t="shared" si="24"/>
        <v>14181</v>
      </c>
      <c r="K80" s="166">
        <f>H80/H$8</f>
        <v>1.9393899581773195E-2</v>
      </c>
    </row>
    <row r="81" spans="2:14" x14ac:dyDescent="0.25">
      <c r="B81" s="164" t="s">
        <v>102</v>
      </c>
      <c r="C81" s="165">
        <v>284219</v>
      </c>
      <c r="D81" s="165">
        <v>74813</v>
      </c>
      <c r="E81" s="165">
        <v>114704</v>
      </c>
      <c r="F81" s="165">
        <v>244952</v>
      </c>
      <c r="G81" s="165">
        <v>249820</v>
      </c>
      <c r="H81" s="165">
        <v>275953</v>
      </c>
      <c r="I81" s="166">
        <f>IFERROR(H81/G81-1,"-")</f>
        <v>0.1046073172684332</v>
      </c>
      <c r="J81" s="165">
        <f t="shared" si="24"/>
        <v>26133</v>
      </c>
      <c r="K81" s="166">
        <f>H81/H$8</f>
        <v>5.0353814038698749E-2</v>
      </c>
    </row>
    <row r="82" spans="2:14" x14ac:dyDescent="0.25">
      <c r="B82" s="160" t="s">
        <v>109</v>
      </c>
      <c r="C82" s="161">
        <v>435438</v>
      </c>
      <c r="D82" s="161">
        <v>122702</v>
      </c>
      <c r="E82" s="161">
        <v>172511</v>
      </c>
      <c r="F82" s="161">
        <v>367882</v>
      </c>
      <c r="G82" s="161">
        <v>455925</v>
      </c>
      <c r="H82" s="161">
        <v>532119</v>
      </c>
      <c r="I82" s="162">
        <f>IFERROR(H82/G82-1,"-")</f>
        <v>0.16711959203816407</v>
      </c>
      <c r="J82" s="161">
        <f t="shared" si="24"/>
        <v>76194</v>
      </c>
      <c r="K82" s="162">
        <f>H82/H$8</f>
        <v>9.7097046136328802E-2</v>
      </c>
    </row>
    <row r="83" spans="2:14" x14ac:dyDescent="0.25">
      <c r="B83" s="164" t="s">
        <v>112</v>
      </c>
      <c r="C83" s="165">
        <v>75049</v>
      </c>
      <c r="D83" s="165">
        <v>21332</v>
      </c>
      <c r="E83" s="165">
        <v>16695</v>
      </c>
      <c r="F83" s="165">
        <v>71554</v>
      </c>
      <c r="G83" s="165">
        <v>93860</v>
      </c>
      <c r="H83" s="165">
        <v>110313</v>
      </c>
      <c r="I83" s="166">
        <f t="shared" ref="I83:I90" si="25">IFERROR(H83/G83-1,"-")</f>
        <v>0.17529298955891748</v>
      </c>
      <c r="J83" s="165">
        <f t="shared" si="24"/>
        <v>16453</v>
      </c>
      <c r="K83" s="166">
        <f t="shared" ref="K83:K90" si="26">H83/H$8</f>
        <v>2.0129080995861526E-2</v>
      </c>
    </row>
    <row r="84" spans="2:14" x14ac:dyDescent="0.25">
      <c r="B84" s="164" t="s">
        <v>115</v>
      </c>
      <c r="C84" s="165">
        <v>159354</v>
      </c>
      <c r="D84" s="165">
        <v>39522</v>
      </c>
      <c r="E84" s="165">
        <v>53227</v>
      </c>
      <c r="F84" s="165">
        <v>113120</v>
      </c>
      <c r="G84" s="165">
        <v>127349</v>
      </c>
      <c r="H84" s="165">
        <v>141364</v>
      </c>
      <c r="I84" s="166">
        <f t="shared" si="25"/>
        <v>0.11005190460859526</v>
      </c>
      <c r="J84" s="165">
        <f t="shared" si="24"/>
        <v>14015</v>
      </c>
      <c r="K84" s="166">
        <f t="shared" si="26"/>
        <v>2.57950323706088E-2</v>
      </c>
    </row>
    <row r="85" spans="2:14" x14ac:dyDescent="0.25">
      <c r="B85" s="164" t="s">
        <v>118</v>
      </c>
      <c r="C85" s="165">
        <v>25447</v>
      </c>
      <c r="D85" s="165">
        <v>8286</v>
      </c>
      <c r="E85" s="165">
        <v>19927</v>
      </c>
      <c r="F85" s="165">
        <v>30758</v>
      </c>
      <c r="G85" s="165">
        <v>42539</v>
      </c>
      <c r="H85" s="165">
        <v>57925</v>
      </c>
      <c r="I85" s="166">
        <f t="shared" si="25"/>
        <v>0.36169162415665634</v>
      </c>
      <c r="J85" s="165">
        <f t="shared" si="24"/>
        <v>15386</v>
      </c>
      <c r="K85" s="166">
        <f t="shared" si="26"/>
        <v>1.0569715416000642E-2</v>
      </c>
    </row>
    <row r="86" spans="2:14" x14ac:dyDescent="0.25">
      <c r="B86" s="164" t="s">
        <v>125</v>
      </c>
      <c r="C86" s="165">
        <v>9296</v>
      </c>
      <c r="D86" s="165">
        <v>2074</v>
      </c>
      <c r="E86" s="165">
        <v>5996</v>
      </c>
      <c r="F86" s="165">
        <v>10713</v>
      </c>
      <c r="G86" s="165">
        <v>12911</v>
      </c>
      <c r="H86" s="165">
        <v>18498</v>
      </c>
      <c r="I86" s="166">
        <f t="shared" si="25"/>
        <v>0.43273177910309046</v>
      </c>
      <c r="J86" s="165">
        <f t="shared" si="24"/>
        <v>5587</v>
      </c>
      <c r="K86" s="166">
        <f t="shared" si="26"/>
        <v>3.375374980840395E-3</v>
      </c>
    </row>
    <row r="87" spans="2:14" x14ac:dyDescent="0.25">
      <c r="B87" s="164" t="s">
        <v>121</v>
      </c>
      <c r="C87" s="165">
        <v>6249</v>
      </c>
      <c r="D87" s="165">
        <v>2082</v>
      </c>
      <c r="E87" s="165">
        <v>5201</v>
      </c>
      <c r="F87" s="165">
        <v>5872</v>
      </c>
      <c r="G87" s="165">
        <v>6968</v>
      </c>
      <c r="H87" s="165">
        <v>8896</v>
      </c>
      <c r="I87" s="166">
        <f t="shared" si="25"/>
        <v>0.27669345579793347</v>
      </c>
      <c r="J87" s="165">
        <f t="shared" si="24"/>
        <v>1928</v>
      </c>
      <c r="K87" s="166">
        <f t="shared" si="26"/>
        <v>1.623274723189326E-3</v>
      </c>
    </row>
    <row r="88" spans="2:14" x14ac:dyDescent="0.25">
      <c r="B88" s="164" t="s">
        <v>130</v>
      </c>
      <c r="C88" s="165">
        <v>8520</v>
      </c>
      <c r="D88" s="165">
        <v>3046</v>
      </c>
      <c r="E88" s="165">
        <v>2575</v>
      </c>
      <c r="F88" s="165">
        <v>7581</v>
      </c>
      <c r="G88" s="165">
        <v>8524</v>
      </c>
      <c r="H88" s="165">
        <v>7383</v>
      </c>
      <c r="I88" s="166">
        <f t="shared" si="25"/>
        <v>-0.13385734396996718</v>
      </c>
      <c r="J88" s="165">
        <f t="shared" si="24"/>
        <v>-1141</v>
      </c>
      <c r="K88" s="166">
        <f t="shared" si="26"/>
        <v>1.3471939389958177E-3</v>
      </c>
    </row>
    <row r="89" spans="2:14" x14ac:dyDescent="0.25">
      <c r="B89" s="164" t="s">
        <v>133</v>
      </c>
      <c r="C89" s="165">
        <v>13181</v>
      </c>
      <c r="D89" s="165">
        <v>4839</v>
      </c>
      <c r="E89" s="165">
        <v>2819</v>
      </c>
      <c r="F89" s="165">
        <v>7599</v>
      </c>
      <c r="G89" s="165">
        <v>9961</v>
      </c>
      <c r="H89" s="165">
        <v>9541</v>
      </c>
      <c r="I89" s="166">
        <f t="shared" si="25"/>
        <v>-4.216444132115249E-2</v>
      </c>
      <c r="J89" s="165">
        <f t="shared" si="24"/>
        <v>-420</v>
      </c>
      <c r="K89" s="166">
        <f t="shared" si="26"/>
        <v>1.7409694395176889E-3</v>
      </c>
    </row>
    <row r="90" spans="2:14" x14ac:dyDescent="0.25">
      <c r="B90" s="169" t="s">
        <v>147</v>
      </c>
      <c r="C90" s="170">
        <f t="shared" ref="C90:H90" si="27">C82-SUM(C83:C89)</f>
        <v>138342</v>
      </c>
      <c r="D90" s="170">
        <f t="shared" si="27"/>
        <v>41521</v>
      </c>
      <c r="E90" s="170">
        <f t="shared" si="27"/>
        <v>66071</v>
      </c>
      <c r="F90" s="170">
        <f t="shared" si="27"/>
        <v>120685</v>
      </c>
      <c r="G90" s="170">
        <f t="shared" si="27"/>
        <v>153813</v>
      </c>
      <c r="H90" s="170">
        <f t="shared" si="27"/>
        <v>178199</v>
      </c>
      <c r="I90" s="171">
        <f t="shared" si="25"/>
        <v>0.15854316605228425</v>
      </c>
      <c r="J90" s="170">
        <f>H90-G90</f>
        <v>24386</v>
      </c>
      <c r="K90" s="171">
        <f t="shared" si="26"/>
        <v>3.2516404271314601E-2</v>
      </c>
    </row>
    <row r="91" spans="2:14" x14ac:dyDescent="0.25">
      <c r="B91" s="156" t="s">
        <v>51</v>
      </c>
      <c r="C91" s="154"/>
      <c r="D91" s="154"/>
      <c r="E91" s="154"/>
      <c r="F91" s="154"/>
      <c r="G91" s="154"/>
      <c r="H91" s="155"/>
      <c r="I91" s="155"/>
      <c r="J91" s="155"/>
      <c r="K91" s="154"/>
      <c r="L91" s="172"/>
      <c r="M91" s="172"/>
      <c r="N91" s="172"/>
    </row>
    <row r="92" spans="2:14" x14ac:dyDescent="0.25">
      <c r="B92" s="157" t="s">
        <v>70</v>
      </c>
      <c r="C92" s="158">
        <v>55887</v>
      </c>
      <c r="D92" s="158">
        <v>24221</v>
      </c>
      <c r="E92" s="158">
        <v>33444</v>
      </c>
      <c r="F92" s="158">
        <v>51485</v>
      </c>
      <c r="G92" s="158">
        <v>58157</v>
      </c>
      <c r="H92" s="158">
        <v>57388</v>
      </c>
      <c r="I92" s="159">
        <f>IFERROR(H92/G92-1,"-")</f>
        <v>-1.3222827862510056E-2</v>
      </c>
      <c r="J92" s="158">
        <f>H92-G92</f>
        <v>-769</v>
      </c>
      <c r="K92" s="159">
        <f>H92/H$8</f>
        <v>1.0471727721941215E-2</v>
      </c>
      <c r="L92" s="107"/>
      <c r="M92" s="107"/>
      <c r="N92" s="107"/>
    </row>
    <row r="93" spans="2:14" x14ac:dyDescent="0.25">
      <c r="B93" s="160" t="s">
        <v>99</v>
      </c>
      <c r="C93" s="161">
        <v>37119</v>
      </c>
      <c r="D93" s="161">
        <v>16023</v>
      </c>
      <c r="E93" s="161">
        <v>21732</v>
      </c>
      <c r="F93" s="161">
        <v>33809</v>
      </c>
      <c r="G93" s="161">
        <v>37722</v>
      </c>
      <c r="H93" s="161">
        <v>35821</v>
      </c>
      <c r="I93" s="162">
        <f>IFERROR(H93/G93-1,"-")</f>
        <v>-5.0394994963151474E-2</v>
      </c>
      <c r="J93" s="161">
        <f t="shared" ref="J93:J103" si="28">H93-G93</f>
        <v>-1901</v>
      </c>
      <c r="K93" s="162">
        <f>H93/H$8</f>
        <v>6.5363448582919119E-3</v>
      </c>
    </row>
    <row r="94" spans="2:14" x14ac:dyDescent="0.25">
      <c r="B94" s="164" t="s">
        <v>105</v>
      </c>
      <c r="C94" s="165">
        <v>19153</v>
      </c>
      <c r="D94" s="165">
        <v>8684</v>
      </c>
      <c r="E94" s="165">
        <v>11001</v>
      </c>
      <c r="F94" s="165">
        <v>16289</v>
      </c>
      <c r="G94" s="165">
        <v>12024</v>
      </c>
      <c r="H94" s="165">
        <v>11877</v>
      </c>
      <c r="I94" s="166">
        <f>IFERROR(H94/G94-1,"-")</f>
        <v>-1.2225548902195627E-2</v>
      </c>
      <c r="J94" s="165">
        <f t="shared" si="28"/>
        <v>-147</v>
      </c>
      <c r="K94" s="166">
        <f>H94/H$8</f>
        <v>2.1672250322976199E-3</v>
      </c>
    </row>
    <row r="95" spans="2:14" x14ac:dyDescent="0.25">
      <c r="B95" s="164" t="s">
        <v>102</v>
      </c>
      <c r="C95" s="165">
        <v>17966</v>
      </c>
      <c r="D95" s="165">
        <v>7339</v>
      </c>
      <c r="E95" s="165">
        <v>10731</v>
      </c>
      <c r="F95" s="165">
        <v>17520</v>
      </c>
      <c r="G95" s="165">
        <v>25698</v>
      </c>
      <c r="H95" s="165">
        <v>23944</v>
      </c>
      <c r="I95" s="166">
        <f>IFERROR(H95/G95-1,"-")</f>
        <v>-6.8254338859055186E-2</v>
      </c>
      <c r="J95" s="165">
        <f t="shared" si="28"/>
        <v>-1754</v>
      </c>
      <c r="K95" s="166">
        <f>H95/H$8</f>
        <v>4.3691198259942924E-3</v>
      </c>
    </row>
    <row r="96" spans="2:14" x14ac:dyDescent="0.25">
      <c r="B96" s="160" t="s">
        <v>109</v>
      </c>
      <c r="C96" s="161">
        <v>18768</v>
      </c>
      <c r="D96" s="161">
        <v>8198</v>
      </c>
      <c r="E96" s="161">
        <v>11712</v>
      </c>
      <c r="F96" s="161">
        <v>17676</v>
      </c>
      <c r="G96" s="161">
        <v>20435</v>
      </c>
      <c r="H96" s="161">
        <v>21567</v>
      </c>
      <c r="I96" s="162">
        <f>IFERROR(H96/G96-1,"-")</f>
        <v>5.539515537068751E-2</v>
      </c>
      <c r="J96" s="161">
        <f t="shared" si="28"/>
        <v>1132</v>
      </c>
      <c r="K96" s="162">
        <f>H96/H$8</f>
        <v>3.9353828636493025E-3</v>
      </c>
    </row>
    <row r="97" spans="2:14" x14ac:dyDescent="0.25">
      <c r="B97" s="164" t="s">
        <v>112</v>
      </c>
      <c r="C97" s="165">
        <v>2421</v>
      </c>
      <c r="D97" s="165">
        <v>1288</v>
      </c>
      <c r="E97" s="165">
        <v>921</v>
      </c>
      <c r="F97" s="165">
        <v>2403</v>
      </c>
      <c r="G97" s="165">
        <v>2795</v>
      </c>
      <c r="H97" s="165">
        <v>3030</v>
      </c>
      <c r="I97" s="166">
        <f t="shared" ref="I97:I104" si="29">IFERROR(H97/G97-1,"-")</f>
        <v>8.4078711985688726E-2</v>
      </c>
      <c r="J97" s="165">
        <f t="shared" si="28"/>
        <v>235</v>
      </c>
      <c r="K97" s="166">
        <f t="shared" ref="K97:K104" si="30">H97/H$8</f>
        <v>5.5289145810068099E-4</v>
      </c>
    </row>
    <row r="98" spans="2:14" x14ac:dyDescent="0.25">
      <c r="B98" s="164" t="s">
        <v>115</v>
      </c>
      <c r="C98" s="165">
        <v>3905</v>
      </c>
      <c r="D98" s="165">
        <v>1481</v>
      </c>
      <c r="E98" s="165">
        <v>2395</v>
      </c>
      <c r="F98" s="165">
        <v>3482</v>
      </c>
      <c r="G98" s="165">
        <v>3814</v>
      </c>
      <c r="H98" s="165">
        <v>4234</v>
      </c>
      <c r="I98" s="166">
        <f t="shared" si="29"/>
        <v>0.11012060828526482</v>
      </c>
      <c r="J98" s="165">
        <f t="shared" si="28"/>
        <v>420</v>
      </c>
      <c r="K98" s="166">
        <f t="shared" si="30"/>
        <v>7.7258826191362485E-4</v>
      </c>
    </row>
    <row r="99" spans="2:14" x14ac:dyDescent="0.25">
      <c r="B99" s="164" t="s">
        <v>118</v>
      </c>
      <c r="C99" s="165">
        <v>3854</v>
      </c>
      <c r="D99" s="165">
        <v>1974</v>
      </c>
      <c r="E99" s="165">
        <v>3541</v>
      </c>
      <c r="F99" s="165">
        <v>3412</v>
      </c>
      <c r="G99" s="165">
        <v>3885</v>
      </c>
      <c r="H99" s="165">
        <v>3685</v>
      </c>
      <c r="I99" s="166">
        <f t="shared" si="29"/>
        <v>-5.1480051480051525E-2</v>
      </c>
      <c r="J99" s="165">
        <f t="shared" si="28"/>
        <v>-200</v>
      </c>
      <c r="K99" s="166">
        <f t="shared" si="30"/>
        <v>6.7241089871320446E-4</v>
      </c>
    </row>
    <row r="100" spans="2:14" x14ac:dyDescent="0.25">
      <c r="B100" s="164" t="s">
        <v>125</v>
      </c>
      <c r="C100" s="165">
        <v>699</v>
      </c>
      <c r="D100" s="165">
        <v>323</v>
      </c>
      <c r="E100" s="165">
        <v>432</v>
      </c>
      <c r="F100" s="165">
        <v>1172</v>
      </c>
      <c r="G100" s="165">
        <v>938</v>
      </c>
      <c r="H100" s="165">
        <v>933</v>
      </c>
      <c r="I100" s="166">
        <f t="shared" si="29"/>
        <v>-5.3304904051172386E-3</v>
      </c>
      <c r="J100" s="165">
        <f t="shared" si="28"/>
        <v>-5</v>
      </c>
      <c r="K100" s="166">
        <f t="shared" si="30"/>
        <v>1.7024677571218989E-4</v>
      </c>
    </row>
    <row r="101" spans="2:14" x14ac:dyDescent="0.25">
      <c r="B101" s="164" t="s">
        <v>121</v>
      </c>
      <c r="C101" s="165">
        <v>519</v>
      </c>
      <c r="D101" s="165">
        <v>351</v>
      </c>
      <c r="E101" s="165">
        <v>507</v>
      </c>
      <c r="F101" s="165">
        <v>682</v>
      </c>
      <c r="G101" s="165">
        <v>650</v>
      </c>
      <c r="H101" s="165">
        <v>903</v>
      </c>
      <c r="I101" s="166">
        <f t="shared" si="29"/>
        <v>0.38923076923076927</v>
      </c>
      <c r="J101" s="165">
        <f t="shared" si="28"/>
        <v>253</v>
      </c>
      <c r="K101" s="166">
        <f t="shared" si="30"/>
        <v>1.6477260285970789E-4</v>
      </c>
    </row>
    <row r="102" spans="2:14" x14ac:dyDescent="0.25">
      <c r="B102" s="164" t="s">
        <v>130</v>
      </c>
      <c r="C102" s="165">
        <v>155</v>
      </c>
      <c r="D102" s="165">
        <v>124</v>
      </c>
      <c r="E102" s="165">
        <v>105</v>
      </c>
      <c r="F102" s="165">
        <v>270</v>
      </c>
      <c r="G102" s="165">
        <v>153</v>
      </c>
      <c r="H102" s="165">
        <v>230</v>
      </c>
      <c r="I102" s="166">
        <f t="shared" si="29"/>
        <v>0.50326797385620914</v>
      </c>
      <c r="J102" s="165">
        <f t="shared" si="28"/>
        <v>77</v>
      </c>
      <c r="K102" s="166">
        <f t="shared" si="30"/>
        <v>4.1968658535695256E-5</v>
      </c>
    </row>
    <row r="103" spans="2:14" x14ac:dyDescent="0.25">
      <c r="B103" s="164" t="s">
        <v>133</v>
      </c>
      <c r="C103" s="165">
        <v>271</v>
      </c>
      <c r="D103" s="165">
        <v>89</v>
      </c>
      <c r="E103" s="165">
        <v>96</v>
      </c>
      <c r="F103" s="165">
        <v>168</v>
      </c>
      <c r="G103" s="165">
        <v>270</v>
      </c>
      <c r="H103" s="165">
        <v>384</v>
      </c>
      <c r="I103" s="166">
        <f t="shared" si="29"/>
        <v>0.42222222222222228</v>
      </c>
      <c r="J103" s="165">
        <f t="shared" si="28"/>
        <v>114</v>
      </c>
      <c r="K103" s="166">
        <f t="shared" si="30"/>
        <v>7.0069412511769477E-5</v>
      </c>
    </row>
    <row r="104" spans="2:14" x14ac:dyDescent="0.25">
      <c r="B104" s="169" t="s">
        <v>147</v>
      </c>
      <c r="C104" s="170">
        <f t="shared" ref="C104:H104" si="31">C96-SUM(C97:C103)</f>
        <v>6944</v>
      </c>
      <c r="D104" s="170">
        <f t="shared" si="31"/>
        <v>2568</v>
      </c>
      <c r="E104" s="170">
        <f t="shared" si="31"/>
        <v>3715</v>
      </c>
      <c r="F104" s="170">
        <f t="shared" si="31"/>
        <v>6087</v>
      </c>
      <c r="G104" s="170">
        <f t="shared" si="31"/>
        <v>7930</v>
      </c>
      <c r="H104" s="170">
        <f t="shared" si="31"/>
        <v>8168</v>
      </c>
      <c r="I104" s="171">
        <f t="shared" si="29"/>
        <v>3.0012610340479196E-2</v>
      </c>
      <c r="J104" s="170">
        <f>H104-G104</f>
        <v>238</v>
      </c>
      <c r="K104" s="171">
        <f t="shared" si="30"/>
        <v>1.4904347953024297E-3</v>
      </c>
    </row>
    <row r="105" spans="2:14" x14ac:dyDescent="0.25">
      <c r="B105" s="156" t="s">
        <v>52</v>
      </c>
      <c r="C105" s="154"/>
      <c r="D105" s="154"/>
      <c r="E105" s="154"/>
      <c r="F105" s="154"/>
      <c r="G105" s="154"/>
      <c r="H105" s="155"/>
      <c r="I105" s="155"/>
      <c r="J105" s="155"/>
      <c r="K105" s="154"/>
      <c r="L105" s="172"/>
      <c r="M105" s="172"/>
      <c r="N105" s="172"/>
    </row>
    <row r="106" spans="2:14" x14ac:dyDescent="0.25">
      <c r="B106" s="157" t="s">
        <v>70</v>
      </c>
      <c r="C106" s="158">
        <v>142901</v>
      </c>
      <c r="D106" s="158">
        <v>77467</v>
      </c>
      <c r="E106" s="158">
        <v>107459</v>
      </c>
      <c r="F106" s="158">
        <v>198873</v>
      </c>
      <c r="G106" s="158">
        <v>252588</v>
      </c>
      <c r="H106" s="158">
        <v>239146</v>
      </c>
      <c r="I106" s="159">
        <f>IFERROR(H106/G106-1,"-")</f>
        <v>-5.3217096615832848E-2</v>
      </c>
      <c r="J106" s="158">
        <f>H106-G106</f>
        <v>-13442</v>
      </c>
      <c r="K106" s="159">
        <f>H106/H$8</f>
        <v>4.3637551365988597E-2</v>
      </c>
      <c r="L106" s="107"/>
      <c r="M106" s="107"/>
      <c r="N106" s="107"/>
    </row>
    <row r="107" spans="2:14" x14ac:dyDescent="0.25">
      <c r="B107" s="160" t="s">
        <v>99</v>
      </c>
      <c r="C107" s="161">
        <v>31009</v>
      </c>
      <c r="D107" s="161">
        <v>30584</v>
      </c>
      <c r="E107" s="161">
        <v>44398</v>
      </c>
      <c r="F107" s="161">
        <v>48630</v>
      </c>
      <c r="G107" s="161">
        <v>55684</v>
      </c>
      <c r="H107" s="161">
        <v>49807</v>
      </c>
      <c r="I107" s="162">
        <f>IFERROR(H107/G107-1,"-")</f>
        <v>-0.10554198692622652</v>
      </c>
      <c r="J107" s="161">
        <f t="shared" ref="J107:J117" si="32">H107-G107</f>
        <v>-5877</v>
      </c>
      <c r="K107" s="162">
        <f>H107/H$8</f>
        <v>9.0884042421190154E-3</v>
      </c>
    </row>
    <row r="108" spans="2:14" x14ac:dyDescent="0.25">
      <c r="B108" s="164" t="s">
        <v>105</v>
      </c>
      <c r="C108" s="165">
        <v>11886</v>
      </c>
      <c r="D108" s="165">
        <v>4963</v>
      </c>
      <c r="E108" s="165">
        <v>24120</v>
      </c>
      <c r="F108" s="165">
        <v>16359</v>
      </c>
      <c r="G108" s="165">
        <v>19520</v>
      </c>
      <c r="H108" s="165">
        <v>16099</v>
      </c>
      <c r="I108" s="166">
        <f>IFERROR(H108/G108-1,"-")</f>
        <v>-0.17525614754098362</v>
      </c>
      <c r="J108" s="165">
        <f t="shared" si="32"/>
        <v>-3421</v>
      </c>
      <c r="K108" s="166">
        <f>H108/H$8</f>
        <v>2.937623625070252E-3</v>
      </c>
    </row>
    <row r="109" spans="2:14" x14ac:dyDescent="0.25">
      <c r="B109" s="164" t="s">
        <v>102</v>
      </c>
      <c r="C109" s="165">
        <v>19123</v>
      </c>
      <c r="D109" s="165">
        <v>25621</v>
      </c>
      <c r="E109" s="165">
        <v>20278</v>
      </c>
      <c r="F109" s="165">
        <v>32271</v>
      </c>
      <c r="G109" s="165">
        <v>36164</v>
      </c>
      <c r="H109" s="165">
        <v>33708</v>
      </c>
      <c r="I109" s="166">
        <f>IFERROR(H109/G109-1,"-")</f>
        <v>-6.791284149983412E-2</v>
      </c>
      <c r="J109" s="165">
        <f t="shared" si="32"/>
        <v>-2456</v>
      </c>
      <c r="K109" s="166">
        <f>H109/H$8</f>
        <v>6.1507806170487643E-3</v>
      </c>
    </row>
    <row r="110" spans="2:14" x14ac:dyDescent="0.25">
      <c r="B110" s="160" t="s">
        <v>109</v>
      </c>
      <c r="C110" s="161">
        <v>111892</v>
      </c>
      <c r="D110" s="161">
        <v>46883</v>
      </c>
      <c r="E110" s="161">
        <v>63061</v>
      </c>
      <c r="F110" s="161">
        <v>150243</v>
      </c>
      <c r="G110" s="161">
        <v>196904</v>
      </c>
      <c r="H110" s="161">
        <v>189339</v>
      </c>
      <c r="I110" s="162">
        <f>IFERROR(H110/G110-1,"-")</f>
        <v>-3.841973753707395E-2</v>
      </c>
      <c r="J110" s="161">
        <f t="shared" si="32"/>
        <v>-7565</v>
      </c>
      <c r="K110" s="162">
        <f>H110/H$8</f>
        <v>3.4549147123869584E-2</v>
      </c>
    </row>
    <row r="111" spans="2:14" x14ac:dyDescent="0.25">
      <c r="B111" s="164" t="s">
        <v>112</v>
      </c>
      <c r="C111" s="165">
        <v>61414</v>
      </c>
      <c r="D111" s="165">
        <v>26382</v>
      </c>
      <c r="E111" s="165">
        <v>26812</v>
      </c>
      <c r="F111" s="165">
        <v>90804</v>
      </c>
      <c r="G111" s="165">
        <v>128108</v>
      </c>
      <c r="H111" s="165">
        <v>116734</v>
      </c>
      <c r="I111" s="166">
        <f t="shared" ref="I111:I118" si="33">IFERROR(H111/G111-1,"-")</f>
        <v>-8.8784463109251588E-2</v>
      </c>
      <c r="J111" s="165">
        <f t="shared" si="32"/>
        <v>-11374</v>
      </c>
      <c r="K111" s="166">
        <f t="shared" ref="K111:K118" si="34">H111/H$8</f>
        <v>2.1300736458721086E-2</v>
      </c>
    </row>
    <row r="112" spans="2:14" x14ac:dyDescent="0.25">
      <c r="B112" s="164" t="s">
        <v>115</v>
      </c>
      <c r="C112" s="165">
        <v>9783</v>
      </c>
      <c r="D112" s="165">
        <v>3197</v>
      </c>
      <c r="E112" s="165">
        <v>7197</v>
      </c>
      <c r="F112" s="165">
        <v>6944</v>
      </c>
      <c r="G112" s="165">
        <v>8880</v>
      </c>
      <c r="H112" s="165">
        <v>8516</v>
      </c>
      <c r="I112" s="166">
        <f t="shared" si="33"/>
        <v>-4.0990990990991016E-2</v>
      </c>
      <c r="J112" s="165">
        <f t="shared" si="32"/>
        <v>-364</v>
      </c>
      <c r="K112" s="166">
        <f t="shared" si="34"/>
        <v>1.553935200391221E-3</v>
      </c>
    </row>
    <row r="113" spans="2:14" x14ac:dyDescent="0.25">
      <c r="B113" s="164" t="s">
        <v>118</v>
      </c>
      <c r="C113" s="165">
        <v>11371</v>
      </c>
      <c r="D113" s="165">
        <v>2498</v>
      </c>
      <c r="E113" s="165">
        <v>6746</v>
      </c>
      <c r="F113" s="165">
        <v>9830</v>
      </c>
      <c r="G113" s="165">
        <v>13414</v>
      </c>
      <c r="H113" s="165">
        <v>14245</v>
      </c>
      <c r="I113" s="166">
        <f t="shared" si="33"/>
        <v>6.1950201282242379E-2</v>
      </c>
      <c r="J113" s="165">
        <f t="shared" si="32"/>
        <v>831</v>
      </c>
      <c r="K113" s="166">
        <f t="shared" si="34"/>
        <v>2.5993197427868651E-3</v>
      </c>
    </row>
    <row r="114" spans="2:14" x14ac:dyDescent="0.25">
      <c r="B114" s="164" t="s">
        <v>125</v>
      </c>
      <c r="C114" s="165">
        <v>2496</v>
      </c>
      <c r="D114" s="165">
        <v>1300</v>
      </c>
      <c r="E114" s="165">
        <v>3663</v>
      </c>
      <c r="F114" s="165">
        <v>6290</v>
      </c>
      <c r="G114" s="165">
        <v>6514</v>
      </c>
      <c r="H114" s="165">
        <v>6482</v>
      </c>
      <c r="I114" s="166">
        <f t="shared" si="33"/>
        <v>-4.912496162112423E-3</v>
      </c>
      <c r="J114" s="165">
        <f t="shared" si="32"/>
        <v>-32</v>
      </c>
      <c r="K114" s="166">
        <f t="shared" si="34"/>
        <v>1.1827862809929419E-3</v>
      </c>
    </row>
    <row r="115" spans="2:14" x14ac:dyDescent="0.25">
      <c r="B115" s="164" t="s">
        <v>121</v>
      </c>
      <c r="C115" s="165">
        <v>3749</v>
      </c>
      <c r="D115" s="165">
        <v>2838</v>
      </c>
      <c r="E115" s="165">
        <v>4368</v>
      </c>
      <c r="F115" s="165">
        <v>4750</v>
      </c>
      <c r="G115" s="165">
        <v>5340</v>
      </c>
      <c r="H115" s="165">
        <v>5146</v>
      </c>
      <c r="I115" s="166">
        <f t="shared" si="33"/>
        <v>-3.6329588014981318E-2</v>
      </c>
      <c r="J115" s="165">
        <f t="shared" si="32"/>
        <v>-194</v>
      </c>
      <c r="K115" s="166">
        <f t="shared" si="34"/>
        <v>9.3900311662907738E-4</v>
      </c>
    </row>
    <row r="116" spans="2:14" x14ac:dyDescent="0.25">
      <c r="B116" s="164" t="s">
        <v>130</v>
      </c>
      <c r="C116" s="165">
        <v>826</v>
      </c>
      <c r="D116" s="165">
        <v>406</v>
      </c>
      <c r="E116" s="165">
        <v>369</v>
      </c>
      <c r="F116" s="165">
        <v>1261</v>
      </c>
      <c r="G116" s="165">
        <v>1457</v>
      </c>
      <c r="H116" s="165">
        <v>1177</v>
      </c>
      <c r="I116" s="166">
        <f t="shared" si="33"/>
        <v>-0.19217570350034319</v>
      </c>
      <c r="J116" s="165">
        <f t="shared" si="32"/>
        <v>-280</v>
      </c>
      <c r="K116" s="166">
        <f t="shared" si="34"/>
        <v>2.1477004824571009E-4</v>
      </c>
    </row>
    <row r="117" spans="2:14" x14ac:dyDescent="0.25">
      <c r="B117" s="164" t="s">
        <v>133</v>
      </c>
      <c r="C117" s="165">
        <v>1664</v>
      </c>
      <c r="D117" s="165">
        <v>932</v>
      </c>
      <c r="E117" s="165">
        <v>521</v>
      </c>
      <c r="F117" s="165">
        <v>980</v>
      </c>
      <c r="G117" s="165">
        <v>944</v>
      </c>
      <c r="H117" s="165">
        <v>1508</v>
      </c>
      <c r="I117" s="166">
        <f t="shared" si="33"/>
        <v>0.59745762711864403</v>
      </c>
      <c r="J117" s="165">
        <f t="shared" si="32"/>
        <v>564</v>
      </c>
      <c r="K117" s="166">
        <f t="shared" si="34"/>
        <v>2.7516842205142805E-4</v>
      </c>
    </row>
    <row r="118" spans="2:14" x14ac:dyDescent="0.25">
      <c r="B118" s="169" t="s">
        <v>147</v>
      </c>
      <c r="C118" s="170">
        <f t="shared" ref="C118:H118" si="35">C110-SUM(C111:C117)</f>
        <v>20589</v>
      </c>
      <c r="D118" s="170">
        <f t="shared" si="35"/>
        <v>9330</v>
      </c>
      <c r="E118" s="170">
        <f t="shared" si="35"/>
        <v>13385</v>
      </c>
      <c r="F118" s="170">
        <f t="shared" si="35"/>
        <v>29384</v>
      </c>
      <c r="G118" s="170">
        <f t="shared" si="35"/>
        <v>32247</v>
      </c>
      <c r="H118" s="170">
        <f t="shared" si="35"/>
        <v>35531</v>
      </c>
      <c r="I118" s="171">
        <f t="shared" si="33"/>
        <v>0.10183893075324835</v>
      </c>
      <c r="J118" s="170">
        <f>H118-G118</f>
        <v>3284</v>
      </c>
      <c r="K118" s="171">
        <f t="shared" si="34"/>
        <v>6.4834278540512533E-3</v>
      </c>
    </row>
    <row r="119" spans="2:14" x14ac:dyDescent="0.25">
      <c r="B119" s="156" t="s">
        <v>53</v>
      </c>
      <c r="C119" s="154"/>
      <c r="D119" s="154"/>
      <c r="E119" s="154"/>
      <c r="F119" s="154"/>
      <c r="G119" s="154"/>
      <c r="H119" s="155"/>
      <c r="I119" s="155"/>
      <c r="J119" s="155"/>
      <c r="K119" s="154"/>
      <c r="L119" s="172"/>
      <c r="M119" s="172"/>
      <c r="N119" s="172"/>
    </row>
    <row r="120" spans="2:14" x14ac:dyDescent="0.25">
      <c r="B120" s="157" t="s">
        <v>70</v>
      </c>
      <c r="C120" s="158">
        <v>220415</v>
      </c>
      <c r="D120" s="158">
        <v>103516</v>
      </c>
      <c r="E120" s="158">
        <v>164258</v>
      </c>
      <c r="F120" s="158">
        <v>229131</v>
      </c>
      <c r="G120" s="158">
        <v>239109</v>
      </c>
      <c r="H120" s="158">
        <v>250871</v>
      </c>
      <c r="I120" s="159">
        <f>IFERROR(H120/G120-1,"-")</f>
        <v>4.9190954752853289E-2</v>
      </c>
      <c r="J120" s="158">
        <f>H120-G120</f>
        <v>11762</v>
      </c>
      <c r="K120" s="159">
        <f>H120/H$8</f>
        <v>4.5777040589166977E-2</v>
      </c>
      <c r="L120" s="107"/>
      <c r="M120" s="107"/>
      <c r="N120" s="107"/>
    </row>
    <row r="121" spans="2:14" x14ac:dyDescent="0.25">
      <c r="B121" s="160" t="s">
        <v>99</v>
      </c>
      <c r="C121" s="161">
        <v>120142</v>
      </c>
      <c r="D121" s="161">
        <v>61571</v>
      </c>
      <c r="E121" s="161">
        <v>104557</v>
      </c>
      <c r="F121" s="161">
        <v>134886</v>
      </c>
      <c r="G121" s="161">
        <v>146430</v>
      </c>
      <c r="H121" s="161">
        <v>156566</v>
      </c>
      <c r="I121" s="162">
        <f>IFERROR(H121/G121-1,"-")</f>
        <v>6.9220788089872309E-2</v>
      </c>
      <c r="J121" s="161">
        <f t="shared" ref="J121:J131" si="36">H121-G121</f>
        <v>10136</v>
      </c>
      <c r="K121" s="162">
        <f>H121/H$8</f>
        <v>2.8568978227389841E-2</v>
      </c>
    </row>
    <row r="122" spans="2:14" x14ac:dyDescent="0.25">
      <c r="B122" s="164" t="s">
        <v>105</v>
      </c>
      <c r="C122" s="165">
        <v>61076</v>
      </c>
      <c r="D122" s="165">
        <v>27791</v>
      </c>
      <c r="E122" s="165">
        <v>53247</v>
      </c>
      <c r="F122" s="165">
        <v>69865</v>
      </c>
      <c r="G122" s="165">
        <v>66121</v>
      </c>
      <c r="H122" s="165">
        <v>75793</v>
      </c>
      <c r="I122" s="166">
        <f>IFERROR(H122/G122-1,"-")</f>
        <v>0.14627727953297742</v>
      </c>
      <c r="J122" s="165">
        <f t="shared" si="36"/>
        <v>9672</v>
      </c>
      <c r="K122" s="166">
        <f>H122/H$8</f>
        <v>1.3830132766938915E-2</v>
      </c>
    </row>
    <row r="123" spans="2:14" x14ac:dyDescent="0.25">
      <c r="B123" s="164" t="s">
        <v>102</v>
      </c>
      <c r="C123" s="165">
        <v>59066</v>
      </c>
      <c r="D123" s="165">
        <v>33780</v>
      </c>
      <c r="E123" s="165">
        <v>51310</v>
      </c>
      <c r="F123" s="165">
        <v>65021</v>
      </c>
      <c r="G123" s="165">
        <v>80309</v>
      </c>
      <c r="H123" s="165">
        <v>80773</v>
      </c>
      <c r="I123" s="166">
        <f>IFERROR(H123/G123-1,"-")</f>
        <v>5.7776836967213807E-3</v>
      </c>
      <c r="J123" s="165">
        <f t="shared" si="36"/>
        <v>464</v>
      </c>
      <c r="K123" s="166">
        <f>H123/H$8</f>
        <v>1.4738845460450926E-2</v>
      </c>
    </row>
    <row r="124" spans="2:14" x14ac:dyDescent="0.25">
      <c r="B124" s="160" t="s">
        <v>109</v>
      </c>
      <c r="C124" s="161">
        <v>100273</v>
      </c>
      <c r="D124" s="161">
        <v>41945</v>
      </c>
      <c r="E124" s="161">
        <v>59701</v>
      </c>
      <c r="F124" s="161">
        <v>94245</v>
      </c>
      <c r="G124" s="161">
        <v>92679</v>
      </c>
      <c r="H124" s="161">
        <v>94305</v>
      </c>
      <c r="I124" s="162">
        <f>IFERROR(H124/G124-1,"-")</f>
        <v>1.7544427540219454E-2</v>
      </c>
      <c r="J124" s="161">
        <f t="shared" si="36"/>
        <v>1626</v>
      </c>
      <c r="K124" s="162">
        <f>H124/H$8</f>
        <v>1.7208062361777136E-2</v>
      </c>
    </row>
    <row r="125" spans="2:14" x14ac:dyDescent="0.25">
      <c r="B125" s="164" t="s">
        <v>112</v>
      </c>
      <c r="C125" s="165">
        <v>10460</v>
      </c>
      <c r="D125" s="165">
        <v>3941</v>
      </c>
      <c r="E125" s="165">
        <v>3336</v>
      </c>
      <c r="F125" s="165">
        <v>9917</v>
      </c>
      <c r="G125" s="165">
        <v>11646</v>
      </c>
      <c r="H125" s="165">
        <v>10656</v>
      </c>
      <c r="I125" s="166">
        <f t="shared" ref="I125:I132" si="37">IFERROR(H125/G125-1,"-")</f>
        <v>-8.5007727975270453E-2</v>
      </c>
      <c r="J125" s="165">
        <f t="shared" si="36"/>
        <v>-990</v>
      </c>
      <c r="K125" s="166">
        <f t="shared" ref="K125:K132" si="38">H125/H$8</f>
        <v>1.9444261972016029E-3</v>
      </c>
    </row>
    <row r="126" spans="2:14" x14ac:dyDescent="0.25">
      <c r="B126" s="164" t="s">
        <v>115</v>
      </c>
      <c r="C126" s="165">
        <v>9550</v>
      </c>
      <c r="D126" s="165">
        <v>4053</v>
      </c>
      <c r="E126" s="165">
        <v>7314</v>
      </c>
      <c r="F126" s="165">
        <v>11261</v>
      </c>
      <c r="G126" s="165">
        <v>13316</v>
      </c>
      <c r="H126" s="165">
        <v>13127</v>
      </c>
      <c r="I126" s="166">
        <f t="shared" si="37"/>
        <v>-1.4193451486932962E-2</v>
      </c>
      <c r="J126" s="165">
        <f t="shared" si="36"/>
        <v>-189</v>
      </c>
      <c r="K126" s="166">
        <f t="shared" si="38"/>
        <v>2.3953155678177029E-3</v>
      </c>
    </row>
    <row r="127" spans="2:14" x14ac:dyDescent="0.25">
      <c r="B127" s="164" t="s">
        <v>118</v>
      </c>
      <c r="C127" s="165">
        <v>6709</v>
      </c>
      <c r="D127" s="165">
        <v>2906</v>
      </c>
      <c r="E127" s="165">
        <v>7134</v>
      </c>
      <c r="F127" s="165">
        <v>8524</v>
      </c>
      <c r="G127" s="165">
        <v>8756</v>
      </c>
      <c r="H127" s="165">
        <v>8567</v>
      </c>
      <c r="I127" s="166">
        <f t="shared" si="37"/>
        <v>-2.1585198720877163E-2</v>
      </c>
      <c r="J127" s="165">
        <f t="shared" si="36"/>
        <v>-189</v>
      </c>
      <c r="K127" s="166">
        <f t="shared" si="38"/>
        <v>1.5632412942404403E-3</v>
      </c>
    </row>
    <row r="128" spans="2:14" x14ac:dyDescent="0.25">
      <c r="B128" s="164" t="s">
        <v>125</v>
      </c>
      <c r="C128" s="165">
        <v>1866</v>
      </c>
      <c r="D128" s="165">
        <v>784</v>
      </c>
      <c r="E128" s="165">
        <v>1333</v>
      </c>
      <c r="F128" s="165">
        <v>2573</v>
      </c>
      <c r="G128" s="165">
        <v>2637</v>
      </c>
      <c r="H128" s="165">
        <v>2356</v>
      </c>
      <c r="I128" s="166">
        <f t="shared" si="37"/>
        <v>-0.10656048540007579</v>
      </c>
      <c r="J128" s="165">
        <f t="shared" si="36"/>
        <v>-281</v>
      </c>
      <c r="K128" s="166">
        <f t="shared" si="38"/>
        <v>4.2990504134825225E-4</v>
      </c>
    </row>
    <row r="129" spans="2:14" x14ac:dyDescent="0.25">
      <c r="B129" s="164" t="s">
        <v>121</v>
      </c>
      <c r="C129" s="165">
        <v>1484</v>
      </c>
      <c r="D129" s="165">
        <v>812</v>
      </c>
      <c r="E129" s="165">
        <v>1357</v>
      </c>
      <c r="F129" s="165">
        <v>1836</v>
      </c>
      <c r="G129" s="165">
        <v>1934</v>
      </c>
      <c r="H129" s="165">
        <v>2091</v>
      </c>
      <c r="I129" s="166">
        <f t="shared" si="37"/>
        <v>8.1178903826266913E-2</v>
      </c>
      <c r="J129" s="165">
        <f t="shared" si="36"/>
        <v>157</v>
      </c>
      <c r="K129" s="166">
        <f t="shared" si="38"/>
        <v>3.815498478179947E-4</v>
      </c>
    </row>
    <row r="130" spans="2:14" x14ac:dyDescent="0.25">
      <c r="B130" s="164" t="s">
        <v>130</v>
      </c>
      <c r="C130" s="165">
        <v>1623</v>
      </c>
      <c r="D130" s="165">
        <v>678</v>
      </c>
      <c r="E130" s="165">
        <v>555</v>
      </c>
      <c r="F130" s="165">
        <v>1075</v>
      </c>
      <c r="G130" s="165">
        <v>1341</v>
      </c>
      <c r="H130" s="165">
        <v>1334</v>
      </c>
      <c r="I130" s="166">
        <f t="shared" si="37"/>
        <v>-5.2199850857569396E-3</v>
      </c>
      <c r="J130" s="165">
        <f t="shared" si="36"/>
        <v>-7</v>
      </c>
      <c r="K130" s="166">
        <f t="shared" si="38"/>
        <v>2.434182195070325E-4</v>
      </c>
    </row>
    <row r="131" spans="2:14" x14ac:dyDescent="0.25">
      <c r="B131" s="164" t="s">
        <v>133</v>
      </c>
      <c r="C131" s="165">
        <v>2681</v>
      </c>
      <c r="D131" s="165">
        <v>1097</v>
      </c>
      <c r="E131" s="165">
        <v>919</v>
      </c>
      <c r="F131" s="165">
        <v>1885</v>
      </c>
      <c r="G131" s="165">
        <v>2455</v>
      </c>
      <c r="H131" s="165">
        <v>2493</v>
      </c>
      <c r="I131" s="166">
        <f t="shared" si="37"/>
        <v>1.5478615071283119E-2</v>
      </c>
      <c r="J131" s="165">
        <f t="shared" si="36"/>
        <v>38</v>
      </c>
      <c r="K131" s="166">
        <f t="shared" si="38"/>
        <v>4.5490376404125338E-4</v>
      </c>
    </row>
    <row r="132" spans="2:14" x14ac:dyDescent="0.25">
      <c r="B132" s="169" t="s">
        <v>147</v>
      </c>
      <c r="C132" s="170">
        <f t="shared" ref="C132:H132" si="39">C124-SUM(C125:C131)</f>
        <v>65900</v>
      </c>
      <c r="D132" s="170">
        <f t="shared" si="39"/>
        <v>27674</v>
      </c>
      <c r="E132" s="170">
        <f t="shared" si="39"/>
        <v>37753</v>
      </c>
      <c r="F132" s="170">
        <f t="shared" si="39"/>
        <v>57174</v>
      </c>
      <c r="G132" s="170">
        <f t="shared" si="39"/>
        <v>50594</v>
      </c>
      <c r="H132" s="170">
        <f t="shared" si="39"/>
        <v>53681</v>
      </c>
      <c r="I132" s="171">
        <f t="shared" si="37"/>
        <v>6.1015140135193935E-2</v>
      </c>
      <c r="J132" s="170">
        <f>H132-G132</f>
        <v>3087</v>
      </c>
      <c r="K132" s="171">
        <f t="shared" si="38"/>
        <v>9.795302429802857E-3</v>
      </c>
    </row>
    <row r="133" spans="2:14" x14ac:dyDescent="0.25">
      <c r="B133" s="156" t="s">
        <v>54</v>
      </c>
      <c r="C133" s="154"/>
      <c r="D133" s="154"/>
      <c r="E133" s="154"/>
      <c r="F133" s="154"/>
      <c r="G133" s="154"/>
      <c r="H133" s="155"/>
      <c r="I133" s="155"/>
      <c r="J133" s="155"/>
      <c r="K133" s="154"/>
      <c r="L133" s="172"/>
      <c r="M133" s="172"/>
      <c r="N133" s="172"/>
    </row>
    <row r="134" spans="2:14" x14ac:dyDescent="0.25">
      <c r="B134" s="157" t="s">
        <v>70</v>
      </c>
      <c r="C134" s="158">
        <v>250224</v>
      </c>
      <c r="D134" s="158">
        <v>96681</v>
      </c>
      <c r="E134" s="158">
        <v>140346</v>
      </c>
      <c r="F134" s="158">
        <v>257117</v>
      </c>
      <c r="G134" s="158">
        <v>278594</v>
      </c>
      <c r="H134" s="158">
        <v>287810</v>
      </c>
      <c r="I134" s="159">
        <f>IFERROR(H134/G134-1,"-")</f>
        <v>3.3080396562739978E-2</v>
      </c>
      <c r="J134" s="158">
        <f>H134-G134</f>
        <v>9216</v>
      </c>
      <c r="K134" s="159">
        <f>H134/H$8</f>
        <v>5.2517389622428051E-2</v>
      </c>
      <c r="L134" s="107"/>
      <c r="M134" s="107"/>
      <c r="N134" s="107"/>
    </row>
    <row r="135" spans="2:14" x14ac:dyDescent="0.25">
      <c r="B135" s="160" t="s">
        <v>99</v>
      </c>
      <c r="C135" s="161">
        <v>45577</v>
      </c>
      <c r="D135" s="161">
        <v>26839</v>
      </c>
      <c r="E135" s="161">
        <v>45216</v>
      </c>
      <c r="F135" s="161">
        <v>29061</v>
      </c>
      <c r="G135" s="161">
        <v>32018</v>
      </c>
      <c r="H135" s="161">
        <v>29188</v>
      </c>
      <c r="I135" s="162">
        <f>IFERROR(H135/G135-1,"-")</f>
        <v>-8.838778187269658E-2</v>
      </c>
      <c r="J135" s="161">
        <f t="shared" ref="J135:J145" si="40">H135-G135</f>
        <v>-2830</v>
      </c>
      <c r="K135" s="162">
        <f>H135/H$8</f>
        <v>5.3260052406081445E-3</v>
      </c>
    </row>
    <row r="136" spans="2:14" x14ac:dyDescent="0.25">
      <c r="B136" s="164" t="s">
        <v>105</v>
      </c>
      <c r="C136" s="165">
        <v>24890</v>
      </c>
      <c r="D136" s="165">
        <v>20058</v>
      </c>
      <c r="E136" s="165">
        <v>34195</v>
      </c>
      <c r="F136" s="165">
        <v>19943</v>
      </c>
      <c r="G136" s="165">
        <v>20738</v>
      </c>
      <c r="H136" s="165">
        <v>18376</v>
      </c>
      <c r="I136" s="166">
        <f>IFERROR(H136/G136-1,"-")</f>
        <v>-0.1138971935577201</v>
      </c>
      <c r="J136" s="165">
        <f t="shared" si="40"/>
        <v>-2362</v>
      </c>
      <c r="K136" s="166">
        <f>H136/H$8</f>
        <v>3.3531133445736348E-3</v>
      </c>
    </row>
    <row r="137" spans="2:14" x14ac:dyDescent="0.25">
      <c r="B137" s="164" t="s">
        <v>102</v>
      </c>
      <c r="C137" s="165">
        <v>20687</v>
      </c>
      <c r="D137" s="165">
        <v>6781</v>
      </c>
      <c r="E137" s="165">
        <v>11021</v>
      </c>
      <c r="F137" s="165">
        <v>9118</v>
      </c>
      <c r="G137" s="165">
        <v>11280</v>
      </c>
      <c r="H137" s="165">
        <v>10812</v>
      </c>
      <c r="I137" s="166">
        <f>IFERROR(H137/G137-1,"-")</f>
        <v>-4.1489361702127692E-2</v>
      </c>
      <c r="J137" s="165">
        <f t="shared" si="40"/>
        <v>-468</v>
      </c>
      <c r="K137" s="166">
        <f>H137/H$8</f>
        <v>1.9728918960345092E-3</v>
      </c>
    </row>
    <row r="138" spans="2:14" x14ac:dyDescent="0.25">
      <c r="B138" s="160" t="s">
        <v>109</v>
      </c>
      <c r="C138" s="161">
        <v>204647</v>
      </c>
      <c r="D138" s="161">
        <v>69842</v>
      </c>
      <c r="E138" s="161">
        <v>95130</v>
      </c>
      <c r="F138" s="161">
        <v>228056</v>
      </c>
      <c r="G138" s="161">
        <v>246576</v>
      </c>
      <c r="H138" s="161">
        <v>258622</v>
      </c>
      <c r="I138" s="162">
        <f>IFERROR(H138/G138-1,"-")</f>
        <v>4.8853091947310467E-2</v>
      </c>
      <c r="J138" s="161">
        <f t="shared" si="40"/>
        <v>12046</v>
      </c>
      <c r="K138" s="162">
        <f>H138/H$8</f>
        <v>4.7191384381819905E-2</v>
      </c>
    </row>
    <row r="139" spans="2:14" x14ac:dyDescent="0.25">
      <c r="B139" s="164" t="s">
        <v>112</v>
      </c>
      <c r="C139" s="165">
        <v>100583</v>
      </c>
      <c r="D139" s="165">
        <v>26093</v>
      </c>
      <c r="E139" s="165">
        <v>26467</v>
      </c>
      <c r="F139" s="165">
        <v>96562</v>
      </c>
      <c r="G139" s="165">
        <v>105830</v>
      </c>
      <c r="H139" s="165">
        <v>116159</v>
      </c>
      <c r="I139" s="166">
        <f t="shared" ref="I139:I146" si="41">IFERROR(H139/G139-1,"-")</f>
        <v>9.7599924407067995E-2</v>
      </c>
      <c r="J139" s="165">
        <f t="shared" si="40"/>
        <v>10329</v>
      </c>
      <c r="K139" s="166">
        <f t="shared" ref="K139:K146" si="42">H139/H$8</f>
        <v>2.119581481238185E-2</v>
      </c>
    </row>
    <row r="140" spans="2:14" x14ac:dyDescent="0.25">
      <c r="B140" s="164" t="s">
        <v>115</v>
      </c>
      <c r="C140" s="165">
        <v>15093</v>
      </c>
      <c r="D140" s="165">
        <v>6042</v>
      </c>
      <c r="E140" s="165">
        <v>9298</v>
      </c>
      <c r="F140" s="165">
        <v>16587</v>
      </c>
      <c r="G140" s="165">
        <v>20785</v>
      </c>
      <c r="H140" s="165">
        <v>21459</v>
      </c>
      <c r="I140" s="166">
        <f t="shared" si="41"/>
        <v>3.2427231176329174E-2</v>
      </c>
      <c r="J140" s="165">
        <f t="shared" si="40"/>
        <v>674</v>
      </c>
      <c r="K140" s="166">
        <f t="shared" si="42"/>
        <v>3.9156758413803677E-3</v>
      </c>
    </row>
    <row r="141" spans="2:14" x14ac:dyDescent="0.25">
      <c r="B141" s="164" t="s">
        <v>118</v>
      </c>
      <c r="C141" s="165">
        <v>19622</v>
      </c>
      <c r="D141" s="165">
        <v>6586</v>
      </c>
      <c r="E141" s="165">
        <v>15246</v>
      </c>
      <c r="F141" s="165">
        <v>26940</v>
      </c>
      <c r="G141" s="165">
        <v>25089</v>
      </c>
      <c r="H141" s="165">
        <v>24579</v>
      </c>
      <c r="I141" s="166">
        <f t="shared" si="41"/>
        <v>-2.0327633624297459E-2</v>
      </c>
      <c r="J141" s="165">
        <f t="shared" si="40"/>
        <v>-510</v>
      </c>
      <c r="K141" s="166">
        <f t="shared" si="42"/>
        <v>4.4849898180384946E-3</v>
      </c>
    </row>
    <row r="142" spans="2:14" x14ac:dyDescent="0.25">
      <c r="B142" s="164" t="s">
        <v>125</v>
      </c>
      <c r="C142" s="165">
        <v>3955</v>
      </c>
      <c r="D142" s="165">
        <v>1273</v>
      </c>
      <c r="E142" s="165">
        <v>4366</v>
      </c>
      <c r="F142" s="165">
        <v>9965</v>
      </c>
      <c r="G142" s="165">
        <v>8878</v>
      </c>
      <c r="H142" s="165">
        <v>6534</v>
      </c>
      <c r="I142" s="166">
        <f t="shared" si="41"/>
        <v>-0.26402342870015771</v>
      </c>
      <c r="J142" s="165">
        <f t="shared" si="40"/>
        <v>-2344</v>
      </c>
      <c r="K142" s="166">
        <f t="shared" si="42"/>
        <v>1.1922748472705774E-3</v>
      </c>
    </row>
    <row r="143" spans="2:14" x14ac:dyDescent="0.25">
      <c r="B143" s="164" t="s">
        <v>121</v>
      </c>
      <c r="C143" s="165">
        <v>4225</v>
      </c>
      <c r="D143" s="165">
        <v>1935</v>
      </c>
      <c r="E143" s="165">
        <v>3344</v>
      </c>
      <c r="F143" s="165">
        <v>4569</v>
      </c>
      <c r="G143" s="165">
        <v>5490</v>
      </c>
      <c r="H143" s="165">
        <v>5563</v>
      </c>
      <c r="I143" s="166">
        <f t="shared" si="41"/>
        <v>1.3296903460837894E-2</v>
      </c>
      <c r="J143" s="165">
        <f t="shared" si="40"/>
        <v>73</v>
      </c>
      <c r="K143" s="166">
        <f t="shared" si="42"/>
        <v>1.0150941192785771E-3</v>
      </c>
    </row>
    <row r="144" spans="2:14" x14ac:dyDescent="0.25">
      <c r="B144" s="164" t="s">
        <v>130</v>
      </c>
      <c r="C144" s="165">
        <v>2428</v>
      </c>
      <c r="D144" s="165">
        <v>1979</v>
      </c>
      <c r="E144" s="165">
        <v>1422</v>
      </c>
      <c r="F144" s="165">
        <v>3324</v>
      </c>
      <c r="G144" s="165">
        <v>3691</v>
      </c>
      <c r="H144" s="165">
        <v>3402</v>
      </c>
      <c r="I144" s="166">
        <f t="shared" si="41"/>
        <v>-7.8298564074776533E-2</v>
      </c>
      <c r="J144" s="165">
        <f t="shared" si="40"/>
        <v>-289</v>
      </c>
      <c r="K144" s="166">
        <f t="shared" si="42"/>
        <v>6.2077120147145768E-4</v>
      </c>
    </row>
    <row r="145" spans="2:14" x14ac:dyDescent="0.25">
      <c r="B145" s="164" t="s">
        <v>133</v>
      </c>
      <c r="C145" s="165">
        <v>6221</v>
      </c>
      <c r="D145" s="165">
        <v>4050</v>
      </c>
      <c r="E145" s="165">
        <v>947</v>
      </c>
      <c r="F145" s="165">
        <v>2079</v>
      </c>
      <c r="G145" s="165">
        <v>2885</v>
      </c>
      <c r="H145" s="165">
        <v>2731</v>
      </c>
      <c r="I145" s="166">
        <f t="shared" si="41"/>
        <v>-5.3379549393414161E-2</v>
      </c>
      <c r="J145" s="165">
        <f t="shared" si="40"/>
        <v>-154</v>
      </c>
      <c r="K145" s="166">
        <f t="shared" si="42"/>
        <v>4.9833220200427711E-4</v>
      </c>
    </row>
    <row r="146" spans="2:14" x14ac:dyDescent="0.25">
      <c r="B146" s="169" t="s">
        <v>147</v>
      </c>
      <c r="C146" s="170">
        <f t="shared" ref="C146:H146" si="43">C138-SUM(C139:C145)</f>
        <v>52520</v>
      </c>
      <c r="D146" s="170">
        <f t="shared" si="43"/>
        <v>21884</v>
      </c>
      <c r="E146" s="170">
        <f t="shared" si="43"/>
        <v>34040</v>
      </c>
      <c r="F146" s="170">
        <f t="shared" si="43"/>
        <v>68030</v>
      </c>
      <c r="G146" s="170">
        <f t="shared" si="43"/>
        <v>73928</v>
      </c>
      <c r="H146" s="170">
        <f t="shared" si="43"/>
        <v>78195</v>
      </c>
      <c r="I146" s="171">
        <f t="shared" si="41"/>
        <v>5.7718320528081346E-2</v>
      </c>
      <c r="J146" s="170">
        <f>H146-G146</f>
        <v>4267</v>
      </c>
      <c r="K146" s="171">
        <f t="shared" si="42"/>
        <v>1.4268431539994306E-2</v>
      </c>
    </row>
    <row r="147" spans="2:14" x14ac:dyDescent="0.25">
      <c r="B147" s="156" t="s">
        <v>55</v>
      </c>
      <c r="C147" s="154"/>
      <c r="D147" s="154"/>
      <c r="E147" s="154"/>
      <c r="F147" s="154"/>
      <c r="G147" s="154"/>
      <c r="H147" s="155"/>
      <c r="I147" s="155"/>
      <c r="J147" s="155"/>
      <c r="K147" s="154"/>
      <c r="L147" s="172"/>
      <c r="M147" s="172"/>
      <c r="N147" s="172"/>
    </row>
    <row r="148" spans="2:14" x14ac:dyDescent="0.25">
      <c r="B148" s="157" t="s">
        <v>70</v>
      </c>
      <c r="C148" s="158">
        <v>126097</v>
      </c>
      <c r="D148" s="158">
        <v>43425</v>
      </c>
      <c r="E148" s="158">
        <v>71959</v>
      </c>
      <c r="F148" s="158">
        <v>111437</v>
      </c>
      <c r="G148" s="158">
        <v>123198</v>
      </c>
      <c r="H148" s="158">
        <v>128395</v>
      </c>
      <c r="I148" s="159">
        <f>IFERROR(H148/G148-1,"-")</f>
        <v>4.2184126365687691E-2</v>
      </c>
      <c r="J148" s="158">
        <f>H148-G148</f>
        <v>5197</v>
      </c>
      <c r="K148" s="159">
        <f>H148/H$8</f>
        <v>2.3428547446480836E-2</v>
      </c>
      <c r="L148" s="107"/>
      <c r="M148" s="107"/>
      <c r="N148" s="107"/>
    </row>
    <row r="149" spans="2:14" x14ac:dyDescent="0.25">
      <c r="B149" s="160" t="s">
        <v>99</v>
      </c>
      <c r="C149" s="161">
        <v>54208</v>
      </c>
      <c r="D149" s="161">
        <v>22164</v>
      </c>
      <c r="E149" s="161">
        <v>40392</v>
      </c>
      <c r="F149" s="161">
        <v>57756</v>
      </c>
      <c r="G149" s="161">
        <v>59696</v>
      </c>
      <c r="H149" s="161">
        <v>55970</v>
      </c>
      <c r="I149" s="162">
        <f>IFERROR(H149/G149-1,"-")</f>
        <v>-6.2416242294291102E-2</v>
      </c>
      <c r="J149" s="161">
        <f t="shared" ref="J149:J159" si="44">H149-G149</f>
        <v>-3726</v>
      </c>
      <c r="K149" s="162">
        <f>H149/H$8</f>
        <v>1.0212981818447233E-2</v>
      </c>
    </row>
    <row r="150" spans="2:14" x14ac:dyDescent="0.25">
      <c r="B150" s="164" t="s">
        <v>105</v>
      </c>
      <c r="C150" s="165">
        <v>32990</v>
      </c>
      <c r="D150" s="165">
        <v>14597</v>
      </c>
      <c r="E150" s="165">
        <v>32366</v>
      </c>
      <c r="F150" s="165">
        <v>41603</v>
      </c>
      <c r="G150" s="165">
        <v>44199</v>
      </c>
      <c r="H150" s="165">
        <v>37836</v>
      </c>
      <c r="I150" s="166">
        <f>IFERROR(H150/G150-1,"-")</f>
        <v>-0.14396253308898388</v>
      </c>
      <c r="J150" s="165">
        <f t="shared" si="44"/>
        <v>-6363</v>
      </c>
      <c r="K150" s="166">
        <f>H150/H$8</f>
        <v>6.904026801550286E-3</v>
      </c>
    </row>
    <row r="151" spans="2:14" x14ac:dyDescent="0.25">
      <c r="B151" s="164" t="s">
        <v>102</v>
      </c>
      <c r="C151" s="165">
        <v>21218</v>
      </c>
      <c r="D151" s="165">
        <v>7567</v>
      </c>
      <c r="E151" s="165">
        <v>8026</v>
      </c>
      <c r="F151" s="165">
        <v>16153</v>
      </c>
      <c r="G151" s="165">
        <v>15497</v>
      </c>
      <c r="H151" s="165">
        <v>18134</v>
      </c>
      <c r="I151" s="166">
        <f>IFERROR(H151/G151-1,"-")</f>
        <v>0.17016196683229001</v>
      </c>
      <c r="J151" s="165">
        <f t="shared" si="44"/>
        <v>2637</v>
      </c>
      <c r="K151" s="166">
        <f>H151/H$8</f>
        <v>3.3089550168969467E-3</v>
      </c>
    </row>
    <row r="152" spans="2:14" x14ac:dyDescent="0.25">
      <c r="B152" s="160" t="s">
        <v>109</v>
      </c>
      <c r="C152" s="161">
        <v>71889</v>
      </c>
      <c r="D152" s="161">
        <v>21261</v>
      </c>
      <c r="E152" s="161">
        <v>31567</v>
      </c>
      <c r="F152" s="161">
        <v>53681</v>
      </c>
      <c r="G152" s="161">
        <v>63502</v>
      </c>
      <c r="H152" s="161">
        <v>72425</v>
      </c>
      <c r="I152" s="162">
        <f>IFERROR(H152/G152-1,"-")</f>
        <v>0.14051525936190989</v>
      </c>
      <c r="J152" s="161">
        <f t="shared" si="44"/>
        <v>8923</v>
      </c>
      <c r="K152" s="162">
        <f>H152/H$8</f>
        <v>1.3215565628033605E-2</v>
      </c>
    </row>
    <row r="153" spans="2:14" x14ac:dyDescent="0.25">
      <c r="B153" s="164" t="s">
        <v>112</v>
      </c>
      <c r="C153" s="165">
        <v>21798</v>
      </c>
      <c r="D153" s="165">
        <v>5789</v>
      </c>
      <c r="E153" s="165">
        <v>5609</v>
      </c>
      <c r="F153" s="165">
        <v>19238</v>
      </c>
      <c r="G153" s="165">
        <v>18996</v>
      </c>
      <c r="H153" s="165">
        <v>20085</v>
      </c>
      <c r="I153" s="166">
        <f t="shared" ref="I153:I160" si="45">IFERROR(H153/G153-1,"-")</f>
        <v>5.7327858496525552E-2</v>
      </c>
      <c r="J153" s="165">
        <f t="shared" si="44"/>
        <v>1089</v>
      </c>
      <c r="K153" s="166">
        <f t="shared" ref="K153:K160" si="46">H153/H$8</f>
        <v>3.6649587247366924E-3</v>
      </c>
    </row>
    <row r="154" spans="2:14" x14ac:dyDescent="0.25">
      <c r="B154" s="164" t="s">
        <v>115</v>
      </c>
      <c r="C154" s="165">
        <v>18523</v>
      </c>
      <c r="D154" s="165">
        <v>5079</v>
      </c>
      <c r="E154" s="165">
        <v>8623</v>
      </c>
      <c r="F154" s="165">
        <v>11385</v>
      </c>
      <c r="G154" s="165">
        <v>12605</v>
      </c>
      <c r="H154" s="165">
        <v>13027</v>
      </c>
      <c r="I154" s="166">
        <f t="shared" si="45"/>
        <v>3.3478778262594266E-2</v>
      </c>
      <c r="J154" s="165">
        <f t="shared" si="44"/>
        <v>422</v>
      </c>
      <c r="K154" s="166">
        <f t="shared" si="46"/>
        <v>2.3770683249760959E-3</v>
      </c>
    </row>
    <row r="155" spans="2:14" x14ac:dyDescent="0.25">
      <c r="B155" s="164" t="s">
        <v>118</v>
      </c>
      <c r="C155" s="165">
        <v>9905</v>
      </c>
      <c r="D155" s="165">
        <v>2317</v>
      </c>
      <c r="E155" s="165">
        <v>5206</v>
      </c>
      <c r="F155" s="165">
        <v>6579</v>
      </c>
      <c r="G155" s="165">
        <v>10130</v>
      </c>
      <c r="H155" s="165">
        <v>12879</v>
      </c>
      <c r="I155" s="166">
        <f t="shared" si="45"/>
        <v>0.2713721618953604</v>
      </c>
      <c r="J155" s="165">
        <f t="shared" si="44"/>
        <v>2749</v>
      </c>
      <c r="K155" s="166">
        <f t="shared" si="46"/>
        <v>2.3500624055705181E-3</v>
      </c>
    </row>
    <row r="156" spans="2:14" x14ac:dyDescent="0.25">
      <c r="B156" s="164" t="s">
        <v>125</v>
      </c>
      <c r="C156" s="165">
        <v>1673</v>
      </c>
      <c r="D156" s="165">
        <v>600</v>
      </c>
      <c r="E156" s="165">
        <v>927</v>
      </c>
      <c r="F156" s="165">
        <v>1690</v>
      </c>
      <c r="G156" s="165">
        <v>2031</v>
      </c>
      <c r="H156" s="165">
        <v>2829</v>
      </c>
      <c r="I156" s="166">
        <f t="shared" si="45"/>
        <v>0.39290989660265874</v>
      </c>
      <c r="J156" s="165">
        <f t="shared" si="44"/>
        <v>798</v>
      </c>
      <c r="K156" s="166">
        <f t="shared" si="46"/>
        <v>5.1621449998905165E-4</v>
      </c>
    </row>
    <row r="157" spans="2:14" x14ac:dyDescent="0.25">
      <c r="B157" s="164" t="s">
        <v>121</v>
      </c>
      <c r="C157" s="165">
        <v>3007</v>
      </c>
      <c r="D157" s="165">
        <v>1505</v>
      </c>
      <c r="E157" s="165">
        <v>1749</v>
      </c>
      <c r="F157" s="165">
        <v>2959</v>
      </c>
      <c r="G157" s="165">
        <v>3062</v>
      </c>
      <c r="H157" s="165">
        <v>3505</v>
      </c>
      <c r="I157" s="166">
        <f t="shared" si="45"/>
        <v>0.14467668190725025</v>
      </c>
      <c r="J157" s="165">
        <f t="shared" si="44"/>
        <v>443</v>
      </c>
      <c r="K157" s="166">
        <f t="shared" si="46"/>
        <v>6.3956586159831248E-4</v>
      </c>
    </row>
    <row r="158" spans="2:14" x14ac:dyDescent="0.25">
      <c r="B158" s="164" t="s">
        <v>130</v>
      </c>
      <c r="C158" s="165">
        <v>472</v>
      </c>
      <c r="D158" s="165">
        <v>354</v>
      </c>
      <c r="E158" s="165">
        <v>292</v>
      </c>
      <c r="F158" s="165">
        <v>497</v>
      </c>
      <c r="G158" s="165">
        <v>676</v>
      </c>
      <c r="H158" s="165">
        <v>484</v>
      </c>
      <c r="I158" s="166">
        <f t="shared" si="45"/>
        <v>-0.28402366863905326</v>
      </c>
      <c r="J158" s="165">
        <f t="shared" si="44"/>
        <v>-192</v>
      </c>
      <c r="K158" s="166">
        <f t="shared" si="46"/>
        <v>8.8316655353376099E-5</v>
      </c>
    </row>
    <row r="159" spans="2:14" x14ac:dyDescent="0.25">
      <c r="B159" s="164" t="s">
        <v>133</v>
      </c>
      <c r="C159" s="165">
        <v>1062</v>
      </c>
      <c r="D159" s="165">
        <v>441</v>
      </c>
      <c r="E159" s="165">
        <v>454</v>
      </c>
      <c r="F159" s="165">
        <v>656</v>
      </c>
      <c r="G159" s="165">
        <v>941</v>
      </c>
      <c r="H159" s="165">
        <v>796</v>
      </c>
      <c r="I159" s="166">
        <f t="shared" si="45"/>
        <v>-0.15409139213602552</v>
      </c>
      <c r="J159" s="165">
        <f t="shared" si="44"/>
        <v>-145</v>
      </c>
      <c r="K159" s="166">
        <f t="shared" si="46"/>
        <v>1.4524805301918881E-4</v>
      </c>
    </row>
    <row r="160" spans="2:14" x14ac:dyDescent="0.25">
      <c r="B160" s="169" t="s">
        <v>147</v>
      </c>
      <c r="C160" s="170">
        <f t="shared" ref="C160:H160" si="47">C152-SUM(C153:C159)</f>
        <v>15449</v>
      </c>
      <c r="D160" s="170">
        <f t="shared" si="47"/>
        <v>5176</v>
      </c>
      <c r="E160" s="170">
        <f t="shared" si="47"/>
        <v>8707</v>
      </c>
      <c r="F160" s="170">
        <f t="shared" si="47"/>
        <v>10677</v>
      </c>
      <c r="G160" s="170">
        <f t="shared" si="47"/>
        <v>15061</v>
      </c>
      <c r="H160" s="170">
        <f t="shared" si="47"/>
        <v>18820</v>
      </c>
      <c r="I160" s="171">
        <f t="shared" si="45"/>
        <v>0.24958502091494594</v>
      </c>
      <c r="J160" s="170">
        <f>H160-G160</f>
        <v>3759</v>
      </c>
      <c r="K160" s="171">
        <f t="shared" si="46"/>
        <v>3.4341311027903682E-3</v>
      </c>
    </row>
    <row r="161" spans="2:1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</row>
    <row r="162" spans="2:11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</row>
  </sheetData>
  <mergeCells count="3">
    <mergeCell ref="B3:K3"/>
    <mergeCell ref="C5:K5"/>
    <mergeCell ref="O5:W5"/>
  </mergeCells>
  <pageMargins left="0.25" right="0.25" top="0.75" bottom="0.75" header="0.3" footer="0.3"/>
  <pageSetup paperSize="9" scale="2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EF989-924E-4C1F-9B86-6BDF2F5061AB}">
  <sheetPr>
    <tabColor theme="7" tint="0.79998168889431442"/>
  </sheetPr>
  <dimension ref="A1:T165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10" width="13.7109375" customWidth="1"/>
    <col min="13" max="20" width="11.42578125" hidden="1" customWidth="1"/>
  </cols>
  <sheetData>
    <row r="1" spans="1:20" ht="42.75" customHeight="1" x14ac:dyDescent="0.25"/>
    <row r="2" spans="1:20" ht="18" customHeight="1" x14ac:dyDescent="0.25"/>
    <row r="3" spans="1:20" x14ac:dyDescent="0.25">
      <c r="B3" s="57"/>
    </row>
    <row r="6" spans="1:20" ht="42" customHeight="1" thickBot="1" x14ac:dyDescent="0.3">
      <c r="B6" s="278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6" s="278"/>
      <c r="D6" s="278"/>
      <c r="E6" s="278"/>
      <c r="F6" s="278"/>
      <c r="G6" s="278"/>
      <c r="H6" s="278"/>
      <c r="I6" s="278"/>
      <c r="J6" s="278"/>
      <c r="M6" s="278" t="s">
        <v>259</v>
      </c>
      <c r="N6" s="278"/>
      <c r="O6" s="278"/>
      <c r="P6" s="278"/>
      <c r="Q6" s="278"/>
      <c r="R6" s="278"/>
      <c r="S6" s="278"/>
      <c r="T6" s="278"/>
    </row>
    <row r="7" spans="1:20" ht="6" customHeight="1" x14ac:dyDescent="0.25"/>
    <row r="8" spans="1:20" ht="15.75" x14ac:dyDescent="0.25">
      <c r="B8" s="146"/>
      <c r="C8" s="311" t="s">
        <v>45</v>
      </c>
      <c r="D8" s="312"/>
      <c r="E8" s="312"/>
      <c r="F8" s="312"/>
      <c r="G8" s="312"/>
      <c r="H8" s="312"/>
      <c r="I8" s="312"/>
      <c r="J8" s="312"/>
    </row>
    <row r="9" spans="1:20" s="147" customFormat="1" ht="72" customHeight="1" x14ac:dyDescent="0.25">
      <c r="A9"/>
      <c r="B9" s="148"/>
      <c r="C9" s="173" t="s">
        <v>258</v>
      </c>
      <c r="D9" s="173" t="s">
        <v>224</v>
      </c>
      <c r="E9" s="173" t="s">
        <v>225</v>
      </c>
      <c r="F9" s="173" t="s">
        <v>226</v>
      </c>
      <c r="G9" s="173" t="s">
        <v>227</v>
      </c>
      <c r="H9" s="173" t="s">
        <v>228</v>
      </c>
      <c r="I9" s="174" t="str">
        <f>CONCATENATE("var. ",RIGHT(H9,2),"/",RIGHT(G9,2))</f>
        <v>var. 25/24</v>
      </c>
      <c r="J9" s="174" t="str">
        <f>CONCATENATE("Cuota s/ total lugares de residencia ",RIGHT(H9,4))</f>
        <v>Cuota s/ total lugares de residencia 2025</v>
      </c>
      <c r="M9" s="148"/>
      <c r="N9" s="173" t="s">
        <v>258</v>
      </c>
      <c r="O9" s="173" t="s">
        <v>224</v>
      </c>
      <c r="P9" s="173" t="s">
        <v>225</v>
      </c>
      <c r="Q9" s="173" t="s">
        <v>226</v>
      </c>
      <c r="R9" s="173" t="s">
        <v>227</v>
      </c>
      <c r="S9" s="173" t="s">
        <v>228</v>
      </c>
      <c r="T9" s="174" t="str">
        <f>CONCATENATE("Cuota s/ total lugares de residencia ",RIGHT(R9,4))</f>
        <v>Cuota s/ total lugares de residencia 2024</v>
      </c>
    </row>
    <row r="10" spans="1:20" x14ac:dyDescent="0.25">
      <c r="B10" s="153" t="s">
        <v>45</v>
      </c>
      <c r="C10" s="154"/>
      <c r="D10" s="154"/>
      <c r="E10" s="154"/>
      <c r="F10" s="154"/>
      <c r="G10" s="154"/>
      <c r="H10" s="154"/>
      <c r="I10" s="155"/>
      <c r="J10" s="155"/>
      <c r="M10" s="156" t="s">
        <v>51</v>
      </c>
      <c r="N10" s="175"/>
      <c r="O10" s="175"/>
      <c r="P10" s="175"/>
      <c r="Q10" s="175"/>
      <c r="R10" s="175"/>
      <c r="S10" s="176"/>
      <c r="T10" s="176"/>
    </row>
    <row r="11" spans="1:20" x14ac:dyDescent="0.25">
      <c r="B11" s="157" t="s">
        <v>70</v>
      </c>
      <c r="C11" s="177">
        <v>4661</v>
      </c>
      <c r="D11" s="177">
        <v>142483</v>
      </c>
      <c r="E11" s="177">
        <v>381871</v>
      </c>
      <c r="F11" s="177">
        <v>431303</v>
      </c>
      <c r="G11" s="177">
        <v>446421</v>
      </c>
      <c r="H11" s="177">
        <v>437805</v>
      </c>
      <c r="I11" s="178">
        <f t="shared" ref="I11:I23" si="0">IFERROR(H11/G11-1,"-")</f>
        <v>-1.9300167330837947E-2</v>
      </c>
      <c r="J11" s="178">
        <f>H11/H11</f>
        <v>1</v>
      </c>
      <c r="K11" s="81"/>
      <c r="L11" s="81"/>
      <c r="M11" s="157" t="s">
        <v>70</v>
      </c>
      <c r="N11" s="177">
        <v>0</v>
      </c>
      <c r="O11" s="177">
        <v>2494</v>
      </c>
      <c r="P11" s="177">
        <v>4520</v>
      </c>
      <c r="Q11" s="177">
        <v>4181</v>
      </c>
      <c r="R11" s="177">
        <v>3964</v>
      </c>
      <c r="S11" s="178">
        <f t="shared" ref="S11:S23" si="1">IFERROR(R11/Q11-1,"-")</f>
        <v>-5.1901458981104986E-2</v>
      </c>
      <c r="T11" s="178">
        <f>R11/R11</f>
        <v>1</v>
      </c>
    </row>
    <row r="12" spans="1:20" x14ac:dyDescent="0.25">
      <c r="B12" s="160" t="s">
        <v>99</v>
      </c>
      <c r="C12" s="161">
        <v>3723</v>
      </c>
      <c r="D12" s="161">
        <v>78711</v>
      </c>
      <c r="E12" s="161">
        <v>101392</v>
      </c>
      <c r="F12" s="161">
        <v>118625</v>
      </c>
      <c r="G12" s="161">
        <v>112853</v>
      </c>
      <c r="H12" s="161">
        <v>107331</v>
      </c>
      <c r="I12" s="162">
        <f t="shared" si="0"/>
        <v>-4.8930910122017113E-2</v>
      </c>
      <c r="J12" s="162">
        <f>H12/H11</f>
        <v>0.24515709048549011</v>
      </c>
      <c r="K12" s="81"/>
      <c r="L12" s="81"/>
      <c r="M12" s="160" t="s">
        <v>99</v>
      </c>
      <c r="N12" s="161">
        <v>0</v>
      </c>
      <c r="O12" s="161">
        <v>1915</v>
      </c>
      <c r="P12" s="161">
        <v>3580</v>
      </c>
      <c r="Q12" s="161">
        <v>3284</v>
      </c>
      <c r="R12" s="161">
        <v>3008</v>
      </c>
      <c r="S12" s="162">
        <f t="shared" si="1"/>
        <v>-8.4043848964677204E-2</v>
      </c>
      <c r="T12" s="162">
        <f>R12/R11</f>
        <v>0.75882946518668015</v>
      </c>
    </row>
    <row r="13" spans="1:20" x14ac:dyDescent="0.25">
      <c r="B13" s="164" t="s">
        <v>105</v>
      </c>
      <c r="C13" s="165">
        <v>2279</v>
      </c>
      <c r="D13" s="165">
        <v>43273</v>
      </c>
      <c r="E13" s="165">
        <v>39451</v>
      </c>
      <c r="F13" s="165">
        <v>51886</v>
      </c>
      <c r="G13" s="165">
        <v>48022</v>
      </c>
      <c r="H13" s="165">
        <v>41036</v>
      </c>
      <c r="I13" s="166">
        <f t="shared" si="0"/>
        <v>-0.14547499062929492</v>
      </c>
      <c r="J13" s="166">
        <f>H13/H11</f>
        <v>9.373122737291717E-2</v>
      </c>
      <c r="K13" s="81"/>
      <c r="L13" s="81"/>
      <c r="M13" s="164" t="s">
        <v>105</v>
      </c>
      <c r="N13" s="165">
        <v>0</v>
      </c>
      <c r="O13" s="165">
        <v>1100</v>
      </c>
      <c r="P13" s="165">
        <v>1851</v>
      </c>
      <c r="Q13" s="165">
        <v>818</v>
      </c>
      <c r="R13" s="165">
        <v>716</v>
      </c>
      <c r="S13" s="166">
        <f t="shared" si="1"/>
        <v>-0.12469437652811732</v>
      </c>
      <c r="T13" s="166">
        <f>R13/R11</f>
        <v>0.18062563067608475</v>
      </c>
    </row>
    <row r="14" spans="1:20" x14ac:dyDescent="0.25">
      <c r="B14" s="164" t="s">
        <v>102</v>
      </c>
      <c r="C14" s="165">
        <v>1444</v>
      </c>
      <c r="D14" s="165">
        <v>35438</v>
      </c>
      <c r="E14" s="165">
        <v>61941</v>
      </c>
      <c r="F14" s="165">
        <v>66739</v>
      </c>
      <c r="G14" s="165">
        <v>64831</v>
      </c>
      <c r="H14" s="165">
        <v>66295</v>
      </c>
      <c r="I14" s="166">
        <f t="shared" si="0"/>
        <v>2.2581789575974565E-2</v>
      </c>
      <c r="J14" s="166">
        <f>H14/H11</f>
        <v>0.15142586311257294</v>
      </c>
      <c r="K14" s="81"/>
      <c r="L14" s="81"/>
      <c r="M14" s="164" t="s">
        <v>102</v>
      </c>
      <c r="N14" s="165">
        <v>0</v>
      </c>
      <c r="O14" s="165">
        <v>815</v>
      </c>
      <c r="P14" s="165">
        <v>1729</v>
      </c>
      <c r="Q14" s="165">
        <v>2466</v>
      </c>
      <c r="R14" s="165">
        <v>2292</v>
      </c>
      <c r="S14" s="166">
        <f t="shared" si="1"/>
        <v>-7.0559610705596132E-2</v>
      </c>
      <c r="T14" s="166">
        <f>R14/R11</f>
        <v>0.57820383451059532</v>
      </c>
    </row>
    <row r="15" spans="1:20" x14ac:dyDescent="0.25">
      <c r="B15" s="160" t="s">
        <v>109</v>
      </c>
      <c r="C15" s="161">
        <v>938</v>
      </c>
      <c r="D15" s="161">
        <v>63772</v>
      </c>
      <c r="E15" s="161">
        <v>280479</v>
      </c>
      <c r="F15" s="161">
        <v>312678</v>
      </c>
      <c r="G15" s="161">
        <v>333568</v>
      </c>
      <c r="H15" s="161">
        <v>330474</v>
      </c>
      <c r="I15" s="162">
        <f t="shared" si="0"/>
        <v>-9.2754700690713676E-3</v>
      </c>
      <c r="J15" s="162">
        <f>H15/H11</f>
        <v>0.75484290951450983</v>
      </c>
      <c r="K15" s="81"/>
      <c r="L15" s="81"/>
      <c r="M15" s="160" t="s">
        <v>109</v>
      </c>
      <c r="N15" s="161">
        <v>0</v>
      </c>
      <c r="O15" s="161">
        <v>579</v>
      </c>
      <c r="P15" s="161">
        <v>940</v>
      </c>
      <c r="Q15" s="161">
        <v>897</v>
      </c>
      <c r="R15" s="161">
        <v>956</v>
      </c>
      <c r="S15" s="162">
        <f t="shared" si="1"/>
        <v>6.5774804905239792E-2</v>
      </c>
      <c r="T15" s="162">
        <f>R15/R11</f>
        <v>0.24117053481331988</v>
      </c>
    </row>
    <row r="16" spans="1:20" x14ac:dyDescent="0.25">
      <c r="B16" s="164" t="s">
        <v>112</v>
      </c>
      <c r="C16" s="165">
        <v>122</v>
      </c>
      <c r="D16" s="165">
        <v>5286</v>
      </c>
      <c r="E16" s="165">
        <v>147240</v>
      </c>
      <c r="F16" s="165">
        <v>168411</v>
      </c>
      <c r="G16" s="165">
        <v>184316</v>
      </c>
      <c r="H16" s="165">
        <v>180359</v>
      </c>
      <c r="I16" s="166">
        <f t="shared" si="0"/>
        <v>-2.1468564856008121E-2</v>
      </c>
      <c r="J16" s="166">
        <f>H16/H11</f>
        <v>0.41196194652870571</v>
      </c>
      <c r="K16" s="81"/>
      <c r="L16" s="81"/>
      <c r="M16" s="164" t="s">
        <v>112</v>
      </c>
      <c r="N16" s="165">
        <v>0</v>
      </c>
      <c r="O16" s="165">
        <v>25</v>
      </c>
      <c r="P16" s="165">
        <v>120</v>
      </c>
      <c r="Q16" s="165">
        <v>124</v>
      </c>
      <c r="R16" s="165">
        <v>100</v>
      </c>
      <c r="S16" s="166">
        <f t="shared" si="1"/>
        <v>-0.19354838709677424</v>
      </c>
      <c r="T16" s="166">
        <f>R16/R11</f>
        <v>2.5227043390514632E-2</v>
      </c>
    </row>
    <row r="17" spans="1:20" x14ac:dyDescent="0.25">
      <c r="B17" s="164" t="s">
        <v>115</v>
      </c>
      <c r="C17" s="165">
        <v>152</v>
      </c>
      <c r="D17" s="165">
        <v>11388</v>
      </c>
      <c r="E17" s="165">
        <v>28586</v>
      </c>
      <c r="F17" s="165">
        <v>29614</v>
      </c>
      <c r="G17" s="165">
        <v>26950</v>
      </c>
      <c r="H17" s="165">
        <v>29135</v>
      </c>
      <c r="I17" s="166">
        <f t="shared" si="0"/>
        <v>8.1076066790352508E-2</v>
      </c>
      <c r="J17" s="166">
        <f>H17/H11</f>
        <v>6.6547892326492386E-2</v>
      </c>
      <c r="K17" s="81"/>
      <c r="L17" s="81"/>
      <c r="M17" s="164" t="s">
        <v>115</v>
      </c>
      <c r="N17" s="165">
        <v>0</v>
      </c>
      <c r="O17" s="165">
        <v>106</v>
      </c>
      <c r="P17" s="165">
        <v>171</v>
      </c>
      <c r="Q17" s="165">
        <v>128</v>
      </c>
      <c r="R17" s="165">
        <v>154</v>
      </c>
      <c r="S17" s="166">
        <f t="shared" si="1"/>
        <v>0.203125</v>
      </c>
      <c r="T17" s="166">
        <f>R17/R11</f>
        <v>3.8849646821392532E-2</v>
      </c>
    </row>
    <row r="18" spans="1:20" x14ac:dyDescent="0.25">
      <c r="B18" s="164" t="s">
        <v>118</v>
      </c>
      <c r="C18" s="165">
        <v>38</v>
      </c>
      <c r="D18" s="165">
        <v>7599</v>
      </c>
      <c r="E18" s="165">
        <v>11317</v>
      </c>
      <c r="F18" s="165">
        <v>12929</v>
      </c>
      <c r="G18" s="165">
        <v>15088</v>
      </c>
      <c r="H18" s="165">
        <v>14012</v>
      </c>
      <c r="I18" s="166">
        <f t="shared" si="0"/>
        <v>-7.1314952279957544E-2</v>
      </c>
      <c r="J18" s="166">
        <f>H18/H11</f>
        <v>3.2005116433115197E-2</v>
      </c>
      <c r="K18" s="81"/>
      <c r="L18" s="81"/>
      <c r="M18" s="164" t="s">
        <v>118</v>
      </c>
      <c r="N18" s="165">
        <v>0</v>
      </c>
      <c r="O18" s="165">
        <v>162</v>
      </c>
      <c r="P18" s="165">
        <v>122</v>
      </c>
      <c r="Q18" s="165">
        <v>150</v>
      </c>
      <c r="R18" s="165">
        <v>118</v>
      </c>
      <c r="S18" s="166">
        <f t="shared" si="1"/>
        <v>-0.21333333333333337</v>
      </c>
      <c r="T18" s="166">
        <f>R18/R11</f>
        <v>2.9767911200807264E-2</v>
      </c>
    </row>
    <row r="19" spans="1:20" x14ac:dyDescent="0.25">
      <c r="B19" s="164" t="s">
        <v>125</v>
      </c>
      <c r="C19" s="165">
        <v>28</v>
      </c>
      <c r="D19" s="165">
        <v>5971</v>
      </c>
      <c r="E19" s="165">
        <v>11750</v>
      </c>
      <c r="F19" s="165">
        <v>11182</v>
      </c>
      <c r="G19" s="165">
        <v>11624</v>
      </c>
      <c r="H19" s="165">
        <v>9836</v>
      </c>
      <c r="I19" s="166">
        <f t="shared" si="0"/>
        <v>-0.15381968341362695</v>
      </c>
      <c r="J19" s="166">
        <f>H19/H11</f>
        <v>2.2466623268350066E-2</v>
      </c>
      <c r="K19" s="81"/>
      <c r="L19" s="81"/>
      <c r="M19" s="164" t="s">
        <v>125</v>
      </c>
      <c r="N19" s="165">
        <v>0</v>
      </c>
      <c r="O19" s="165">
        <v>17</v>
      </c>
      <c r="P19" s="165">
        <v>85</v>
      </c>
      <c r="Q19" s="165">
        <v>30</v>
      </c>
      <c r="R19" s="165">
        <v>36</v>
      </c>
      <c r="S19" s="166">
        <f t="shared" si="1"/>
        <v>0.19999999999999996</v>
      </c>
      <c r="T19" s="166">
        <f>R19/R11</f>
        <v>9.0817356205852677E-3</v>
      </c>
    </row>
    <row r="20" spans="1:20" x14ac:dyDescent="0.25">
      <c r="B20" s="164" t="s">
        <v>121</v>
      </c>
      <c r="C20" s="165">
        <v>17</v>
      </c>
      <c r="D20" s="165">
        <v>5753</v>
      </c>
      <c r="E20" s="165">
        <v>8661</v>
      </c>
      <c r="F20" s="165">
        <v>9490</v>
      </c>
      <c r="G20" s="165">
        <v>9964</v>
      </c>
      <c r="H20" s="165">
        <v>8994</v>
      </c>
      <c r="I20" s="166">
        <f t="shared" si="0"/>
        <v>-9.7350461661983134E-2</v>
      </c>
      <c r="J20" s="166">
        <f>H20/H11</f>
        <v>2.0543392606297325E-2</v>
      </c>
      <c r="K20" s="81"/>
      <c r="L20" s="81"/>
      <c r="M20" s="164" t="s">
        <v>121</v>
      </c>
      <c r="N20" s="165">
        <v>0</v>
      </c>
      <c r="O20" s="165">
        <v>25</v>
      </c>
      <c r="P20" s="165">
        <v>31</v>
      </c>
      <c r="Q20" s="165">
        <v>32</v>
      </c>
      <c r="R20" s="165">
        <v>19</v>
      </c>
      <c r="S20" s="166">
        <f t="shared" si="1"/>
        <v>-0.40625</v>
      </c>
      <c r="T20" s="166">
        <f>R20/R11</f>
        <v>4.7931382441977798E-3</v>
      </c>
    </row>
    <row r="21" spans="1:20" x14ac:dyDescent="0.25">
      <c r="B21" s="164" t="s">
        <v>130</v>
      </c>
      <c r="C21" s="165">
        <v>8</v>
      </c>
      <c r="D21" s="165">
        <v>279</v>
      </c>
      <c r="E21" s="165">
        <v>926</v>
      </c>
      <c r="F21" s="165">
        <v>1189</v>
      </c>
      <c r="G21" s="165">
        <v>1054</v>
      </c>
      <c r="H21" s="165">
        <v>1019</v>
      </c>
      <c r="I21" s="166">
        <f t="shared" si="0"/>
        <v>-3.3206831119544589E-2</v>
      </c>
      <c r="J21" s="166">
        <f>H21/H11</f>
        <v>2.3275202430305731E-3</v>
      </c>
      <c r="K21" s="81"/>
      <c r="L21" s="81"/>
      <c r="M21" s="164" t="s">
        <v>130</v>
      </c>
      <c r="N21" s="165">
        <v>0</v>
      </c>
      <c r="O21" s="165">
        <v>0</v>
      </c>
      <c r="P21" s="165">
        <v>7</v>
      </c>
      <c r="Q21" s="165">
        <v>2</v>
      </c>
      <c r="R21" s="165">
        <v>47</v>
      </c>
      <c r="S21" s="166">
        <f t="shared" si="1"/>
        <v>22.5</v>
      </c>
      <c r="T21" s="166">
        <f>R21/R11</f>
        <v>1.1856710393541877E-2</v>
      </c>
    </row>
    <row r="22" spans="1:20" x14ac:dyDescent="0.25">
      <c r="A22" s="168"/>
      <c r="B22" s="164" t="s">
        <v>133</v>
      </c>
      <c r="C22" s="165">
        <v>19</v>
      </c>
      <c r="D22" s="165">
        <v>151</v>
      </c>
      <c r="E22" s="165">
        <v>719</v>
      </c>
      <c r="F22" s="165">
        <v>918</v>
      </c>
      <c r="G22" s="165">
        <v>519</v>
      </c>
      <c r="H22" s="165">
        <v>663</v>
      </c>
      <c r="I22" s="166">
        <f t="shared" si="0"/>
        <v>0.27745664739884401</v>
      </c>
      <c r="J22" s="166">
        <f>H22/H11</f>
        <v>1.514372837222051E-3</v>
      </c>
      <c r="K22" s="81"/>
      <c r="L22" s="81"/>
      <c r="M22" s="164" t="s">
        <v>133</v>
      </c>
      <c r="N22" s="165">
        <v>0</v>
      </c>
      <c r="O22" s="165">
        <v>5</v>
      </c>
      <c r="P22" s="165">
        <v>22</v>
      </c>
      <c r="Q22" s="165">
        <v>9</v>
      </c>
      <c r="R22" s="165">
        <v>0</v>
      </c>
      <c r="S22" s="166">
        <f t="shared" si="1"/>
        <v>-1</v>
      </c>
      <c r="T22" s="166">
        <f>R22/R11</f>
        <v>0</v>
      </c>
    </row>
    <row r="23" spans="1:20" x14ac:dyDescent="0.25">
      <c r="B23" s="169" t="s">
        <v>147</v>
      </c>
      <c r="C23" s="170">
        <f t="shared" ref="C23:H23" si="2">C15-SUM(C16:C22)</f>
        <v>554</v>
      </c>
      <c r="D23" s="170">
        <f t="shared" si="2"/>
        <v>27345</v>
      </c>
      <c r="E23" s="170">
        <f t="shared" si="2"/>
        <v>71280</v>
      </c>
      <c r="F23" s="170">
        <f t="shared" si="2"/>
        <v>78945</v>
      </c>
      <c r="G23" s="170">
        <f t="shared" si="2"/>
        <v>84053</v>
      </c>
      <c r="H23" s="170">
        <f t="shared" si="2"/>
        <v>86456</v>
      </c>
      <c r="I23" s="171">
        <f t="shared" si="0"/>
        <v>2.8589104493593309E-2</v>
      </c>
      <c r="J23" s="171">
        <f>H23/H11</f>
        <v>0.19747604527129659</v>
      </c>
      <c r="K23" s="172"/>
      <c r="L23" s="172"/>
      <c r="M23" s="169" t="s">
        <v>147</v>
      </c>
      <c r="N23" s="170">
        <f>N15-SUM(N16:N22)</f>
        <v>0</v>
      </c>
      <c r="O23" s="170">
        <f>O15-SUM(O16:O22)</f>
        <v>239</v>
      </c>
      <c r="P23" s="170">
        <f>P15-SUM(P16:P22)</f>
        <v>382</v>
      </c>
      <c r="Q23" s="170">
        <f>Q15-SUM(Q16:Q22)</f>
        <v>422</v>
      </c>
      <c r="R23" s="170">
        <f>R15-SUM(R16:R22)</f>
        <v>482</v>
      </c>
      <c r="S23" s="171">
        <f t="shared" si="1"/>
        <v>0.14218009478672977</v>
      </c>
      <c r="T23" s="171">
        <f>R23/R11</f>
        <v>0.12159434914228053</v>
      </c>
    </row>
    <row r="24" spans="1:20" x14ac:dyDescent="0.25">
      <c r="B24" s="156" t="s">
        <v>46</v>
      </c>
      <c r="C24" s="175"/>
      <c r="D24" s="175"/>
      <c r="E24" s="175"/>
      <c r="F24" s="175"/>
      <c r="G24" s="175"/>
      <c r="H24" s="175"/>
      <c r="I24" s="176"/>
      <c r="J24" s="176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1:20" x14ac:dyDescent="0.25">
      <c r="B25" s="157" t="s">
        <v>70</v>
      </c>
      <c r="C25" s="177">
        <v>0</v>
      </c>
      <c r="D25" s="177">
        <v>53539</v>
      </c>
      <c r="E25" s="177">
        <v>144989</v>
      </c>
      <c r="F25" s="177">
        <v>157350</v>
      </c>
      <c r="G25" s="177">
        <v>157065</v>
      </c>
      <c r="H25" s="177">
        <v>145993</v>
      </c>
      <c r="I25" s="178">
        <f t="shared" ref="I25:I37" si="3">IFERROR(H25/G25-1,"-")</f>
        <v>-7.0493107948938372E-2</v>
      </c>
      <c r="J25" s="178">
        <f>H25/H25</f>
        <v>1</v>
      </c>
    </row>
    <row r="26" spans="1:20" x14ac:dyDescent="0.25">
      <c r="B26" s="160" t="s">
        <v>99</v>
      </c>
      <c r="C26" s="161">
        <v>0</v>
      </c>
      <c r="D26" s="161">
        <v>27958</v>
      </c>
      <c r="E26" s="161">
        <v>22658</v>
      </c>
      <c r="F26" s="161">
        <v>23558</v>
      </c>
      <c r="G26" s="161">
        <v>19400</v>
      </c>
      <c r="H26" s="161">
        <v>15286</v>
      </c>
      <c r="I26" s="162">
        <f t="shared" si="3"/>
        <v>-0.21206185567010305</v>
      </c>
      <c r="J26" s="162">
        <f>H26/H25</f>
        <v>0.10470365017500839</v>
      </c>
    </row>
    <row r="27" spans="1:20" x14ac:dyDescent="0.25">
      <c r="B27" s="164" t="s">
        <v>105</v>
      </c>
      <c r="C27" s="165">
        <v>0</v>
      </c>
      <c r="D27" s="165">
        <v>15846</v>
      </c>
      <c r="E27" s="165">
        <v>9634</v>
      </c>
      <c r="F27" s="165">
        <v>10032</v>
      </c>
      <c r="G27" s="165">
        <v>7684</v>
      </c>
      <c r="H27" s="165">
        <v>6914</v>
      </c>
      <c r="I27" s="166">
        <f t="shared" si="3"/>
        <v>-0.10020822488287351</v>
      </c>
      <c r="J27" s="166">
        <f>H27/H25</f>
        <v>4.7358434993458591E-2</v>
      </c>
    </row>
    <row r="28" spans="1:20" x14ac:dyDescent="0.25">
      <c r="B28" s="164" t="s">
        <v>102</v>
      </c>
      <c r="C28" s="165">
        <v>0</v>
      </c>
      <c r="D28" s="165">
        <v>12112</v>
      </c>
      <c r="E28" s="165">
        <v>13024</v>
      </c>
      <c r="F28" s="165">
        <v>13526</v>
      </c>
      <c r="G28" s="165">
        <v>11716</v>
      </c>
      <c r="H28" s="165">
        <v>8372</v>
      </c>
      <c r="I28" s="166">
        <f t="shared" si="3"/>
        <v>-0.28542164561283712</v>
      </c>
      <c r="J28" s="166">
        <f>H28/H25</f>
        <v>5.7345215181549801E-2</v>
      </c>
    </row>
    <row r="29" spans="1:20" x14ac:dyDescent="0.25">
      <c r="B29" s="160" t="s">
        <v>109</v>
      </c>
      <c r="C29" s="161">
        <v>0</v>
      </c>
      <c r="D29" s="161">
        <v>25581</v>
      </c>
      <c r="E29" s="161">
        <v>122331</v>
      </c>
      <c r="F29" s="161">
        <v>133792</v>
      </c>
      <c r="G29" s="161">
        <v>137665</v>
      </c>
      <c r="H29" s="161">
        <v>130707</v>
      </c>
      <c r="I29" s="162">
        <f t="shared" si="3"/>
        <v>-5.0542984781898115E-2</v>
      </c>
      <c r="J29" s="162">
        <f>H29/H25</f>
        <v>0.89529634982499162</v>
      </c>
    </row>
    <row r="30" spans="1:20" x14ac:dyDescent="0.25">
      <c r="B30" s="164" t="s">
        <v>112</v>
      </c>
      <c r="C30" s="165">
        <v>0</v>
      </c>
      <c r="D30" s="165">
        <v>2406</v>
      </c>
      <c r="E30" s="165">
        <v>67182</v>
      </c>
      <c r="F30" s="165">
        <v>77188</v>
      </c>
      <c r="G30" s="165">
        <v>81323</v>
      </c>
      <c r="H30" s="165">
        <v>76728</v>
      </c>
      <c r="I30" s="166">
        <f t="shared" si="3"/>
        <v>-5.6503080309383558E-2</v>
      </c>
      <c r="J30" s="166">
        <f>H30/H25</f>
        <v>0.52555944463090698</v>
      </c>
    </row>
    <row r="31" spans="1:20" x14ac:dyDescent="0.25">
      <c r="B31" s="164" t="s">
        <v>115</v>
      </c>
      <c r="C31" s="165">
        <v>0</v>
      </c>
      <c r="D31" s="165">
        <v>4999</v>
      </c>
      <c r="E31" s="165">
        <v>14646</v>
      </c>
      <c r="F31" s="165">
        <v>13951</v>
      </c>
      <c r="G31" s="165">
        <v>12875</v>
      </c>
      <c r="H31" s="165">
        <v>13066</v>
      </c>
      <c r="I31" s="166">
        <f t="shared" si="3"/>
        <v>1.4834951456310641E-2</v>
      </c>
      <c r="J31" s="166">
        <f>H31/H25</f>
        <v>8.9497441658161689E-2</v>
      </c>
    </row>
    <row r="32" spans="1:20" x14ac:dyDescent="0.25">
      <c r="B32" s="164" t="s">
        <v>118</v>
      </c>
      <c r="C32" s="165">
        <v>0</v>
      </c>
      <c r="D32" s="165">
        <v>2938</v>
      </c>
      <c r="E32" s="165">
        <v>4071</v>
      </c>
      <c r="F32" s="165">
        <v>3979</v>
      </c>
      <c r="G32" s="165">
        <v>3362</v>
      </c>
      <c r="H32" s="165">
        <v>3183</v>
      </c>
      <c r="I32" s="166">
        <f t="shared" si="3"/>
        <v>-5.3242117787031584E-2</v>
      </c>
      <c r="J32" s="166">
        <f>H32/H25</f>
        <v>2.1802415184289659E-2</v>
      </c>
    </row>
    <row r="33" spans="2:10" x14ac:dyDescent="0.25">
      <c r="B33" s="164" t="s">
        <v>125</v>
      </c>
      <c r="C33" s="165">
        <v>0</v>
      </c>
      <c r="D33" s="165">
        <v>2516</v>
      </c>
      <c r="E33" s="165">
        <v>5674</v>
      </c>
      <c r="F33" s="165">
        <v>5224</v>
      </c>
      <c r="G33" s="165">
        <v>5046</v>
      </c>
      <c r="H33" s="165">
        <v>4073</v>
      </c>
      <c r="I33" s="166">
        <f t="shared" si="3"/>
        <v>-0.19282600079270706</v>
      </c>
      <c r="J33" s="166">
        <f>H33/H25</f>
        <v>2.7898597877980449E-2</v>
      </c>
    </row>
    <row r="34" spans="2:10" x14ac:dyDescent="0.25">
      <c r="B34" s="164" t="s">
        <v>121</v>
      </c>
      <c r="C34" s="165">
        <v>0</v>
      </c>
      <c r="D34" s="165">
        <v>3358</v>
      </c>
      <c r="E34" s="165">
        <v>4830</v>
      </c>
      <c r="F34" s="165">
        <v>5029</v>
      </c>
      <c r="G34" s="165">
        <v>5288</v>
      </c>
      <c r="H34" s="165">
        <v>4500</v>
      </c>
      <c r="I34" s="166">
        <f t="shared" si="3"/>
        <v>-0.14901664145234494</v>
      </c>
      <c r="J34" s="166">
        <f>H34/H25</f>
        <v>3.0823395642256821E-2</v>
      </c>
    </row>
    <row r="35" spans="2:10" x14ac:dyDescent="0.25">
      <c r="B35" s="164" t="s">
        <v>130</v>
      </c>
      <c r="C35" s="165">
        <v>0</v>
      </c>
      <c r="D35" s="165">
        <v>37</v>
      </c>
      <c r="E35" s="165">
        <v>388</v>
      </c>
      <c r="F35" s="165">
        <v>450</v>
      </c>
      <c r="G35" s="165">
        <v>450</v>
      </c>
      <c r="H35" s="165">
        <v>436</v>
      </c>
      <c r="I35" s="166">
        <f t="shared" si="3"/>
        <v>-3.1111111111111089E-2</v>
      </c>
      <c r="J35" s="166">
        <f>H35/H25</f>
        <v>2.9864445555608829E-3</v>
      </c>
    </row>
    <row r="36" spans="2:10" x14ac:dyDescent="0.25">
      <c r="B36" s="164" t="s">
        <v>133</v>
      </c>
      <c r="C36" s="165">
        <v>0</v>
      </c>
      <c r="D36" s="165">
        <v>26</v>
      </c>
      <c r="E36" s="165">
        <v>298</v>
      </c>
      <c r="F36" s="165">
        <v>429</v>
      </c>
      <c r="G36" s="165">
        <v>233</v>
      </c>
      <c r="H36" s="165">
        <v>255</v>
      </c>
      <c r="I36" s="166">
        <f t="shared" si="3"/>
        <v>9.4420600858369008E-2</v>
      </c>
      <c r="J36" s="166">
        <f>H36/H25</f>
        <v>1.7466590863945532E-3</v>
      </c>
    </row>
    <row r="37" spans="2:10" x14ac:dyDescent="0.25">
      <c r="B37" s="169" t="s">
        <v>147</v>
      </c>
      <c r="C37" s="170">
        <f t="shared" ref="C37:H37" si="4">C29-SUM(C30:C36)</f>
        <v>0</v>
      </c>
      <c r="D37" s="170">
        <f t="shared" si="4"/>
        <v>9301</v>
      </c>
      <c r="E37" s="170">
        <f t="shared" si="4"/>
        <v>25242</v>
      </c>
      <c r="F37" s="170">
        <f t="shared" si="4"/>
        <v>27542</v>
      </c>
      <c r="G37" s="170">
        <f t="shared" si="4"/>
        <v>29088</v>
      </c>
      <c r="H37" s="170">
        <f t="shared" si="4"/>
        <v>28466</v>
      </c>
      <c r="I37" s="171">
        <f t="shared" si="3"/>
        <v>-2.1383388338833909E-2</v>
      </c>
      <c r="J37" s="171">
        <f>H37/H25</f>
        <v>0.19498195118944059</v>
      </c>
    </row>
    <row r="38" spans="2:10" x14ac:dyDescent="0.25">
      <c r="B38" s="156" t="s">
        <v>47</v>
      </c>
      <c r="C38" s="175"/>
      <c r="D38" s="175"/>
      <c r="E38" s="175"/>
      <c r="F38" s="175"/>
      <c r="G38" s="175"/>
      <c r="H38" s="175"/>
      <c r="I38" s="176"/>
      <c r="J38" s="176"/>
    </row>
    <row r="39" spans="2:10" x14ac:dyDescent="0.25">
      <c r="B39" s="157" t="s">
        <v>70</v>
      </c>
      <c r="C39" s="177">
        <v>0</v>
      </c>
      <c r="D39" s="177">
        <v>21147</v>
      </c>
      <c r="E39" s="177">
        <v>99145</v>
      </c>
      <c r="F39" s="177">
        <v>109784</v>
      </c>
      <c r="G39" s="177">
        <v>113390</v>
      </c>
      <c r="H39" s="177">
        <v>117164</v>
      </c>
      <c r="I39" s="178">
        <f t="shared" ref="I39:I51" si="5">IFERROR(H39/G39-1,"-")</f>
        <v>3.3283358320839618E-2</v>
      </c>
      <c r="J39" s="178">
        <f>H39/H39</f>
        <v>1</v>
      </c>
    </row>
    <row r="40" spans="2:10" x14ac:dyDescent="0.25">
      <c r="B40" s="160" t="s">
        <v>99</v>
      </c>
      <c r="C40" s="161">
        <v>0</v>
      </c>
      <c r="D40" s="161">
        <v>6523</v>
      </c>
      <c r="E40" s="161">
        <v>11920</v>
      </c>
      <c r="F40" s="161">
        <v>12303</v>
      </c>
      <c r="G40" s="161">
        <v>10664</v>
      </c>
      <c r="H40" s="161">
        <v>10671</v>
      </c>
      <c r="I40" s="162">
        <f t="shared" si="5"/>
        <v>6.5641410352590412E-4</v>
      </c>
      <c r="J40" s="162">
        <f>H40/H39</f>
        <v>9.1077464067460992E-2</v>
      </c>
    </row>
    <row r="41" spans="2:10" x14ac:dyDescent="0.25">
      <c r="B41" s="164" t="s">
        <v>105</v>
      </c>
      <c r="C41" s="165">
        <v>0</v>
      </c>
      <c r="D41" s="165">
        <v>4397</v>
      </c>
      <c r="E41" s="165">
        <v>4614</v>
      </c>
      <c r="F41" s="165">
        <v>5607</v>
      </c>
      <c r="G41" s="165">
        <v>5107</v>
      </c>
      <c r="H41" s="165">
        <v>4663</v>
      </c>
      <c r="I41" s="166">
        <f t="shared" si="5"/>
        <v>-8.6939494811043683E-2</v>
      </c>
      <c r="J41" s="166">
        <f>H41/H39</f>
        <v>3.9798914342289438E-2</v>
      </c>
    </row>
    <row r="42" spans="2:10" x14ac:dyDescent="0.25">
      <c r="B42" s="164" t="s">
        <v>102</v>
      </c>
      <c r="C42" s="165">
        <v>0</v>
      </c>
      <c r="D42" s="165">
        <v>2126</v>
      </c>
      <c r="E42" s="165">
        <v>7306</v>
      </c>
      <c r="F42" s="165">
        <v>6696</v>
      </c>
      <c r="G42" s="165">
        <v>5557</v>
      </c>
      <c r="H42" s="165">
        <v>6008</v>
      </c>
      <c r="I42" s="166">
        <f t="shared" si="5"/>
        <v>8.115889868634163E-2</v>
      </c>
      <c r="J42" s="166">
        <f>H42/H39</f>
        <v>5.1278549725171554E-2</v>
      </c>
    </row>
    <row r="43" spans="2:10" x14ac:dyDescent="0.25">
      <c r="B43" s="160" t="s">
        <v>109</v>
      </c>
      <c r="C43" s="161">
        <v>0</v>
      </c>
      <c r="D43" s="161">
        <v>14624</v>
      </c>
      <c r="E43" s="161">
        <v>87225</v>
      </c>
      <c r="F43" s="161">
        <v>97481</v>
      </c>
      <c r="G43" s="161">
        <v>102726</v>
      </c>
      <c r="H43" s="161">
        <v>106493</v>
      </c>
      <c r="I43" s="162">
        <f t="shared" si="5"/>
        <v>3.6670365827541129E-2</v>
      </c>
      <c r="J43" s="162">
        <f>H43/H39</f>
        <v>0.90892253593253902</v>
      </c>
    </row>
    <row r="44" spans="2:10" x14ac:dyDescent="0.25">
      <c r="B44" s="164" t="s">
        <v>112</v>
      </c>
      <c r="C44" s="165">
        <v>0</v>
      </c>
      <c r="D44" s="165">
        <v>1198</v>
      </c>
      <c r="E44" s="165">
        <v>53892</v>
      </c>
      <c r="F44" s="165">
        <v>60909</v>
      </c>
      <c r="G44" s="165">
        <v>66223</v>
      </c>
      <c r="H44" s="165">
        <v>66524</v>
      </c>
      <c r="I44" s="166">
        <f t="shared" si="5"/>
        <v>4.5452486296302386E-3</v>
      </c>
      <c r="J44" s="166">
        <f>H44/H39</f>
        <v>0.5677853265508177</v>
      </c>
    </row>
    <row r="45" spans="2:10" x14ac:dyDescent="0.25">
      <c r="B45" s="164" t="s">
        <v>115</v>
      </c>
      <c r="C45" s="165">
        <v>0</v>
      </c>
      <c r="D45" s="165">
        <v>777</v>
      </c>
      <c r="E45" s="165">
        <v>2403</v>
      </c>
      <c r="F45" s="165">
        <v>3004</v>
      </c>
      <c r="G45" s="165">
        <v>2187</v>
      </c>
      <c r="H45" s="165">
        <v>3148</v>
      </c>
      <c r="I45" s="166">
        <f t="shared" si="5"/>
        <v>0.43941472336534071</v>
      </c>
      <c r="J45" s="166">
        <f>H45/H39</f>
        <v>2.6868321327370184E-2</v>
      </c>
    </row>
    <row r="46" spans="2:10" x14ac:dyDescent="0.25">
      <c r="B46" s="164" t="s">
        <v>118</v>
      </c>
      <c r="C46" s="165">
        <v>0</v>
      </c>
      <c r="D46" s="165">
        <v>1226</v>
      </c>
      <c r="E46" s="165">
        <v>1538</v>
      </c>
      <c r="F46" s="165">
        <v>1790</v>
      </c>
      <c r="G46" s="165">
        <v>2073</v>
      </c>
      <c r="H46" s="165">
        <v>2047</v>
      </c>
      <c r="I46" s="166">
        <f t="shared" si="5"/>
        <v>-1.2542209358417766E-2</v>
      </c>
      <c r="J46" s="166">
        <f>H46/H39</f>
        <v>1.7471236898706086E-2</v>
      </c>
    </row>
    <row r="47" spans="2:10" x14ac:dyDescent="0.25">
      <c r="B47" s="164" t="s">
        <v>125</v>
      </c>
      <c r="C47" s="165">
        <v>0</v>
      </c>
      <c r="D47" s="165">
        <v>2167</v>
      </c>
      <c r="E47" s="165">
        <v>4084</v>
      </c>
      <c r="F47" s="165">
        <v>3985</v>
      </c>
      <c r="G47" s="165">
        <v>3969</v>
      </c>
      <c r="H47" s="165">
        <v>3539</v>
      </c>
      <c r="I47" s="166">
        <f t="shared" si="5"/>
        <v>-0.10833963214915598</v>
      </c>
      <c r="J47" s="166">
        <f>H47/H39</f>
        <v>3.0205523881055615E-2</v>
      </c>
    </row>
    <row r="48" spans="2:10" x14ac:dyDescent="0.25">
      <c r="B48" s="164" t="s">
        <v>121</v>
      </c>
      <c r="C48" s="165">
        <v>0</v>
      </c>
      <c r="D48" s="165">
        <v>1266</v>
      </c>
      <c r="E48" s="165">
        <v>2511</v>
      </c>
      <c r="F48" s="165">
        <v>2974</v>
      </c>
      <c r="G48" s="165">
        <v>2680</v>
      </c>
      <c r="H48" s="165">
        <v>2876</v>
      </c>
      <c r="I48" s="166">
        <f t="shared" si="5"/>
        <v>7.3134328358208878E-2</v>
      </c>
      <c r="J48" s="166">
        <f>H48/H39</f>
        <v>2.4546789116110752E-2</v>
      </c>
    </row>
    <row r="49" spans="2:10" x14ac:dyDescent="0.25">
      <c r="B49" s="164" t="s">
        <v>130</v>
      </c>
      <c r="C49" s="165">
        <v>0</v>
      </c>
      <c r="D49" s="165">
        <v>197</v>
      </c>
      <c r="E49" s="165">
        <v>320</v>
      </c>
      <c r="F49" s="165">
        <v>529</v>
      </c>
      <c r="G49" s="165">
        <v>371</v>
      </c>
      <c r="H49" s="165">
        <v>365</v>
      </c>
      <c r="I49" s="166">
        <f t="shared" si="5"/>
        <v>-1.6172506738544423E-2</v>
      </c>
      <c r="J49" s="166">
        <f>H49/H39</f>
        <v>3.1152913864326928E-3</v>
      </c>
    </row>
    <row r="50" spans="2:10" x14ac:dyDescent="0.25">
      <c r="B50" s="164" t="s">
        <v>133</v>
      </c>
      <c r="C50" s="165">
        <v>0</v>
      </c>
      <c r="D50" s="165">
        <v>26</v>
      </c>
      <c r="E50" s="165">
        <v>149</v>
      </c>
      <c r="F50" s="165">
        <v>259</v>
      </c>
      <c r="G50" s="165">
        <v>120</v>
      </c>
      <c r="H50" s="165">
        <v>129</v>
      </c>
      <c r="I50" s="166">
        <f t="shared" si="5"/>
        <v>7.4999999999999956E-2</v>
      </c>
      <c r="J50" s="166">
        <f>H50/H39</f>
        <v>1.1010207913693627E-3</v>
      </c>
    </row>
    <row r="51" spans="2:10" x14ac:dyDescent="0.25">
      <c r="B51" s="169" t="s">
        <v>147</v>
      </c>
      <c r="C51" s="170">
        <f t="shared" ref="C51:H51" si="6">C43-SUM(C44:C50)</f>
        <v>0</v>
      </c>
      <c r="D51" s="170">
        <f t="shared" si="6"/>
        <v>7767</v>
      </c>
      <c r="E51" s="170">
        <f t="shared" si="6"/>
        <v>22328</v>
      </c>
      <c r="F51" s="170">
        <f t="shared" si="6"/>
        <v>24031</v>
      </c>
      <c r="G51" s="170">
        <f t="shared" si="6"/>
        <v>25103</v>
      </c>
      <c r="H51" s="170">
        <f t="shared" si="6"/>
        <v>27865</v>
      </c>
      <c r="I51" s="171">
        <f t="shared" si="5"/>
        <v>0.11002669003704746</v>
      </c>
      <c r="J51" s="171">
        <f>H51/H39</f>
        <v>0.23782902598067665</v>
      </c>
    </row>
    <row r="52" spans="2:10" x14ac:dyDescent="0.25">
      <c r="B52" s="156" t="s">
        <v>48</v>
      </c>
      <c r="C52" s="175"/>
      <c r="D52" s="175"/>
      <c r="E52" s="175"/>
      <c r="F52" s="175"/>
      <c r="G52" s="175"/>
      <c r="H52" s="175"/>
      <c r="I52" s="176"/>
      <c r="J52" s="176"/>
    </row>
    <row r="53" spans="2:10" x14ac:dyDescent="0.25">
      <c r="B53" s="157" t="s">
        <v>70</v>
      </c>
      <c r="C53" s="177">
        <v>0</v>
      </c>
      <c r="D53" s="177">
        <v>1595</v>
      </c>
      <c r="E53" s="177">
        <v>2523</v>
      </c>
      <c r="F53" s="177">
        <v>3080</v>
      </c>
      <c r="G53" s="177">
        <v>2377</v>
      </c>
      <c r="H53" s="177">
        <v>3338</v>
      </c>
      <c r="I53" s="178">
        <f t="shared" ref="I53:I65" si="7">IFERROR(H53/G53-1,"-")</f>
        <v>0.40429112326461936</v>
      </c>
      <c r="J53" s="178">
        <f>H53/H53</f>
        <v>1</v>
      </c>
    </row>
    <row r="54" spans="2:10" x14ac:dyDescent="0.25">
      <c r="B54" s="160" t="s">
        <v>99</v>
      </c>
      <c r="C54" s="161">
        <v>0</v>
      </c>
      <c r="D54" s="161">
        <v>715</v>
      </c>
      <c r="E54" s="161">
        <v>533</v>
      </c>
      <c r="F54" s="161">
        <v>1450</v>
      </c>
      <c r="G54" s="161">
        <v>646</v>
      </c>
      <c r="H54" s="161">
        <v>908</v>
      </c>
      <c r="I54" s="162">
        <f t="shared" si="7"/>
        <v>0.40557275541795668</v>
      </c>
      <c r="J54" s="162">
        <f>H54/H53</f>
        <v>0.2720191731575794</v>
      </c>
    </row>
    <row r="55" spans="2:10" x14ac:dyDescent="0.25">
      <c r="B55" s="164" t="s">
        <v>105</v>
      </c>
      <c r="C55" s="165">
        <v>0</v>
      </c>
      <c r="D55" s="165">
        <v>376</v>
      </c>
      <c r="E55" s="165">
        <v>295</v>
      </c>
      <c r="F55" s="165">
        <v>1076</v>
      </c>
      <c r="G55" s="165">
        <v>363</v>
      </c>
      <c r="H55" s="165">
        <v>659</v>
      </c>
      <c r="I55" s="166">
        <f t="shared" si="7"/>
        <v>0.81542699724517909</v>
      </c>
      <c r="J55" s="166">
        <f>H55/H53</f>
        <v>0.19742360695026961</v>
      </c>
    </row>
    <row r="56" spans="2:10" x14ac:dyDescent="0.25">
      <c r="B56" s="164" t="s">
        <v>102</v>
      </c>
      <c r="C56" s="165">
        <v>0</v>
      </c>
      <c r="D56" s="165">
        <v>339</v>
      </c>
      <c r="E56" s="165">
        <v>238</v>
      </c>
      <c r="F56" s="165">
        <v>374</v>
      </c>
      <c r="G56" s="165">
        <v>283</v>
      </c>
      <c r="H56" s="165">
        <v>249</v>
      </c>
      <c r="I56" s="166">
        <f t="shared" si="7"/>
        <v>-0.12014134275618371</v>
      </c>
      <c r="J56" s="166">
        <f>H56/H53</f>
        <v>7.4595566207309769E-2</v>
      </c>
    </row>
    <row r="57" spans="2:10" x14ac:dyDescent="0.25">
      <c r="B57" s="160" t="s">
        <v>109</v>
      </c>
      <c r="C57" s="161">
        <v>0</v>
      </c>
      <c r="D57" s="161">
        <v>880</v>
      </c>
      <c r="E57" s="161">
        <v>1990</v>
      </c>
      <c r="F57" s="161">
        <v>1630</v>
      </c>
      <c r="G57" s="161">
        <v>1731</v>
      </c>
      <c r="H57" s="161">
        <v>2430</v>
      </c>
      <c r="I57" s="162">
        <f t="shared" si="7"/>
        <v>0.40381282495667237</v>
      </c>
      <c r="J57" s="162">
        <f>H57/H53</f>
        <v>0.7279808268424206</v>
      </c>
    </row>
    <row r="58" spans="2:10" x14ac:dyDescent="0.25">
      <c r="B58" s="164" t="s">
        <v>112</v>
      </c>
      <c r="C58" s="165">
        <v>0</v>
      </c>
      <c r="D58" s="165">
        <v>38</v>
      </c>
      <c r="E58" s="165">
        <v>911</v>
      </c>
      <c r="F58" s="165">
        <v>741</v>
      </c>
      <c r="G58" s="165">
        <v>1203</v>
      </c>
      <c r="H58" s="165">
        <v>953</v>
      </c>
      <c r="I58" s="166">
        <f t="shared" si="7"/>
        <v>-0.20781379883624274</v>
      </c>
      <c r="J58" s="166">
        <f>H58/H53</f>
        <v>0.2855002995805872</v>
      </c>
    </row>
    <row r="59" spans="2:10" x14ac:dyDescent="0.25">
      <c r="B59" s="164" t="s">
        <v>115</v>
      </c>
      <c r="C59" s="165">
        <v>0</v>
      </c>
      <c r="D59" s="165">
        <v>302</v>
      </c>
      <c r="E59" s="165">
        <v>307</v>
      </c>
      <c r="F59" s="165">
        <v>224</v>
      </c>
      <c r="G59" s="165">
        <v>139</v>
      </c>
      <c r="H59" s="165">
        <v>394</v>
      </c>
      <c r="I59" s="166">
        <f t="shared" si="7"/>
        <v>1.8345323741007196</v>
      </c>
      <c r="J59" s="166">
        <f>H59/H53</f>
        <v>0.11803475134811264</v>
      </c>
    </row>
    <row r="60" spans="2:10" x14ac:dyDescent="0.25">
      <c r="B60" s="164" t="s">
        <v>118</v>
      </c>
      <c r="C60" s="165">
        <v>0</v>
      </c>
      <c r="D60" s="165">
        <v>172</v>
      </c>
      <c r="E60" s="165">
        <v>122</v>
      </c>
      <c r="F60" s="165">
        <v>125</v>
      </c>
      <c r="G60" s="165">
        <v>70</v>
      </c>
      <c r="H60" s="165">
        <v>190</v>
      </c>
      <c r="I60" s="166">
        <f t="shared" si="7"/>
        <v>1.7142857142857144</v>
      </c>
      <c r="J60" s="166">
        <f>H60/H53</f>
        <v>5.6920311563810666E-2</v>
      </c>
    </row>
    <row r="61" spans="2:10" x14ac:dyDescent="0.25">
      <c r="B61" s="164" t="s">
        <v>125</v>
      </c>
      <c r="C61" s="165">
        <v>0</v>
      </c>
      <c r="D61" s="165">
        <v>24</v>
      </c>
      <c r="E61" s="165">
        <v>45</v>
      </c>
      <c r="F61" s="165">
        <v>30</v>
      </c>
      <c r="G61" s="165">
        <v>13</v>
      </c>
      <c r="H61" s="165">
        <v>90</v>
      </c>
      <c r="I61" s="166">
        <f t="shared" si="7"/>
        <v>5.9230769230769234</v>
      </c>
      <c r="J61" s="166">
        <f>H61/H53</f>
        <v>2.696225284601558E-2</v>
      </c>
    </row>
    <row r="62" spans="2:10" x14ac:dyDescent="0.25">
      <c r="B62" s="164" t="s">
        <v>121</v>
      </c>
      <c r="C62" s="165">
        <v>0</v>
      </c>
      <c r="D62" s="165">
        <v>27</v>
      </c>
      <c r="E62" s="165">
        <v>41</v>
      </c>
      <c r="F62" s="165">
        <v>29</v>
      </c>
      <c r="G62" s="165">
        <v>7</v>
      </c>
      <c r="H62" s="165">
        <v>56</v>
      </c>
      <c r="I62" s="166">
        <f t="shared" si="7"/>
        <v>7</v>
      </c>
      <c r="J62" s="166">
        <f>H62/H53</f>
        <v>1.6776512881965248E-2</v>
      </c>
    </row>
    <row r="63" spans="2:10" x14ac:dyDescent="0.25">
      <c r="B63" s="164" t="s">
        <v>130</v>
      </c>
      <c r="C63" s="165">
        <v>0</v>
      </c>
      <c r="D63" s="165">
        <v>7</v>
      </c>
      <c r="E63" s="165">
        <v>0</v>
      </c>
      <c r="F63" s="165">
        <v>4</v>
      </c>
      <c r="G63" s="165">
        <v>0</v>
      </c>
      <c r="H63" s="165">
        <v>2</v>
      </c>
      <c r="I63" s="166" t="str">
        <f t="shared" si="7"/>
        <v>-</v>
      </c>
      <c r="J63" s="166">
        <f>H63/H53</f>
        <v>5.9916117435590175E-4</v>
      </c>
    </row>
    <row r="64" spans="2:10" x14ac:dyDescent="0.25">
      <c r="B64" s="164" t="s">
        <v>133</v>
      </c>
      <c r="C64" s="165">
        <v>0</v>
      </c>
      <c r="D64" s="165">
        <v>0</v>
      </c>
      <c r="E64" s="165">
        <v>1</v>
      </c>
      <c r="F64" s="165">
        <v>5</v>
      </c>
      <c r="G64" s="165">
        <v>1</v>
      </c>
      <c r="H64" s="165">
        <v>84</v>
      </c>
      <c r="I64" s="166">
        <f t="shared" si="7"/>
        <v>83</v>
      </c>
      <c r="J64" s="166">
        <f>H64/H53</f>
        <v>2.5164769322947873E-2</v>
      </c>
    </row>
    <row r="65" spans="2:10" x14ac:dyDescent="0.25">
      <c r="B65" s="169" t="s">
        <v>147</v>
      </c>
      <c r="C65" s="170">
        <f t="shared" ref="C65:H65" si="8">C57-SUM(C58:C64)</f>
        <v>0</v>
      </c>
      <c r="D65" s="170">
        <f t="shared" si="8"/>
        <v>310</v>
      </c>
      <c r="E65" s="170">
        <f t="shared" si="8"/>
        <v>563</v>
      </c>
      <c r="F65" s="170">
        <f t="shared" si="8"/>
        <v>472</v>
      </c>
      <c r="G65" s="170">
        <f t="shared" si="8"/>
        <v>298</v>
      </c>
      <c r="H65" s="170">
        <f t="shared" si="8"/>
        <v>661</v>
      </c>
      <c r="I65" s="171">
        <f t="shared" si="7"/>
        <v>1.2181208053691277</v>
      </c>
      <c r="J65" s="171">
        <f>H65/H53</f>
        <v>0.19802276812462552</v>
      </c>
    </row>
    <row r="66" spans="2:10" x14ac:dyDescent="0.25">
      <c r="B66" s="156" t="s">
        <v>49</v>
      </c>
      <c r="C66" s="175"/>
      <c r="D66" s="175"/>
      <c r="E66" s="175"/>
      <c r="F66" s="175"/>
      <c r="G66" s="175"/>
      <c r="H66" s="175"/>
      <c r="I66" s="176"/>
      <c r="J66" s="176"/>
    </row>
    <row r="67" spans="2:10" x14ac:dyDescent="0.25">
      <c r="B67" s="157" t="s">
        <v>70</v>
      </c>
      <c r="C67" s="177">
        <v>0</v>
      </c>
      <c r="D67" s="177">
        <v>3302</v>
      </c>
      <c r="E67" s="177">
        <v>10420</v>
      </c>
      <c r="F67" s="177">
        <v>14934</v>
      </c>
      <c r="G67" s="177">
        <v>16055</v>
      </c>
      <c r="H67" s="177">
        <v>16193</v>
      </c>
      <c r="I67" s="178">
        <f t="shared" ref="I67:I79" si="9">IFERROR(H67/G67-1,"-")</f>
        <v>8.595453129865982E-3</v>
      </c>
      <c r="J67" s="178">
        <f>H67/H67</f>
        <v>1</v>
      </c>
    </row>
    <row r="68" spans="2:10" x14ac:dyDescent="0.25">
      <c r="B68" s="160" t="s">
        <v>99</v>
      </c>
      <c r="C68" s="161">
        <v>0</v>
      </c>
      <c r="D68" s="161">
        <v>2010</v>
      </c>
      <c r="E68" s="161">
        <v>2355</v>
      </c>
      <c r="F68" s="161">
        <v>8383</v>
      </c>
      <c r="G68" s="161">
        <v>7136</v>
      </c>
      <c r="H68" s="161">
        <v>5852</v>
      </c>
      <c r="I68" s="162">
        <f t="shared" si="9"/>
        <v>-0.17993273542600896</v>
      </c>
      <c r="J68" s="162">
        <f>H68/H67</f>
        <v>0.36139072438708086</v>
      </c>
    </row>
    <row r="69" spans="2:10" x14ac:dyDescent="0.25">
      <c r="B69" s="164" t="s">
        <v>105</v>
      </c>
      <c r="C69" s="165">
        <v>0</v>
      </c>
      <c r="D69" s="165">
        <v>1799</v>
      </c>
      <c r="E69" s="165">
        <v>2161</v>
      </c>
      <c r="F69" s="165">
        <v>6727</v>
      </c>
      <c r="G69" s="165">
        <v>5618</v>
      </c>
      <c r="H69" s="165">
        <v>2444</v>
      </c>
      <c r="I69" s="166">
        <f t="shared" si="9"/>
        <v>-0.56496974012103951</v>
      </c>
      <c r="J69" s="166">
        <f>H69/H67</f>
        <v>0.15092941394429693</v>
      </c>
    </row>
    <row r="70" spans="2:10" x14ac:dyDescent="0.25">
      <c r="B70" s="164" t="s">
        <v>102</v>
      </c>
      <c r="C70" s="165">
        <v>0</v>
      </c>
      <c r="D70" s="165">
        <v>211</v>
      </c>
      <c r="E70" s="165">
        <v>194</v>
      </c>
      <c r="F70" s="165">
        <v>1656</v>
      </c>
      <c r="G70" s="165">
        <v>1518</v>
      </c>
      <c r="H70" s="165">
        <v>3408</v>
      </c>
      <c r="I70" s="166">
        <f t="shared" si="9"/>
        <v>1.2450592885375493</v>
      </c>
      <c r="J70" s="166">
        <f>H70/H67</f>
        <v>0.21046131044278391</v>
      </c>
    </row>
    <row r="71" spans="2:10" x14ac:dyDescent="0.25">
      <c r="B71" s="160" t="s">
        <v>109</v>
      </c>
      <c r="C71" s="161">
        <v>0</v>
      </c>
      <c r="D71" s="161">
        <v>1292</v>
      </c>
      <c r="E71" s="161">
        <v>8065</v>
      </c>
      <c r="F71" s="161">
        <v>6551</v>
      </c>
      <c r="G71" s="161">
        <v>8919</v>
      </c>
      <c r="H71" s="161">
        <v>10341</v>
      </c>
      <c r="I71" s="162">
        <f t="shared" si="9"/>
        <v>0.15943491422805245</v>
      </c>
      <c r="J71" s="162">
        <f>H71/H67</f>
        <v>0.63860927561291914</v>
      </c>
    </row>
    <row r="72" spans="2:10" x14ac:dyDescent="0.25">
      <c r="B72" s="164" t="s">
        <v>112</v>
      </c>
      <c r="C72" s="165">
        <v>0</v>
      </c>
      <c r="D72" s="165">
        <v>286</v>
      </c>
      <c r="E72" s="165">
        <v>3282</v>
      </c>
      <c r="F72" s="165">
        <v>1493</v>
      </c>
      <c r="G72" s="165">
        <v>4643</v>
      </c>
      <c r="H72" s="165">
        <v>5896</v>
      </c>
      <c r="I72" s="166">
        <f t="shared" si="9"/>
        <v>0.2698686194270945</v>
      </c>
      <c r="J72" s="166">
        <f>H72/H67</f>
        <v>0.36410794787871303</v>
      </c>
    </row>
    <row r="73" spans="2:10" x14ac:dyDescent="0.25">
      <c r="B73" s="164" t="s">
        <v>115</v>
      </c>
      <c r="C73" s="165">
        <v>0</v>
      </c>
      <c r="D73" s="165">
        <v>79</v>
      </c>
      <c r="E73" s="165">
        <v>638</v>
      </c>
      <c r="F73" s="165">
        <v>1689</v>
      </c>
      <c r="G73" s="165">
        <v>448</v>
      </c>
      <c r="H73" s="165">
        <v>623</v>
      </c>
      <c r="I73" s="166">
        <f t="shared" si="9"/>
        <v>0.390625</v>
      </c>
      <c r="J73" s="166">
        <f>H73/H67</f>
        <v>3.8473414438337551E-2</v>
      </c>
    </row>
    <row r="74" spans="2:10" x14ac:dyDescent="0.25">
      <c r="B74" s="164" t="s">
        <v>118</v>
      </c>
      <c r="C74" s="165">
        <v>0</v>
      </c>
      <c r="D74" s="165">
        <v>197</v>
      </c>
      <c r="E74" s="165">
        <v>711</v>
      </c>
      <c r="F74" s="165">
        <v>440</v>
      </c>
      <c r="G74" s="165">
        <v>401</v>
      </c>
      <c r="H74" s="165">
        <v>786</v>
      </c>
      <c r="I74" s="166">
        <f t="shared" si="9"/>
        <v>0.96009975062344144</v>
      </c>
      <c r="J74" s="166">
        <f>H74/H67</f>
        <v>4.85394923732477E-2</v>
      </c>
    </row>
    <row r="75" spans="2:10" x14ac:dyDescent="0.25">
      <c r="B75" s="164" t="s">
        <v>125</v>
      </c>
      <c r="C75" s="165">
        <v>0</v>
      </c>
      <c r="D75" s="165">
        <v>237</v>
      </c>
      <c r="E75" s="165">
        <v>186</v>
      </c>
      <c r="F75" s="165">
        <v>119</v>
      </c>
      <c r="G75" s="165">
        <v>218</v>
      </c>
      <c r="H75" s="165">
        <v>303</v>
      </c>
      <c r="I75" s="166">
        <f t="shared" si="9"/>
        <v>0.38990825688073394</v>
      </c>
      <c r="J75" s="166">
        <f>H75/H67</f>
        <v>1.8711789044648923E-2</v>
      </c>
    </row>
    <row r="76" spans="2:10" x14ac:dyDescent="0.25">
      <c r="B76" s="164" t="s">
        <v>121</v>
      </c>
      <c r="C76" s="165">
        <v>0</v>
      </c>
      <c r="D76" s="165">
        <v>61</v>
      </c>
      <c r="E76" s="165">
        <v>166</v>
      </c>
      <c r="F76" s="165">
        <v>98</v>
      </c>
      <c r="G76" s="165">
        <v>130</v>
      </c>
      <c r="H76" s="165">
        <v>192</v>
      </c>
      <c r="I76" s="166">
        <f t="shared" si="9"/>
        <v>0.47692307692307701</v>
      </c>
      <c r="J76" s="166">
        <f>H76/H67</f>
        <v>1.1856975236213178E-2</v>
      </c>
    </row>
    <row r="77" spans="2:10" x14ac:dyDescent="0.25">
      <c r="B77" s="164" t="s">
        <v>130</v>
      </c>
      <c r="C77" s="165">
        <v>0</v>
      </c>
      <c r="D77" s="165">
        <v>0</v>
      </c>
      <c r="E77" s="165">
        <v>39</v>
      </c>
      <c r="F77" s="165">
        <v>0</v>
      </c>
      <c r="G77" s="165">
        <v>4</v>
      </c>
      <c r="H77" s="165">
        <v>13</v>
      </c>
      <c r="I77" s="166">
        <f t="shared" si="9"/>
        <v>2.25</v>
      </c>
      <c r="J77" s="166">
        <f>H77/H67</f>
        <v>8.0281603161860067E-4</v>
      </c>
    </row>
    <row r="78" spans="2:10" x14ac:dyDescent="0.25">
      <c r="B78" s="164" t="s">
        <v>133</v>
      </c>
      <c r="C78" s="165">
        <v>0</v>
      </c>
      <c r="D78" s="165">
        <v>0</v>
      </c>
      <c r="E78" s="165">
        <v>87</v>
      </c>
      <c r="F78" s="165">
        <v>2</v>
      </c>
      <c r="G78" s="165">
        <v>1</v>
      </c>
      <c r="H78" s="165">
        <v>49</v>
      </c>
      <c r="I78" s="166">
        <f t="shared" si="9"/>
        <v>48</v>
      </c>
      <c r="J78" s="166">
        <f>H78/H67</f>
        <v>3.0259988884085718E-3</v>
      </c>
    </row>
    <row r="79" spans="2:10" x14ac:dyDescent="0.25">
      <c r="B79" s="169" t="s">
        <v>147</v>
      </c>
      <c r="C79" s="170">
        <f t="shared" ref="C79:H79" si="10">C71-SUM(C72:C78)</f>
        <v>0</v>
      </c>
      <c r="D79" s="170">
        <f t="shared" si="10"/>
        <v>432</v>
      </c>
      <c r="E79" s="170">
        <f t="shared" si="10"/>
        <v>2956</v>
      </c>
      <c r="F79" s="170">
        <f t="shared" si="10"/>
        <v>2710</v>
      </c>
      <c r="G79" s="170">
        <f t="shared" si="10"/>
        <v>3074</v>
      </c>
      <c r="H79" s="170">
        <f t="shared" si="10"/>
        <v>2479</v>
      </c>
      <c r="I79" s="171">
        <f t="shared" si="9"/>
        <v>-0.19355888093689</v>
      </c>
      <c r="J79" s="171">
        <f>H79/H67</f>
        <v>0.15309084172173162</v>
      </c>
    </row>
    <row r="80" spans="2:10" x14ac:dyDescent="0.25">
      <c r="B80" s="156" t="s">
        <v>50</v>
      </c>
      <c r="C80" s="175"/>
      <c r="D80" s="175"/>
      <c r="E80" s="175"/>
      <c r="F80" s="175"/>
      <c r="G80" s="175"/>
      <c r="H80" s="175"/>
      <c r="I80" s="176"/>
      <c r="J80" s="176"/>
    </row>
    <row r="81" spans="2:10" x14ac:dyDescent="0.25">
      <c r="B81" s="157" t="s">
        <v>70</v>
      </c>
      <c r="C81" s="177">
        <v>0</v>
      </c>
      <c r="D81" s="177">
        <v>25023</v>
      </c>
      <c r="E81" s="177">
        <v>63207</v>
      </c>
      <c r="F81" s="177">
        <v>71344</v>
      </c>
      <c r="G81" s="177">
        <v>83393</v>
      </c>
      <c r="H81" s="177">
        <v>77257</v>
      </c>
      <c r="I81" s="178">
        <f t="shared" ref="I81:I93" si="11">IFERROR(H81/G81-1,"-")</f>
        <v>-7.3579317208878448E-2</v>
      </c>
      <c r="J81" s="178">
        <f>H81/H81</f>
        <v>1</v>
      </c>
    </row>
    <row r="82" spans="2:10" x14ac:dyDescent="0.25">
      <c r="B82" s="160" t="s">
        <v>99</v>
      </c>
      <c r="C82" s="161">
        <v>0</v>
      </c>
      <c r="D82" s="161">
        <v>16084</v>
      </c>
      <c r="E82" s="161">
        <v>38004</v>
      </c>
      <c r="F82" s="161">
        <v>41665</v>
      </c>
      <c r="G82" s="161">
        <v>44993</v>
      </c>
      <c r="H82" s="161">
        <v>41210</v>
      </c>
      <c r="I82" s="162">
        <f t="shared" si="11"/>
        <v>-8.4079745738225964E-2</v>
      </c>
      <c r="J82" s="162">
        <f>H82/H81</f>
        <v>0.5334144478817453</v>
      </c>
    </row>
    <row r="83" spans="2:10" x14ac:dyDescent="0.25">
      <c r="B83" s="164" t="s">
        <v>105</v>
      </c>
      <c r="C83" s="165">
        <v>0</v>
      </c>
      <c r="D83" s="165">
        <v>6390</v>
      </c>
      <c r="E83" s="165">
        <v>8842</v>
      </c>
      <c r="F83" s="165">
        <v>12926</v>
      </c>
      <c r="G83" s="165">
        <v>15406</v>
      </c>
      <c r="H83" s="165">
        <v>9716</v>
      </c>
      <c r="I83" s="166">
        <f t="shared" si="11"/>
        <v>-0.3693366220952875</v>
      </c>
      <c r="J83" s="166">
        <f>H83/H81</f>
        <v>0.1257620668677272</v>
      </c>
    </row>
    <row r="84" spans="2:10" x14ac:dyDescent="0.25">
      <c r="B84" s="164" t="s">
        <v>102</v>
      </c>
      <c r="C84" s="165">
        <v>0</v>
      </c>
      <c r="D84" s="165">
        <v>9694</v>
      </c>
      <c r="E84" s="165">
        <v>29162</v>
      </c>
      <c r="F84" s="165">
        <v>28739</v>
      </c>
      <c r="G84" s="165">
        <v>29587</v>
      </c>
      <c r="H84" s="165">
        <v>31494</v>
      </c>
      <c r="I84" s="166">
        <f t="shared" si="11"/>
        <v>6.4453983168283324E-2</v>
      </c>
      <c r="J84" s="166">
        <f>H84/H81</f>
        <v>0.40765238101401813</v>
      </c>
    </row>
    <row r="85" spans="2:10" x14ac:dyDescent="0.25">
      <c r="B85" s="160" t="s">
        <v>109</v>
      </c>
      <c r="C85" s="161">
        <v>0</v>
      </c>
      <c r="D85" s="161">
        <v>8939</v>
      </c>
      <c r="E85" s="161">
        <v>25203</v>
      </c>
      <c r="F85" s="161">
        <v>29679</v>
      </c>
      <c r="G85" s="161">
        <v>38400</v>
      </c>
      <c r="H85" s="161">
        <v>36047</v>
      </c>
      <c r="I85" s="162">
        <f t="shared" si="11"/>
        <v>-6.127604166666667E-2</v>
      </c>
      <c r="J85" s="162">
        <f>H85/H81</f>
        <v>0.46658555211825464</v>
      </c>
    </row>
    <row r="86" spans="2:10" x14ac:dyDescent="0.25">
      <c r="B86" s="164" t="s">
        <v>112</v>
      </c>
      <c r="C86" s="165">
        <v>0</v>
      </c>
      <c r="D86" s="165">
        <v>665</v>
      </c>
      <c r="E86" s="165">
        <v>6003</v>
      </c>
      <c r="F86" s="165">
        <v>6492</v>
      </c>
      <c r="G86" s="165">
        <v>8890</v>
      </c>
      <c r="H86" s="165">
        <v>8545</v>
      </c>
      <c r="I86" s="166">
        <f t="shared" si="11"/>
        <v>-3.8807649043869463E-2</v>
      </c>
      <c r="J86" s="166">
        <f>H86/H81</f>
        <v>0.11060486428414254</v>
      </c>
    </row>
    <row r="87" spans="2:10" x14ac:dyDescent="0.25">
      <c r="B87" s="164" t="s">
        <v>115</v>
      </c>
      <c r="C87" s="165">
        <v>0</v>
      </c>
      <c r="D87" s="165">
        <v>2166</v>
      </c>
      <c r="E87" s="165">
        <v>7897</v>
      </c>
      <c r="F87" s="165">
        <v>7571</v>
      </c>
      <c r="G87" s="165">
        <v>8315</v>
      </c>
      <c r="H87" s="165">
        <v>8565</v>
      </c>
      <c r="I87" s="166">
        <f t="shared" si="11"/>
        <v>3.0066145520144305E-2</v>
      </c>
      <c r="J87" s="166">
        <f>H87/H81</f>
        <v>0.11086374050247874</v>
      </c>
    </row>
    <row r="88" spans="2:10" x14ac:dyDescent="0.25">
      <c r="B88" s="164" t="s">
        <v>118</v>
      </c>
      <c r="C88" s="165">
        <v>0</v>
      </c>
      <c r="D88" s="165">
        <v>1182</v>
      </c>
      <c r="E88" s="165">
        <v>1777</v>
      </c>
      <c r="F88" s="165">
        <v>2564</v>
      </c>
      <c r="G88" s="165">
        <v>5187</v>
      </c>
      <c r="H88" s="165">
        <v>3585</v>
      </c>
      <c r="I88" s="166">
        <f t="shared" si="11"/>
        <v>-0.3088490456911509</v>
      </c>
      <c r="J88" s="166">
        <f>H88/H81</f>
        <v>4.6403562136764304E-2</v>
      </c>
    </row>
    <row r="89" spans="2:10" x14ac:dyDescent="0.25">
      <c r="B89" s="164" t="s">
        <v>125</v>
      </c>
      <c r="C89" s="165">
        <v>0</v>
      </c>
      <c r="D89" s="165">
        <v>244</v>
      </c>
      <c r="E89" s="165">
        <v>536</v>
      </c>
      <c r="F89" s="165">
        <v>895</v>
      </c>
      <c r="G89" s="165">
        <v>1467</v>
      </c>
      <c r="H89" s="165">
        <v>879</v>
      </c>
      <c r="I89" s="166">
        <f t="shared" si="11"/>
        <v>-0.40081799591002043</v>
      </c>
      <c r="J89" s="166">
        <f>H89/H81</f>
        <v>1.1377609795876101E-2</v>
      </c>
    </row>
    <row r="90" spans="2:10" x14ac:dyDescent="0.25">
      <c r="B90" s="164" t="s">
        <v>121</v>
      </c>
      <c r="C90" s="165">
        <v>0</v>
      </c>
      <c r="D90" s="165">
        <v>260</v>
      </c>
      <c r="E90" s="165">
        <v>399</v>
      </c>
      <c r="F90" s="165">
        <v>397</v>
      </c>
      <c r="G90" s="165">
        <v>702</v>
      </c>
      <c r="H90" s="165">
        <v>603</v>
      </c>
      <c r="I90" s="166">
        <f t="shared" si="11"/>
        <v>-0.14102564102564108</v>
      </c>
      <c r="J90" s="166">
        <f>H90/H81</f>
        <v>7.8051179828365069E-3</v>
      </c>
    </row>
    <row r="91" spans="2:10" x14ac:dyDescent="0.25">
      <c r="B91" s="164" t="s">
        <v>130</v>
      </c>
      <c r="C91" s="165">
        <v>0</v>
      </c>
      <c r="D91" s="165">
        <v>21</v>
      </c>
      <c r="E91" s="165">
        <v>102</v>
      </c>
      <c r="F91" s="165">
        <v>160</v>
      </c>
      <c r="G91" s="165">
        <v>128</v>
      </c>
      <c r="H91" s="165">
        <v>131</v>
      </c>
      <c r="I91" s="166">
        <f t="shared" si="11"/>
        <v>2.34375E-2</v>
      </c>
      <c r="J91" s="166">
        <f>H91/H81</f>
        <v>1.6956392301021267E-3</v>
      </c>
    </row>
    <row r="92" spans="2:10" x14ac:dyDescent="0.25">
      <c r="B92" s="164" t="s">
        <v>133</v>
      </c>
      <c r="C92" s="165">
        <v>0</v>
      </c>
      <c r="D92" s="165">
        <v>43</v>
      </c>
      <c r="E92" s="165">
        <v>75</v>
      </c>
      <c r="F92" s="165">
        <v>147</v>
      </c>
      <c r="G92" s="165">
        <v>119</v>
      </c>
      <c r="H92" s="165">
        <v>63</v>
      </c>
      <c r="I92" s="166">
        <f t="shared" si="11"/>
        <v>-0.47058823529411764</v>
      </c>
      <c r="J92" s="166">
        <f>H92/H81</f>
        <v>8.1546008775903805E-4</v>
      </c>
    </row>
    <row r="93" spans="2:10" x14ac:dyDescent="0.25">
      <c r="B93" s="169" t="s">
        <v>147</v>
      </c>
      <c r="C93" s="170">
        <f t="shared" ref="C93:H93" si="12">C85-SUM(C86:C92)</f>
        <v>0</v>
      </c>
      <c r="D93" s="170">
        <f t="shared" si="12"/>
        <v>4358</v>
      </c>
      <c r="E93" s="170">
        <f t="shared" si="12"/>
        <v>8414</v>
      </c>
      <c r="F93" s="170">
        <f t="shared" si="12"/>
        <v>11453</v>
      </c>
      <c r="G93" s="170">
        <f t="shared" si="12"/>
        <v>13592</v>
      </c>
      <c r="H93" s="170">
        <f t="shared" si="12"/>
        <v>13676</v>
      </c>
      <c r="I93" s="171">
        <f t="shared" si="11"/>
        <v>6.1801059446733309E-3</v>
      </c>
      <c r="J93" s="171">
        <f>H93/H81</f>
        <v>0.17701955809829531</v>
      </c>
    </row>
    <row r="94" spans="2:10" x14ac:dyDescent="0.25">
      <c r="B94" s="156" t="s">
        <v>51</v>
      </c>
      <c r="C94" s="175"/>
      <c r="D94" s="175"/>
      <c r="E94" s="175"/>
      <c r="F94" s="175"/>
      <c r="G94" s="175"/>
      <c r="H94" s="175"/>
      <c r="I94" s="176"/>
      <c r="J94" s="176"/>
    </row>
    <row r="95" spans="2:10" x14ac:dyDescent="0.25">
      <c r="B95" s="157" t="s">
        <v>70</v>
      </c>
      <c r="C95" s="177">
        <v>0</v>
      </c>
      <c r="D95" s="177">
        <v>2494</v>
      </c>
      <c r="E95" s="177">
        <v>4520</v>
      </c>
      <c r="F95" s="177">
        <v>4181</v>
      </c>
      <c r="G95" s="177">
        <v>3964</v>
      </c>
      <c r="H95" s="177">
        <v>4119</v>
      </c>
      <c r="I95" s="178">
        <f t="shared" ref="I95:I107" si="13">IFERROR(H95/G95-1,"-")</f>
        <v>3.9101917255297769E-2</v>
      </c>
      <c r="J95" s="178">
        <f>H95/H95</f>
        <v>1</v>
      </c>
    </row>
    <row r="96" spans="2:10" x14ac:dyDescent="0.25">
      <c r="B96" s="160" t="s">
        <v>99</v>
      </c>
      <c r="C96" s="161">
        <v>0</v>
      </c>
      <c r="D96" s="161">
        <v>1915</v>
      </c>
      <c r="E96" s="161">
        <v>3580</v>
      </c>
      <c r="F96" s="161">
        <v>3284</v>
      </c>
      <c r="G96" s="161">
        <v>3008</v>
      </c>
      <c r="H96" s="161">
        <v>3117</v>
      </c>
      <c r="I96" s="162">
        <f t="shared" si="13"/>
        <v>3.6236702127659504E-2</v>
      </c>
      <c r="J96" s="162">
        <f>H96/H95</f>
        <v>0.75673707210487984</v>
      </c>
    </row>
    <row r="97" spans="2:10" x14ac:dyDescent="0.25">
      <c r="B97" s="164" t="s">
        <v>105</v>
      </c>
      <c r="C97" s="165">
        <v>0</v>
      </c>
      <c r="D97" s="165">
        <v>1100</v>
      </c>
      <c r="E97" s="165">
        <v>1851</v>
      </c>
      <c r="F97" s="165">
        <v>818</v>
      </c>
      <c r="G97" s="165">
        <v>716</v>
      </c>
      <c r="H97" s="165">
        <v>1022</v>
      </c>
      <c r="I97" s="166">
        <f t="shared" si="13"/>
        <v>0.42737430167597767</v>
      </c>
      <c r="J97" s="166">
        <f>H97/H95</f>
        <v>0.24811847535809661</v>
      </c>
    </row>
    <row r="98" spans="2:10" x14ac:dyDescent="0.25">
      <c r="B98" s="164" t="s">
        <v>102</v>
      </c>
      <c r="C98" s="165">
        <v>0</v>
      </c>
      <c r="D98" s="165">
        <v>815</v>
      </c>
      <c r="E98" s="165">
        <v>1729</v>
      </c>
      <c r="F98" s="165">
        <v>2466</v>
      </c>
      <c r="G98" s="165">
        <v>2292</v>
      </c>
      <c r="H98" s="165">
        <v>2095</v>
      </c>
      <c r="I98" s="166">
        <f t="shared" si="13"/>
        <v>-8.5951134380453764E-2</v>
      </c>
      <c r="J98" s="166">
        <f>H98/H95</f>
        <v>0.50861859674678322</v>
      </c>
    </row>
    <row r="99" spans="2:10" x14ac:dyDescent="0.25">
      <c r="B99" s="160" t="s">
        <v>109</v>
      </c>
      <c r="C99" s="161">
        <v>0</v>
      </c>
      <c r="D99" s="161">
        <v>579</v>
      </c>
      <c r="E99" s="161">
        <v>940</v>
      </c>
      <c r="F99" s="161">
        <v>897</v>
      </c>
      <c r="G99" s="161">
        <v>956</v>
      </c>
      <c r="H99" s="161">
        <v>1002</v>
      </c>
      <c r="I99" s="162">
        <f t="shared" si="13"/>
        <v>4.8117154811715412E-2</v>
      </c>
      <c r="J99" s="162">
        <f>H99/H95</f>
        <v>0.24326292789512016</v>
      </c>
    </row>
    <row r="100" spans="2:10" x14ac:dyDescent="0.25">
      <c r="B100" s="164" t="s">
        <v>112</v>
      </c>
      <c r="C100" s="165">
        <v>0</v>
      </c>
      <c r="D100" s="165">
        <v>25</v>
      </c>
      <c r="E100" s="165">
        <v>120</v>
      </c>
      <c r="F100" s="165">
        <v>124</v>
      </c>
      <c r="G100" s="165">
        <v>100</v>
      </c>
      <c r="H100" s="165">
        <v>113</v>
      </c>
      <c r="I100" s="166">
        <f t="shared" si="13"/>
        <v>0.12999999999999989</v>
      </c>
      <c r="J100" s="166">
        <f>H100/H95</f>
        <v>2.7433843165816946E-2</v>
      </c>
    </row>
    <row r="101" spans="2:10" x14ac:dyDescent="0.25">
      <c r="B101" s="164" t="s">
        <v>115</v>
      </c>
      <c r="C101" s="165">
        <v>0</v>
      </c>
      <c r="D101" s="165">
        <v>106</v>
      </c>
      <c r="E101" s="165">
        <v>171</v>
      </c>
      <c r="F101" s="165">
        <v>128</v>
      </c>
      <c r="G101" s="165">
        <v>154</v>
      </c>
      <c r="H101" s="165">
        <v>117</v>
      </c>
      <c r="I101" s="166">
        <f t="shared" si="13"/>
        <v>-0.24025974025974028</v>
      </c>
      <c r="J101" s="166">
        <f>H101/H95</f>
        <v>2.8404952658412235E-2</v>
      </c>
    </row>
    <row r="102" spans="2:10" x14ac:dyDescent="0.25">
      <c r="B102" s="164" t="s">
        <v>118</v>
      </c>
      <c r="C102" s="165">
        <v>0</v>
      </c>
      <c r="D102" s="165">
        <v>162</v>
      </c>
      <c r="E102" s="165">
        <v>122</v>
      </c>
      <c r="F102" s="165">
        <v>150</v>
      </c>
      <c r="G102" s="165">
        <v>118</v>
      </c>
      <c r="H102" s="165">
        <v>138</v>
      </c>
      <c r="I102" s="166">
        <f t="shared" si="13"/>
        <v>0.16949152542372881</v>
      </c>
      <c r="J102" s="166">
        <f>H102/H95</f>
        <v>3.3503277494537506E-2</v>
      </c>
    </row>
    <row r="103" spans="2:10" x14ac:dyDescent="0.25">
      <c r="B103" s="164" t="s">
        <v>125</v>
      </c>
      <c r="C103" s="165">
        <v>0</v>
      </c>
      <c r="D103" s="165">
        <v>17</v>
      </c>
      <c r="E103" s="165">
        <v>85</v>
      </c>
      <c r="F103" s="165">
        <v>30</v>
      </c>
      <c r="G103" s="165">
        <v>36</v>
      </c>
      <c r="H103" s="165">
        <v>33</v>
      </c>
      <c r="I103" s="166">
        <f t="shared" si="13"/>
        <v>-8.333333333333337E-2</v>
      </c>
      <c r="J103" s="166">
        <f>H103/H95</f>
        <v>8.0116533139111441E-3</v>
      </c>
    </row>
    <row r="104" spans="2:10" x14ac:dyDescent="0.25">
      <c r="B104" s="164" t="s">
        <v>121</v>
      </c>
      <c r="C104" s="165">
        <v>0</v>
      </c>
      <c r="D104" s="165">
        <v>25</v>
      </c>
      <c r="E104" s="165">
        <v>31</v>
      </c>
      <c r="F104" s="165">
        <v>32</v>
      </c>
      <c r="G104" s="165">
        <v>19</v>
      </c>
      <c r="H104" s="165">
        <v>18</v>
      </c>
      <c r="I104" s="166">
        <f t="shared" si="13"/>
        <v>-5.2631578947368474E-2</v>
      </c>
      <c r="J104" s="166">
        <f>H104/H95</f>
        <v>4.3699927166788053E-3</v>
      </c>
    </row>
    <row r="105" spans="2:10" x14ac:dyDescent="0.25">
      <c r="B105" s="164" t="s">
        <v>130</v>
      </c>
      <c r="C105" s="165">
        <v>0</v>
      </c>
      <c r="D105" s="165">
        <v>0</v>
      </c>
      <c r="E105" s="165">
        <v>7</v>
      </c>
      <c r="F105" s="165">
        <v>2</v>
      </c>
      <c r="G105" s="165">
        <v>47</v>
      </c>
      <c r="H105" s="165">
        <v>2</v>
      </c>
      <c r="I105" s="166">
        <f t="shared" si="13"/>
        <v>-0.95744680851063835</v>
      </c>
      <c r="J105" s="166">
        <f>H105/H95</f>
        <v>4.8555474629764507E-4</v>
      </c>
    </row>
    <row r="106" spans="2:10" x14ac:dyDescent="0.25">
      <c r="B106" s="164" t="s">
        <v>133</v>
      </c>
      <c r="C106" s="165">
        <v>0</v>
      </c>
      <c r="D106" s="165">
        <v>5</v>
      </c>
      <c r="E106" s="165">
        <v>22</v>
      </c>
      <c r="F106" s="165">
        <v>9</v>
      </c>
      <c r="G106" s="165">
        <v>0</v>
      </c>
      <c r="H106" s="165">
        <v>4</v>
      </c>
      <c r="I106" s="166" t="str">
        <f t="shared" si="13"/>
        <v>-</v>
      </c>
      <c r="J106" s="166">
        <f>H106/H95</f>
        <v>9.7110949259529014E-4</v>
      </c>
    </row>
    <row r="107" spans="2:10" x14ac:dyDescent="0.25">
      <c r="B107" s="169" t="s">
        <v>147</v>
      </c>
      <c r="C107" s="170">
        <f t="shared" ref="C107:H107" si="14">C99-SUM(C100:C106)</f>
        <v>0</v>
      </c>
      <c r="D107" s="170">
        <f t="shared" si="14"/>
        <v>239</v>
      </c>
      <c r="E107" s="170">
        <f t="shared" si="14"/>
        <v>382</v>
      </c>
      <c r="F107" s="170">
        <f t="shared" si="14"/>
        <v>422</v>
      </c>
      <c r="G107" s="170">
        <f t="shared" si="14"/>
        <v>482</v>
      </c>
      <c r="H107" s="170">
        <f t="shared" si="14"/>
        <v>577</v>
      </c>
      <c r="I107" s="171">
        <f t="shared" si="13"/>
        <v>0.19709543568464727</v>
      </c>
      <c r="J107" s="171">
        <f>H107/H95</f>
        <v>0.14008254430687059</v>
      </c>
    </row>
    <row r="108" spans="2:10" x14ac:dyDescent="0.25">
      <c r="B108" s="156" t="s">
        <v>52</v>
      </c>
      <c r="C108" s="175"/>
      <c r="D108" s="175"/>
      <c r="E108" s="175"/>
      <c r="F108" s="175"/>
      <c r="G108" s="175"/>
      <c r="H108" s="175"/>
      <c r="I108" s="176"/>
      <c r="J108" s="176"/>
    </row>
    <row r="109" spans="2:10" x14ac:dyDescent="0.25">
      <c r="B109" s="157" t="s">
        <v>70</v>
      </c>
      <c r="C109" s="177">
        <v>0</v>
      </c>
      <c r="D109" s="177">
        <v>12758</v>
      </c>
      <c r="E109" s="177">
        <v>13606</v>
      </c>
      <c r="F109" s="177">
        <v>22097</v>
      </c>
      <c r="G109" s="177">
        <v>19721</v>
      </c>
      <c r="H109" s="177">
        <v>20354</v>
      </c>
      <c r="I109" s="178">
        <f t="shared" ref="I109:I121" si="15">IFERROR(H109/G109-1,"-")</f>
        <v>3.2097763805080781E-2</v>
      </c>
      <c r="J109" s="178">
        <f>H109/H109</f>
        <v>1</v>
      </c>
    </row>
    <row r="110" spans="2:10" x14ac:dyDescent="0.25">
      <c r="B110" s="160" t="s">
        <v>99</v>
      </c>
      <c r="C110" s="161">
        <v>0</v>
      </c>
      <c r="D110" s="161">
        <v>7593</v>
      </c>
      <c r="E110" s="161">
        <v>4013</v>
      </c>
      <c r="F110" s="161">
        <v>5372</v>
      </c>
      <c r="G110" s="161">
        <v>5322</v>
      </c>
      <c r="H110" s="161">
        <v>5416</v>
      </c>
      <c r="I110" s="162">
        <f t="shared" si="15"/>
        <v>1.7662532882374959E-2</v>
      </c>
      <c r="J110" s="162">
        <f>H110/H109</f>
        <v>0.26609020339982314</v>
      </c>
    </row>
    <row r="111" spans="2:10" x14ac:dyDescent="0.25">
      <c r="B111" s="164" t="s">
        <v>105</v>
      </c>
      <c r="C111" s="165">
        <v>0</v>
      </c>
      <c r="D111" s="165">
        <v>3386</v>
      </c>
      <c r="E111" s="165">
        <v>964</v>
      </c>
      <c r="F111" s="165">
        <v>2060</v>
      </c>
      <c r="G111" s="165">
        <v>2056</v>
      </c>
      <c r="H111" s="165">
        <v>2029</v>
      </c>
      <c r="I111" s="166">
        <f t="shared" si="15"/>
        <v>-1.3132295719844311E-2</v>
      </c>
      <c r="J111" s="166">
        <f>H111/H109</f>
        <v>9.9685565490812617E-2</v>
      </c>
    </row>
    <row r="112" spans="2:10" x14ac:dyDescent="0.25">
      <c r="B112" s="164" t="s">
        <v>102</v>
      </c>
      <c r="C112" s="165">
        <v>0</v>
      </c>
      <c r="D112" s="165">
        <v>4207</v>
      </c>
      <c r="E112" s="165">
        <v>3049</v>
      </c>
      <c r="F112" s="165">
        <v>3312</v>
      </c>
      <c r="G112" s="165">
        <v>3266</v>
      </c>
      <c r="H112" s="165">
        <v>3387</v>
      </c>
      <c r="I112" s="166">
        <f t="shared" si="15"/>
        <v>3.7048377219840889E-2</v>
      </c>
      <c r="J112" s="166">
        <f>H112/H109</f>
        <v>0.16640463790901053</v>
      </c>
    </row>
    <row r="113" spans="2:10" x14ac:dyDescent="0.25">
      <c r="B113" s="160" t="s">
        <v>109</v>
      </c>
      <c r="C113" s="161">
        <v>0</v>
      </c>
      <c r="D113" s="161">
        <v>5165</v>
      </c>
      <c r="E113" s="161">
        <v>9593</v>
      </c>
      <c r="F113" s="161">
        <v>16725</v>
      </c>
      <c r="G113" s="161">
        <v>14399</v>
      </c>
      <c r="H113" s="161">
        <v>14938</v>
      </c>
      <c r="I113" s="162">
        <f t="shared" si="15"/>
        <v>3.7433155080213831E-2</v>
      </c>
      <c r="J113" s="162">
        <f>H113/H109</f>
        <v>0.73390979660017686</v>
      </c>
    </row>
    <row r="114" spans="2:10" x14ac:dyDescent="0.25">
      <c r="B114" s="164" t="s">
        <v>112</v>
      </c>
      <c r="C114" s="165">
        <v>0</v>
      </c>
      <c r="D114" s="165">
        <v>407</v>
      </c>
      <c r="E114" s="165">
        <v>6784</v>
      </c>
      <c r="F114" s="165">
        <v>11071</v>
      </c>
      <c r="G114" s="165">
        <v>9672</v>
      </c>
      <c r="H114" s="165">
        <v>9636</v>
      </c>
      <c r="I114" s="166">
        <f t="shared" si="15"/>
        <v>-3.7220843672456372E-3</v>
      </c>
      <c r="J114" s="166">
        <f>H114/H109</f>
        <v>0.473420457895254</v>
      </c>
    </row>
    <row r="115" spans="2:10" x14ac:dyDescent="0.25">
      <c r="B115" s="164" t="s">
        <v>115</v>
      </c>
      <c r="C115" s="165">
        <v>0</v>
      </c>
      <c r="D115" s="165">
        <v>2089</v>
      </c>
      <c r="E115" s="165">
        <v>179</v>
      </c>
      <c r="F115" s="165">
        <v>633</v>
      </c>
      <c r="G115" s="165">
        <v>501</v>
      </c>
      <c r="H115" s="165">
        <v>708</v>
      </c>
      <c r="I115" s="166">
        <f t="shared" si="15"/>
        <v>0.41317365269461082</v>
      </c>
      <c r="J115" s="166">
        <f>H115/H109</f>
        <v>3.4784317578854279E-2</v>
      </c>
    </row>
    <row r="116" spans="2:10" x14ac:dyDescent="0.25">
      <c r="B116" s="164" t="s">
        <v>118</v>
      </c>
      <c r="C116" s="165">
        <v>0</v>
      </c>
      <c r="D116" s="165">
        <v>555</v>
      </c>
      <c r="E116" s="165">
        <v>339</v>
      </c>
      <c r="F116" s="165">
        <v>1022</v>
      </c>
      <c r="G116" s="165">
        <v>949</v>
      </c>
      <c r="H116" s="165">
        <v>1007</v>
      </c>
      <c r="I116" s="166">
        <f t="shared" si="15"/>
        <v>6.1116965226554187E-2</v>
      </c>
      <c r="J116" s="166">
        <f>H116/H109</f>
        <v>4.9474304804952345E-2</v>
      </c>
    </row>
    <row r="117" spans="2:10" x14ac:dyDescent="0.25">
      <c r="B117" s="164" t="s">
        <v>125</v>
      </c>
      <c r="C117" s="165">
        <v>0</v>
      </c>
      <c r="D117" s="165">
        <v>591</v>
      </c>
      <c r="E117" s="165">
        <v>258</v>
      </c>
      <c r="F117" s="165">
        <v>259</v>
      </c>
      <c r="G117" s="165">
        <v>182</v>
      </c>
      <c r="H117" s="165">
        <v>304</v>
      </c>
      <c r="I117" s="166">
        <f t="shared" si="15"/>
        <v>0.67032967032967039</v>
      </c>
      <c r="J117" s="166">
        <f>H117/H109</f>
        <v>1.4935639186400708E-2</v>
      </c>
    </row>
    <row r="118" spans="2:10" x14ac:dyDescent="0.25">
      <c r="B118" s="164" t="s">
        <v>121</v>
      </c>
      <c r="C118" s="165">
        <v>0</v>
      </c>
      <c r="D118" s="165">
        <v>520</v>
      </c>
      <c r="E118" s="165">
        <v>128</v>
      </c>
      <c r="F118" s="165">
        <v>260</v>
      </c>
      <c r="G118" s="165">
        <v>315</v>
      </c>
      <c r="H118" s="165">
        <v>235</v>
      </c>
      <c r="I118" s="166">
        <f t="shared" si="15"/>
        <v>-0.25396825396825395</v>
      </c>
      <c r="J118" s="166">
        <f>H118/H109</f>
        <v>1.1545642134224231E-2</v>
      </c>
    </row>
    <row r="119" spans="2:10" x14ac:dyDescent="0.25">
      <c r="B119" s="164" t="s">
        <v>130</v>
      </c>
      <c r="C119" s="165">
        <v>0</v>
      </c>
      <c r="D119" s="165">
        <v>10</v>
      </c>
      <c r="E119" s="165">
        <v>6</v>
      </c>
      <c r="F119" s="165">
        <v>14</v>
      </c>
      <c r="G119" s="165">
        <v>7</v>
      </c>
      <c r="H119" s="165">
        <v>16</v>
      </c>
      <c r="I119" s="166">
        <f t="shared" si="15"/>
        <v>1.2857142857142856</v>
      </c>
      <c r="J119" s="166">
        <f>H119/H109</f>
        <v>7.8608627296845824E-4</v>
      </c>
    </row>
    <row r="120" spans="2:10" x14ac:dyDescent="0.25">
      <c r="B120" s="164" t="s">
        <v>133</v>
      </c>
      <c r="C120" s="165">
        <v>0</v>
      </c>
      <c r="D120" s="165">
        <v>14</v>
      </c>
      <c r="E120" s="165">
        <v>10</v>
      </c>
      <c r="F120" s="165">
        <v>15</v>
      </c>
      <c r="G120" s="165">
        <v>11</v>
      </c>
      <c r="H120" s="165">
        <v>29</v>
      </c>
      <c r="I120" s="166">
        <f t="shared" si="15"/>
        <v>1.6363636363636362</v>
      </c>
      <c r="J120" s="166">
        <f>H120/H109</f>
        <v>1.4247813697553307E-3</v>
      </c>
    </row>
    <row r="121" spans="2:10" x14ac:dyDescent="0.25">
      <c r="B121" s="169" t="s">
        <v>147</v>
      </c>
      <c r="C121" s="170">
        <f t="shared" ref="C121:H121" si="16">C113-SUM(C114:C120)</f>
        <v>0</v>
      </c>
      <c r="D121" s="170">
        <f t="shared" si="16"/>
        <v>979</v>
      </c>
      <c r="E121" s="170">
        <f t="shared" si="16"/>
        <v>1889</v>
      </c>
      <c r="F121" s="170">
        <f t="shared" si="16"/>
        <v>3451</v>
      </c>
      <c r="G121" s="170">
        <f t="shared" si="16"/>
        <v>2762</v>
      </c>
      <c r="H121" s="170">
        <f t="shared" si="16"/>
        <v>3003</v>
      </c>
      <c r="I121" s="171">
        <f t="shared" si="15"/>
        <v>8.725561187545261E-2</v>
      </c>
      <c r="J121" s="171">
        <f>H121/H109</f>
        <v>0.14753856735776752</v>
      </c>
    </row>
    <row r="122" spans="2:10" x14ac:dyDescent="0.25">
      <c r="B122" s="156" t="s">
        <v>53</v>
      </c>
      <c r="C122" s="175"/>
      <c r="D122" s="175"/>
      <c r="E122" s="175"/>
      <c r="F122" s="175"/>
      <c r="G122" s="175"/>
      <c r="H122" s="175"/>
      <c r="I122" s="176"/>
      <c r="J122" s="176"/>
    </row>
    <row r="123" spans="2:10" x14ac:dyDescent="0.25">
      <c r="B123" s="157" t="s">
        <v>70</v>
      </c>
      <c r="C123" s="177">
        <v>0</v>
      </c>
      <c r="D123" s="177">
        <v>13541</v>
      </c>
      <c r="E123" s="177">
        <v>17608</v>
      </c>
      <c r="F123" s="177">
        <v>17983</v>
      </c>
      <c r="G123" s="177">
        <v>19479</v>
      </c>
      <c r="H123" s="177">
        <v>20873</v>
      </c>
      <c r="I123" s="178">
        <f t="shared" ref="I123:I135" si="17">IFERROR(H123/G123-1,"-")</f>
        <v>7.1564248678063658E-2</v>
      </c>
      <c r="J123" s="178">
        <f>H123/H123</f>
        <v>1</v>
      </c>
    </row>
    <row r="124" spans="2:10" x14ac:dyDescent="0.25">
      <c r="B124" s="160" t="s">
        <v>99</v>
      </c>
      <c r="C124" s="161">
        <v>0</v>
      </c>
      <c r="D124" s="161">
        <v>9924</v>
      </c>
      <c r="E124" s="161">
        <v>12409</v>
      </c>
      <c r="F124" s="161">
        <v>13066</v>
      </c>
      <c r="G124" s="161">
        <v>14875</v>
      </c>
      <c r="H124" s="161">
        <v>16672</v>
      </c>
      <c r="I124" s="162">
        <f t="shared" si="17"/>
        <v>0.12080672268907566</v>
      </c>
      <c r="J124" s="162">
        <f>H124/H123</f>
        <v>0.7987352081636564</v>
      </c>
    </row>
    <row r="125" spans="2:10" x14ac:dyDescent="0.25">
      <c r="B125" s="164" t="s">
        <v>105</v>
      </c>
      <c r="C125" s="165">
        <v>0</v>
      </c>
      <c r="D125" s="165">
        <v>5525</v>
      </c>
      <c r="E125" s="165">
        <v>6807</v>
      </c>
      <c r="F125" s="165">
        <v>6349</v>
      </c>
      <c r="G125" s="165">
        <v>7333</v>
      </c>
      <c r="H125" s="165">
        <v>8899</v>
      </c>
      <c r="I125" s="166">
        <f t="shared" si="17"/>
        <v>0.21355516159825449</v>
      </c>
      <c r="J125" s="166">
        <f>H125/H123</f>
        <v>0.42634024816748911</v>
      </c>
    </row>
    <row r="126" spans="2:10" x14ac:dyDescent="0.25">
      <c r="B126" s="164" t="s">
        <v>102</v>
      </c>
      <c r="C126" s="165">
        <v>0</v>
      </c>
      <c r="D126" s="165">
        <v>4399</v>
      </c>
      <c r="E126" s="165">
        <v>5602</v>
      </c>
      <c r="F126" s="165">
        <v>6717</v>
      </c>
      <c r="G126" s="165">
        <v>7542</v>
      </c>
      <c r="H126" s="165">
        <v>7773</v>
      </c>
      <c r="I126" s="166">
        <f t="shared" si="17"/>
        <v>3.0628480509148792E-2</v>
      </c>
      <c r="J126" s="166">
        <f>H126/H123</f>
        <v>0.37239495999616729</v>
      </c>
    </row>
    <row r="127" spans="2:10" x14ac:dyDescent="0.25">
      <c r="B127" s="160" t="s">
        <v>109</v>
      </c>
      <c r="C127" s="161">
        <v>0</v>
      </c>
      <c r="D127" s="161">
        <v>3617</v>
      </c>
      <c r="E127" s="161">
        <v>5199</v>
      </c>
      <c r="F127" s="161">
        <v>4917</v>
      </c>
      <c r="G127" s="161">
        <v>4604</v>
      </c>
      <c r="H127" s="161">
        <v>4201</v>
      </c>
      <c r="I127" s="162">
        <f t="shared" si="17"/>
        <v>-8.7532580364900081E-2</v>
      </c>
      <c r="J127" s="162">
        <f>H127/H123</f>
        <v>0.2012647918363436</v>
      </c>
    </row>
    <row r="128" spans="2:10" x14ac:dyDescent="0.25">
      <c r="B128" s="164" t="s">
        <v>112</v>
      </c>
      <c r="C128" s="165">
        <v>0</v>
      </c>
      <c r="D128" s="165">
        <v>131</v>
      </c>
      <c r="E128" s="165">
        <v>513</v>
      </c>
      <c r="F128" s="165">
        <v>875</v>
      </c>
      <c r="G128" s="165">
        <v>683</v>
      </c>
      <c r="H128" s="165">
        <v>360</v>
      </c>
      <c r="I128" s="166">
        <f t="shared" si="17"/>
        <v>-0.47291361639824303</v>
      </c>
      <c r="J128" s="166">
        <f>H128/H123</f>
        <v>1.724716140468548E-2</v>
      </c>
    </row>
    <row r="129" spans="2:10" x14ac:dyDescent="0.25">
      <c r="B129" s="164" t="s">
        <v>115</v>
      </c>
      <c r="C129" s="165">
        <v>0</v>
      </c>
      <c r="D129" s="165">
        <v>380</v>
      </c>
      <c r="E129" s="165">
        <v>330</v>
      </c>
      <c r="F129" s="165">
        <v>472</v>
      </c>
      <c r="G129" s="165">
        <v>414</v>
      </c>
      <c r="H129" s="165">
        <v>341</v>
      </c>
      <c r="I129" s="166">
        <f t="shared" si="17"/>
        <v>-0.17632850241545894</v>
      </c>
      <c r="J129" s="166">
        <f>H129/H123</f>
        <v>1.6336894552771524E-2</v>
      </c>
    </row>
    <row r="130" spans="2:10" x14ac:dyDescent="0.25">
      <c r="B130" s="164" t="s">
        <v>118</v>
      </c>
      <c r="C130" s="165">
        <v>0</v>
      </c>
      <c r="D130" s="165">
        <v>396</v>
      </c>
      <c r="E130" s="165">
        <v>399</v>
      </c>
      <c r="F130" s="165">
        <v>441</v>
      </c>
      <c r="G130" s="165">
        <v>365</v>
      </c>
      <c r="H130" s="165">
        <v>392</v>
      </c>
      <c r="I130" s="166">
        <f t="shared" si="17"/>
        <v>7.3972602739726057E-2</v>
      </c>
      <c r="J130" s="166">
        <f>H130/H123</f>
        <v>1.8780242418435299E-2</v>
      </c>
    </row>
    <row r="131" spans="2:10" x14ac:dyDescent="0.25">
      <c r="B131" s="164" t="s">
        <v>125</v>
      </c>
      <c r="C131" s="165">
        <v>0</v>
      </c>
      <c r="D131" s="165">
        <v>76</v>
      </c>
      <c r="E131" s="165">
        <v>125</v>
      </c>
      <c r="F131" s="165">
        <v>86</v>
      </c>
      <c r="G131" s="165">
        <v>103</v>
      </c>
      <c r="H131" s="165">
        <v>103</v>
      </c>
      <c r="I131" s="166">
        <f t="shared" si="17"/>
        <v>0</v>
      </c>
      <c r="J131" s="166">
        <f>H131/H123</f>
        <v>4.9346045130072343E-3</v>
      </c>
    </row>
    <row r="132" spans="2:10" x14ac:dyDescent="0.25">
      <c r="B132" s="164" t="s">
        <v>121</v>
      </c>
      <c r="C132" s="165">
        <v>0</v>
      </c>
      <c r="D132" s="165">
        <v>63</v>
      </c>
      <c r="E132" s="165">
        <v>96</v>
      </c>
      <c r="F132" s="165">
        <v>86</v>
      </c>
      <c r="G132" s="165">
        <v>117</v>
      </c>
      <c r="H132" s="165">
        <v>111</v>
      </c>
      <c r="I132" s="166">
        <f t="shared" si="17"/>
        <v>-5.1282051282051322E-2</v>
      </c>
      <c r="J132" s="166">
        <f>H132/H123</f>
        <v>5.3178747664446892E-3</v>
      </c>
    </row>
    <row r="133" spans="2:10" x14ac:dyDescent="0.25">
      <c r="B133" s="164" t="s">
        <v>130</v>
      </c>
      <c r="C133" s="165">
        <v>0</v>
      </c>
      <c r="D133" s="165">
        <v>3</v>
      </c>
      <c r="E133" s="165">
        <v>36</v>
      </c>
      <c r="F133" s="165">
        <v>26</v>
      </c>
      <c r="G133" s="165">
        <v>39</v>
      </c>
      <c r="H133" s="165">
        <v>27</v>
      </c>
      <c r="I133" s="166">
        <f t="shared" si="17"/>
        <v>-0.30769230769230771</v>
      </c>
      <c r="J133" s="166">
        <f>H133/H123</f>
        <v>1.293537105351411E-3</v>
      </c>
    </row>
    <row r="134" spans="2:10" x14ac:dyDescent="0.25">
      <c r="B134" s="164" t="s">
        <v>133</v>
      </c>
      <c r="C134" s="165">
        <v>0</v>
      </c>
      <c r="D134" s="165">
        <v>27</v>
      </c>
      <c r="E134" s="165">
        <v>51</v>
      </c>
      <c r="F134" s="165">
        <v>33</v>
      </c>
      <c r="G134" s="165">
        <v>26</v>
      </c>
      <c r="H134" s="165">
        <v>23</v>
      </c>
      <c r="I134" s="166">
        <f t="shared" si="17"/>
        <v>-0.11538461538461542</v>
      </c>
      <c r="J134" s="166">
        <f>H134/H123</f>
        <v>1.1019019786326833E-3</v>
      </c>
    </row>
    <row r="135" spans="2:10" x14ac:dyDescent="0.25">
      <c r="B135" s="169" t="s">
        <v>147</v>
      </c>
      <c r="C135" s="170">
        <f t="shared" ref="C135:H135" si="18">C127-SUM(C128:C134)</f>
        <v>0</v>
      </c>
      <c r="D135" s="170">
        <f t="shared" si="18"/>
        <v>2541</v>
      </c>
      <c r="E135" s="170">
        <f t="shared" si="18"/>
        <v>3649</v>
      </c>
      <c r="F135" s="170">
        <f t="shared" si="18"/>
        <v>2898</v>
      </c>
      <c r="G135" s="170">
        <f t="shared" si="18"/>
        <v>2857</v>
      </c>
      <c r="H135" s="170">
        <f t="shared" si="18"/>
        <v>2844</v>
      </c>
      <c r="I135" s="171">
        <f t="shared" si="17"/>
        <v>-4.5502275113755708E-3</v>
      </c>
      <c r="J135" s="171">
        <f>H135/H123</f>
        <v>0.13625257509701527</v>
      </c>
    </row>
    <row r="136" spans="2:10" x14ac:dyDescent="0.25">
      <c r="B136" s="156" t="s">
        <v>54</v>
      </c>
      <c r="C136" s="175"/>
      <c r="D136" s="175"/>
      <c r="E136" s="175"/>
      <c r="F136" s="175"/>
      <c r="G136" s="175"/>
      <c r="H136" s="175"/>
      <c r="I136" s="176"/>
      <c r="J136" s="176"/>
    </row>
    <row r="137" spans="2:10" x14ac:dyDescent="0.25">
      <c r="B137" s="157" t="s">
        <v>70</v>
      </c>
      <c r="C137" s="177">
        <v>0</v>
      </c>
      <c r="D137" s="177">
        <v>3802</v>
      </c>
      <c r="E137" s="177">
        <v>18886</v>
      </c>
      <c r="F137" s="177">
        <v>21065</v>
      </c>
      <c r="G137" s="177">
        <v>22841</v>
      </c>
      <c r="H137" s="177">
        <v>23159</v>
      </c>
      <c r="I137" s="178">
        <f t="shared" ref="I137:I149" si="19">IFERROR(H137/G137-1,"-")</f>
        <v>1.3922332647432256E-2</v>
      </c>
      <c r="J137" s="178">
        <f>H137/H137</f>
        <v>1</v>
      </c>
    </row>
    <row r="138" spans="2:10" x14ac:dyDescent="0.25">
      <c r="B138" s="160" t="s">
        <v>99</v>
      </c>
      <c r="C138" s="161">
        <v>0</v>
      </c>
      <c r="D138" s="161">
        <v>2007</v>
      </c>
      <c r="E138" s="161">
        <v>1981</v>
      </c>
      <c r="F138" s="161">
        <v>3499</v>
      </c>
      <c r="G138" s="161">
        <v>2734</v>
      </c>
      <c r="H138" s="161">
        <v>2922</v>
      </c>
      <c r="I138" s="162">
        <f t="shared" si="19"/>
        <v>6.8763716166788669E-2</v>
      </c>
      <c r="J138" s="162">
        <f>H138/H137</f>
        <v>0.12617125091756984</v>
      </c>
    </row>
    <row r="139" spans="2:10" x14ac:dyDescent="0.25">
      <c r="B139" s="164" t="s">
        <v>105</v>
      </c>
      <c r="C139" s="165">
        <v>0</v>
      </c>
      <c r="D139" s="165">
        <v>1157</v>
      </c>
      <c r="E139" s="165">
        <v>1245</v>
      </c>
      <c r="F139" s="165">
        <v>2218</v>
      </c>
      <c r="G139" s="165">
        <v>1876</v>
      </c>
      <c r="H139" s="165">
        <v>1679</v>
      </c>
      <c r="I139" s="166">
        <f t="shared" si="19"/>
        <v>-0.10501066098081024</v>
      </c>
      <c r="J139" s="166">
        <f>H139/H137</f>
        <v>7.2498812556673425E-2</v>
      </c>
    </row>
    <row r="140" spans="2:10" x14ac:dyDescent="0.25">
      <c r="B140" s="164" t="s">
        <v>102</v>
      </c>
      <c r="C140" s="165">
        <v>0</v>
      </c>
      <c r="D140" s="165">
        <v>850</v>
      </c>
      <c r="E140" s="165">
        <v>736</v>
      </c>
      <c r="F140" s="165">
        <v>1281</v>
      </c>
      <c r="G140" s="165">
        <v>858</v>
      </c>
      <c r="H140" s="165">
        <v>1243</v>
      </c>
      <c r="I140" s="166">
        <f t="shared" si="19"/>
        <v>0.44871794871794868</v>
      </c>
      <c r="J140" s="166">
        <f>H140/H137</f>
        <v>5.3672438360896413E-2</v>
      </c>
    </row>
    <row r="141" spans="2:10" x14ac:dyDescent="0.25">
      <c r="B141" s="160" t="s">
        <v>109</v>
      </c>
      <c r="C141" s="161">
        <v>0</v>
      </c>
      <c r="D141" s="161">
        <v>1795</v>
      </c>
      <c r="E141" s="161">
        <v>16905</v>
      </c>
      <c r="F141" s="161">
        <v>17566</v>
      </c>
      <c r="G141" s="161">
        <v>20107</v>
      </c>
      <c r="H141" s="161">
        <v>20237</v>
      </c>
      <c r="I141" s="162">
        <f t="shared" si="19"/>
        <v>6.4654100561993832E-3</v>
      </c>
      <c r="J141" s="162">
        <f>H141/H137</f>
        <v>0.87382874908243013</v>
      </c>
    </row>
    <row r="142" spans="2:10" x14ac:dyDescent="0.25">
      <c r="B142" s="164" t="s">
        <v>112</v>
      </c>
      <c r="C142" s="165">
        <v>0</v>
      </c>
      <c r="D142" s="165">
        <v>90</v>
      </c>
      <c r="E142" s="165">
        <v>7353</v>
      </c>
      <c r="F142" s="165">
        <v>8301</v>
      </c>
      <c r="G142" s="165">
        <v>10338</v>
      </c>
      <c r="H142" s="165">
        <v>10224</v>
      </c>
      <c r="I142" s="166">
        <f t="shared" si="19"/>
        <v>-1.1027278003482244E-2</v>
      </c>
      <c r="J142" s="166">
        <f>H142/H137</f>
        <v>0.44146983893950514</v>
      </c>
    </row>
    <row r="143" spans="2:10" x14ac:dyDescent="0.25">
      <c r="B143" s="164" t="s">
        <v>115</v>
      </c>
      <c r="C143" s="165">
        <v>0</v>
      </c>
      <c r="D143" s="165">
        <v>231</v>
      </c>
      <c r="E143" s="165">
        <v>1321</v>
      </c>
      <c r="F143" s="165">
        <v>1398</v>
      </c>
      <c r="G143" s="165">
        <v>1391</v>
      </c>
      <c r="H143" s="165">
        <v>1601</v>
      </c>
      <c r="I143" s="166">
        <f t="shared" si="19"/>
        <v>0.15097052480230055</v>
      </c>
      <c r="J143" s="166">
        <f>H143/H137</f>
        <v>6.9130791484951853E-2</v>
      </c>
    </row>
    <row r="144" spans="2:10" x14ac:dyDescent="0.25">
      <c r="B144" s="164" t="s">
        <v>118</v>
      </c>
      <c r="C144" s="165">
        <v>0</v>
      </c>
      <c r="D144" s="165">
        <v>377</v>
      </c>
      <c r="E144" s="165">
        <v>1955</v>
      </c>
      <c r="F144" s="165">
        <v>1820</v>
      </c>
      <c r="G144" s="165">
        <v>1716</v>
      </c>
      <c r="H144" s="165">
        <v>1687</v>
      </c>
      <c r="I144" s="166">
        <f t="shared" si="19"/>
        <v>-1.689976689976691E-2</v>
      </c>
      <c r="J144" s="166">
        <f>H144/H137</f>
        <v>7.2844250615311537E-2</v>
      </c>
    </row>
    <row r="145" spans="2:10" x14ac:dyDescent="0.25">
      <c r="B145" s="164" t="s">
        <v>125</v>
      </c>
      <c r="C145" s="165">
        <v>0</v>
      </c>
      <c r="D145" s="165">
        <v>48</v>
      </c>
      <c r="E145" s="165">
        <v>664</v>
      </c>
      <c r="F145" s="165">
        <v>493</v>
      </c>
      <c r="G145" s="165">
        <v>432</v>
      </c>
      <c r="H145" s="165">
        <v>397</v>
      </c>
      <c r="I145" s="166">
        <f t="shared" si="19"/>
        <v>-8.101851851851849E-2</v>
      </c>
      <c r="J145" s="166">
        <f>H145/H137</f>
        <v>1.714236365991623E-2</v>
      </c>
    </row>
    <row r="146" spans="2:10" x14ac:dyDescent="0.25">
      <c r="B146" s="164" t="s">
        <v>121</v>
      </c>
      <c r="C146" s="165">
        <v>0</v>
      </c>
      <c r="D146" s="165">
        <v>86</v>
      </c>
      <c r="E146" s="165">
        <v>248</v>
      </c>
      <c r="F146" s="165">
        <v>365</v>
      </c>
      <c r="G146" s="165">
        <v>533</v>
      </c>
      <c r="H146" s="165">
        <v>304</v>
      </c>
      <c r="I146" s="166">
        <f t="shared" si="19"/>
        <v>-0.42964352720450283</v>
      </c>
      <c r="J146" s="166">
        <f>H146/H137</f>
        <v>1.3126646228248197E-2</v>
      </c>
    </row>
    <row r="147" spans="2:10" x14ac:dyDescent="0.25">
      <c r="B147" s="164" t="s">
        <v>130</v>
      </c>
      <c r="C147" s="165">
        <v>0</v>
      </c>
      <c r="D147" s="165">
        <v>2</v>
      </c>
      <c r="E147" s="165">
        <v>23</v>
      </c>
      <c r="F147" s="165">
        <v>2</v>
      </c>
      <c r="G147" s="165">
        <v>6</v>
      </c>
      <c r="H147" s="165">
        <v>23</v>
      </c>
      <c r="I147" s="166">
        <f t="shared" si="19"/>
        <v>2.8333333333333335</v>
      </c>
      <c r="J147" s="166">
        <f>H147/H137</f>
        <v>9.9313441858456752E-4</v>
      </c>
    </row>
    <row r="148" spans="2:10" x14ac:dyDescent="0.25">
      <c r="B148" s="164" t="s">
        <v>133</v>
      </c>
      <c r="C148" s="165">
        <v>0</v>
      </c>
      <c r="D148" s="165">
        <v>4</v>
      </c>
      <c r="E148" s="165">
        <v>12</v>
      </c>
      <c r="F148" s="165">
        <v>11</v>
      </c>
      <c r="G148" s="165">
        <v>5</v>
      </c>
      <c r="H148" s="165">
        <v>23</v>
      </c>
      <c r="I148" s="166">
        <f t="shared" si="19"/>
        <v>3.5999999999999996</v>
      </c>
      <c r="J148" s="166">
        <f>H148/H137</f>
        <v>9.9313441858456752E-4</v>
      </c>
    </row>
    <row r="149" spans="2:10" x14ac:dyDescent="0.25">
      <c r="B149" s="169" t="s">
        <v>147</v>
      </c>
      <c r="C149" s="170">
        <f t="shared" ref="C149:H149" si="20">C141-SUM(C142:C148)</f>
        <v>0</v>
      </c>
      <c r="D149" s="170">
        <f t="shared" si="20"/>
        <v>957</v>
      </c>
      <c r="E149" s="170">
        <f t="shared" si="20"/>
        <v>5329</v>
      </c>
      <c r="F149" s="170">
        <f t="shared" si="20"/>
        <v>5176</v>
      </c>
      <c r="G149" s="170">
        <f t="shared" si="20"/>
        <v>5686</v>
      </c>
      <c r="H149" s="170">
        <f t="shared" si="20"/>
        <v>5978</v>
      </c>
      <c r="I149" s="171">
        <f t="shared" si="19"/>
        <v>5.135420330636653E-2</v>
      </c>
      <c r="J149" s="171">
        <f>H149/H137</f>
        <v>0.25812858931732802</v>
      </c>
    </row>
    <row r="150" spans="2:10" x14ac:dyDescent="0.25">
      <c r="B150" s="156" t="s">
        <v>55</v>
      </c>
      <c r="C150" s="175"/>
      <c r="D150" s="175"/>
      <c r="E150" s="175"/>
      <c r="F150" s="175"/>
      <c r="G150" s="175"/>
      <c r="H150" s="175"/>
      <c r="I150" s="176"/>
      <c r="J150" s="176"/>
    </row>
    <row r="151" spans="2:10" x14ac:dyDescent="0.25">
      <c r="B151" s="157" t="s">
        <v>70</v>
      </c>
      <c r="C151" s="177">
        <v>0</v>
      </c>
      <c r="D151" s="177">
        <v>5282</v>
      </c>
      <c r="E151" s="177">
        <v>6967</v>
      </c>
      <c r="F151" s="177">
        <v>9485</v>
      </c>
      <c r="G151" s="177">
        <v>8136</v>
      </c>
      <c r="H151" s="177">
        <v>9355</v>
      </c>
      <c r="I151" s="178">
        <f t="shared" ref="I151:I163" si="21">IFERROR(H151/G151-1,"-")</f>
        <v>0.14982792527040312</v>
      </c>
      <c r="J151" s="178">
        <f>H151/H151</f>
        <v>1</v>
      </c>
    </row>
    <row r="152" spans="2:10" x14ac:dyDescent="0.25">
      <c r="B152" s="160" t="s">
        <v>99</v>
      </c>
      <c r="C152" s="161">
        <v>0</v>
      </c>
      <c r="D152" s="161">
        <v>3982</v>
      </c>
      <c r="E152" s="161">
        <v>3939</v>
      </c>
      <c r="F152" s="161">
        <v>6045</v>
      </c>
      <c r="G152" s="161">
        <v>4075</v>
      </c>
      <c r="H152" s="161">
        <v>5277</v>
      </c>
      <c r="I152" s="162">
        <f t="shared" si="21"/>
        <v>0.29496932515337426</v>
      </c>
      <c r="J152" s="162">
        <f>H152/H151</f>
        <v>0.56408337787279528</v>
      </c>
    </row>
    <row r="153" spans="2:10" x14ac:dyDescent="0.25">
      <c r="B153" s="164" t="s">
        <v>105</v>
      </c>
      <c r="C153" s="165">
        <v>0</v>
      </c>
      <c r="D153" s="165">
        <v>3297</v>
      </c>
      <c r="E153" s="165">
        <v>3038</v>
      </c>
      <c r="F153" s="165">
        <v>4073</v>
      </c>
      <c r="G153" s="165">
        <v>1863</v>
      </c>
      <c r="H153" s="165">
        <v>3011</v>
      </c>
      <c r="I153" s="166">
        <f t="shared" si="21"/>
        <v>0.61621041331186266</v>
      </c>
      <c r="J153" s="166">
        <f>H153/H151</f>
        <v>0.32185996793158739</v>
      </c>
    </row>
    <row r="154" spans="2:10" x14ac:dyDescent="0.25">
      <c r="B154" s="164" t="s">
        <v>102</v>
      </c>
      <c r="C154" s="165">
        <v>0</v>
      </c>
      <c r="D154" s="165">
        <v>685</v>
      </c>
      <c r="E154" s="165">
        <v>901</v>
      </c>
      <c r="F154" s="165">
        <v>1972</v>
      </c>
      <c r="G154" s="165">
        <v>2212</v>
      </c>
      <c r="H154" s="165">
        <v>2266</v>
      </c>
      <c r="I154" s="166">
        <f t="shared" si="21"/>
        <v>2.4412296564195302E-2</v>
      </c>
      <c r="J154" s="166">
        <f>H154/H151</f>
        <v>0.24222340994120792</v>
      </c>
    </row>
    <row r="155" spans="2:10" x14ac:dyDescent="0.25">
      <c r="B155" s="160" t="s">
        <v>109</v>
      </c>
      <c r="C155" s="161">
        <v>0</v>
      </c>
      <c r="D155" s="161">
        <v>1300</v>
      </c>
      <c r="E155" s="161">
        <v>3028</v>
      </c>
      <c r="F155" s="161">
        <v>3440</v>
      </c>
      <c r="G155" s="161">
        <v>4061</v>
      </c>
      <c r="H155" s="161">
        <v>4078</v>
      </c>
      <c r="I155" s="162">
        <f t="shared" si="21"/>
        <v>4.186161044077874E-3</v>
      </c>
      <c r="J155" s="162">
        <f>H155/H151</f>
        <v>0.43591662212720472</v>
      </c>
    </row>
    <row r="156" spans="2:10" x14ac:dyDescent="0.25">
      <c r="B156" s="164" t="s">
        <v>112</v>
      </c>
      <c r="C156" s="165">
        <v>0</v>
      </c>
      <c r="D156" s="165">
        <v>40</v>
      </c>
      <c r="E156" s="165">
        <v>1200</v>
      </c>
      <c r="F156" s="165">
        <v>1217</v>
      </c>
      <c r="G156" s="165">
        <v>1241</v>
      </c>
      <c r="H156" s="165">
        <v>1380</v>
      </c>
      <c r="I156" s="166">
        <f t="shared" si="21"/>
        <v>0.11200644641418211</v>
      </c>
      <c r="J156" s="166">
        <f>H156/H151</f>
        <v>0.14751469802244788</v>
      </c>
    </row>
    <row r="157" spans="2:10" x14ac:dyDescent="0.25">
      <c r="B157" s="164" t="s">
        <v>115</v>
      </c>
      <c r="C157" s="165">
        <v>0</v>
      </c>
      <c r="D157" s="165">
        <v>259</v>
      </c>
      <c r="E157" s="165">
        <v>694</v>
      </c>
      <c r="F157" s="165">
        <v>544</v>
      </c>
      <c r="G157" s="165">
        <v>526</v>
      </c>
      <c r="H157" s="165">
        <v>572</v>
      </c>
      <c r="I157" s="166">
        <f t="shared" si="21"/>
        <v>8.7452471482889704E-2</v>
      </c>
      <c r="J157" s="166">
        <f>H157/H151</f>
        <v>6.1143773383217533E-2</v>
      </c>
    </row>
    <row r="158" spans="2:10" x14ac:dyDescent="0.25">
      <c r="B158" s="164" t="s">
        <v>118</v>
      </c>
      <c r="C158" s="165">
        <v>0</v>
      </c>
      <c r="D158" s="165">
        <v>394</v>
      </c>
      <c r="E158" s="165">
        <v>283</v>
      </c>
      <c r="F158" s="165">
        <v>598</v>
      </c>
      <c r="G158" s="165">
        <v>847</v>
      </c>
      <c r="H158" s="165">
        <v>997</v>
      </c>
      <c r="I158" s="166">
        <f t="shared" si="21"/>
        <v>0.1770956316410861</v>
      </c>
      <c r="J158" s="166">
        <f>H158/H151</f>
        <v>0.10657402458578301</v>
      </c>
    </row>
    <row r="159" spans="2:10" x14ac:dyDescent="0.25">
      <c r="B159" s="164" t="s">
        <v>125</v>
      </c>
      <c r="C159" s="165">
        <v>0</v>
      </c>
      <c r="D159" s="165">
        <v>51</v>
      </c>
      <c r="E159" s="165">
        <v>93</v>
      </c>
      <c r="F159" s="165">
        <v>61</v>
      </c>
      <c r="G159" s="165">
        <v>158</v>
      </c>
      <c r="H159" s="165">
        <v>115</v>
      </c>
      <c r="I159" s="166">
        <f t="shared" si="21"/>
        <v>-0.27215189873417722</v>
      </c>
      <c r="J159" s="166">
        <f>H159/H151</f>
        <v>1.2292891501870658E-2</v>
      </c>
    </row>
    <row r="160" spans="2:10" x14ac:dyDescent="0.25">
      <c r="B160" s="164" t="s">
        <v>121</v>
      </c>
      <c r="C160" s="165">
        <v>0</v>
      </c>
      <c r="D160" s="165">
        <v>87</v>
      </c>
      <c r="E160" s="165">
        <v>211</v>
      </c>
      <c r="F160" s="165">
        <v>220</v>
      </c>
      <c r="G160" s="165">
        <v>173</v>
      </c>
      <c r="H160" s="165">
        <v>99</v>
      </c>
      <c r="I160" s="166">
        <f t="shared" si="21"/>
        <v>-0.4277456647398844</v>
      </c>
      <c r="J160" s="166">
        <f>H160/H151</f>
        <v>1.0582576162479958E-2</v>
      </c>
    </row>
    <row r="161" spans="2:10" x14ac:dyDescent="0.25">
      <c r="B161" s="164" t="s">
        <v>130</v>
      </c>
      <c r="C161" s="165">
        <v>0</v>
      </c>
      <c r="D161" s="165">
        <v>2</v>
      </c>
      <c r="E161" s="165">
        <v>5</v>
      </c>
      <c r="F161" s="165">
        <v>2</v>
      </c>
      <c r="G161" s="165">
        <v>2</v>
      </c>
      <c r="H161" s="165">
        <v>4</v>
      </c>
      <c r="I161" s="166">
        <f t="shared" si="21"/>
        <v>1</v>
      </c>
      <c r="J161" s="166">
        <f>H161/H151</f>
        <v>4.2757883484767506E-4</v>
      </c>
    </row>
    <row r="162" spans="2:10" x14ac:dyDescent="0.25">
      <c r="B162" s="164" t="s">
        <v>133</v>
      </c>
      <c r="C162" s="165">
        <v>0</v>
      </c>
      <c r="D162" s="165">
        <v>6</v>
      </c>
      <c r="E162" s="165">
        <v>14</v>
      </c>
      <c r="F162" s="165">
        <v>8</v>
      </c>
      <c r="G162" s="165">
        <v>3</v>
      </c>
      <c r="H162" s="165">
        <v>4</v>
      </c>
      <c r="I162" s="166">
        <f t="shared" si="21"/>
        <v>0.33333333333333326</v>
      </c>
      <c r="J162" s="166">
        <f>H162/H151</f>
        <v>4.2757883484767506E-4</v>
      </c>
    </row>
    <row r="163" spans="2:10" x14ac:dyDescent="0.25">
      <c r="B163" s="169" t="s">
        <v>147</v>
      </c>
      <c r="C163" s="170">
        <f t="shared" ref="C163:H163" si="22">C155-SUM(C156:C162)</f>
        <v>0</v>
      </c>
      <c r="D163" s="170">
        <f t="shared" si="22"/>
        <v>461</v>
      </c>
      <c r="E163" s="170">
        <f t="shared" si="22"/>
        <v>528</v>
      </c>
      <c r="F163" s="170">
        <f t="shared" si="22"/>
        <v>790</v>
      </c>
      <c r="G163" s="170">
        <f t="shared" si="22"/>
        <v>1111</v>
      </c>
      <c r="H163" s="170">
        <f t="shared" si="22"/>
        <v>907</v>
      </c>
      <c r="I163" s="171">
        <f t="shared" si="21"/>
        <v>-0.18361836183618363</v>
      </c>
      <c r="J163" s="171">
        <f>H163/H151</f>
        <v>9.6953500801710321E-2</v>
      </c>
    </row>
    <row r="164" spans="2:10" x14ac:dyDescent="0.25">
      <c r="C164" s="81"/>
      <c r="D164" s="81"/>
      <c r="E164" s="81"/>
      <c r="F164" s="81"/>
      <c r="G164" s="81"/>
      <c r="H164" s="81"/>
      <c r="I164" s="81"/>
    </row>
    <row r="165" spans="2:10" x14ac:dyDescent="0.25">
      <c r="B165" s="107" t="s">
        <v>57</v>
      </c>
      <c r="C165" s="107"/>
      <c r="D165" s="107"/>
      <c r="E165" s="107"/>
      <c r="F165" s="107"/>
      <c r="G165" s="107"/>
      <c r="H165" s="107"/>
      <c r="I165" s="107"/>
      <c r="J165" s="107"/>
    </row>
  </sheetData>
  <mergeCells count="3">
    <mergeCell ref="B6:J6"/>
    <mergeCell ref="M6:T6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137D-79DE-4CC4-8C1B-6B54BDDA4494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  <col min="16" max="25" width="11.42578125" hidden="1" customWidth="1"/>
  </cols>
  <sheetData>
    <row r="1" spans="1:25" ht="42.75" customHeight="1" x14ac:dyDescent="0.25"/>
    <row r="4" spans="1:25" ht="42" customHeight="1" thickBot="1" x14ac:dyDescent="0.3">
      <c r="B4" s="278" t="str">
        <f>CONCATENATE("Viajeros entrados en los establecimientos alojativos de Tenerife según lugar de residencia y municipio de alojamiento (hotel + apartamento)")</f>
        <v>Viajeros entrados en los establecimientos alojativos de Tenerife según lugar de residencia y municipio de alojamiento (hotel + apartamento)</v>
      </c>
      <c r="C4" s="278"/>
      <c r="D4" s="278"/>
      <c r="E4" s="278"/>
      <c r="F4" s="278"/>
      <c r="G4" s="278"/>
      <c r="H4" s="278"/>
      <c r="I4" s="278"/>
      <c r="J4" s="278"/>
      <c r="K4" s="145"/>
      <c r="L4" s="145"/>
      <c r="M4" s="145"/>
      <c r="P4" s="144" t="s">
        <v>259</v>
      </c>
      <c r="Q4" s="145"/>
      <c r="R4" s="145"/>
      <c r="S4" s="145"/>
      <c r="T4" s="145"/>
      <c r="U4" s="145"/>
      <c r="V4" s="145"/>
      <c r="W4" s="145"/>
      <c r="X4" s="145"/>
      <c r="Y4" s="145"/>
    </row>
    <row r="5" spans="1:25" ht="6" customHeight="1" x14ac:dyDescent="0.25"/>
    <row r="6" spans="1:25" ht="15.75" x14ac:dyDescent="0.25">
      <c r="B6" s="146"/>
      <c r="C6" s="311" t="s">
        <v>45</v>
      </c>
      <c r="D6" s="312"/>
      <c r="E6" s="312"/>
      <c r="F6" s="312"/>
      <c r="G6" s="312"/>
      <c r="H6" s="312"/>
      <c r="I6" s="312"/>
      <c r="J6" s="312"/>
      <c r="K6" s="312"/>
      <c r="L6" s="312"/>
      <c r="M6" s="312"/>
      <c r="P6" s="146"/>
      <c r="Q6" s="311" t="s">
        <v>45</v>
      </c>
      <c r="R6" s="312"/>
      <c r="S6" s="312"/>
      <c r="T6" s="312"/>
      <c r="U6" s="312"/>
      <c r="V6" s="312"/>
      <c r="W6" s="312"/>
      <c r="X6" s="312"/>
      <c r="Y6" s="312"/>
    </row>
    <row r="7" spans="1:25" s="147" customFormat="1" ht="72" customHeight="1" x14ac:dyDescent="0.25">
      <c r="B7" s="148"/>
      <c r="C7" s="173" t="s">
        <v>260</v>
      </c>
      <c r="D7" s="173" t="s">
        <v>261</v>
      </c>
      <c r="E7" s="173" t="s">
        <v>262</v>
      </c>
      <c r="F7" s="173" t="s">
        <v>263</v>
      </c>
      <c r="G7" s="173" t="s">
        <v>264</v>
      </c>
      <c r="H7" s="173" t="s">
        <v>265</v>
      </c>
      <c r="I7" s="174" t="str">
        <f>CONCATENATE("var. ",RIGHT(H7,2),"/",RIGHT(G7,2))</f>
        <v>var. 25/24</v>
      </c>
      <c r="J7" s="174" t="str">
        <f>CONCATENATE("var. ",RIGHT(H7,2),"/",RIGHT(D7,2))</f>
        <v>var. 25/21</v>
      </c>
      <c r="K7" s="173" t="str">
        <f>CONCATENATE("dif. ",RIGHT(H7,2),"/",RIGHT(G7,2))</f>
        <v>dif. 25/24</v>
      </c>
      <c r="L7" s="173" t="str">
        <f>CONCATENATE("dif. ",RIGHT(H7,2),"/",RIGHT(D7,2))</f>
        <v>dif. 25/21</v>
      </c>
      <c r="M7" s="174" t="str">
        <f>CONCATENATE("Cuota s/ total lugares de residencia ",RIGHT(H7,4))</f>
        <v>Cuota s/ total lugares de residencia 2025</v>
      </c>
      <c r="P7" s="148"/>
      <c r="Q7" s="173" t="s">
        <v>260</v>
      </c>
      <c r="R7" s="173" t="s">
        <v>261</v>
      </c>
      <c r="S7" s="173" t="s">
        <v>262</v>
      </c>
      <c r="T7" s="173" t="s">
        <v>263</v>
      </c>
      <c r="U7" s="173" t="s">
        <v>264</v>
      </c>
      <c r="V7" s="173" t="s">
        <v>265</v>
      </c>
      <c r="W7" s="174" t="str">
        <f>CONCATENATE("var. ",RIGHT(V7,2),"/",RIGHT(U7,2))</f>
        <v>var. 25/24</v>
      </c>
      <c r="X7" s="173" t="str">
        <f>CONCATENATE("dif. ",RIGHT(V7,2),"/",RIGHT(U7,2))</f>
        <v>dif. 25/24</v>
      </c>
      <c r="Y7" s="174" t="str">
        <f>CONCATENATE("Cuota s/ total lugares de residencia ",RIGHT(V7,4))</f>
        <v>Cuota s/ total lugares de residencia 2025</v>
      </c>
    </row>
    <row r="8" spans="1:25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5"/>
      <c r="L8" s="154"/>
      <c r="M8" s="154"/>
      <c r="P8" s="156" t="s">
        <v>51</v>
      </c>
      <c r="Q8" s="154"/>
      <c r="R8" s="154"/>
      <c r="S8" s="154"/>
      <c r="T8" s="154"/>
      <c r="U8" s="154"/>
      <c r="V8" s="155"/>
      <c r="W8" s="155"/>
      <c r="X8" s="155"/>
      <c r="Y8" s="154"/>
    </row>
    <row r="9" spans="1:25" x14ac:dyDescent="0.25">
      <c r="A9" s="1" t="s">
        <v>98</v>
      </c>
      <c r="B9" s="157" t="s">
        <v>70</v>
      </c>
      <c r="C9" s="177">
        <v>953043</v>
      </c>
      <c r="D9" s="177">
        <v>520786</v>
      </c>
      <c r="E9" s="177">
        <v>2203401</v>
      </c>
      <c r="F9" s="177">
        <v>2523398</v>
      </c>
      <c r="G9" s="177">
        <v>2685619</v>
      </c>
      <c r="H9" s="177">
        <v>2666692</v>
      </c>
      <c r="I9" s="178">
        <f>IFERROR(H9/G9-1,"-")</f>
        <v>-7.0475372716680695E-3</v>
      </c>
      <c r="J9" s="178">
        <f>IFERROR(H9/D9-1,"-")</f>
        <v>4.1205139923116212</v>
      </c>
      <c r="K9" s="177">
        <f>H9-G9</f>
        <v>-18927</v>
      </c>
      <c r="L9" s="177">
        <f>H9-D9</f>
        <v>2145906</v>
      </c>
      <c r="M9" s="178">
        <f t="shared" ref="M9:M21" si="0">H9/H$9</f>
        <v>1</v>
      </c>
      <c r="P9" s="157" t="s">
        <v>70</v>
      </c>
      <c r="Q9" s="177">
        <v>12754</v>
      </c>
      <c r="R9" s="177">
        <v>11802</v>
      </c>
      <c r="S9" s="177">
        <v>24671</v>
      </c>
      <c r="T9" s="177">
        <v>30683</v>
      </c>
      <c r="U9" s="177">
        <v>29198</v>
      </c>
      <c r="V9" s="177">
        <v>28272</v>
      </c>
      <c r="W9" s="178">
        <f>IFERROR(V9/U9-1,"-")</f>
        <v>-3.1714500993218708E-2</v>
      </c>
      <c r="X9" s="177">
        <f>V9-U9</f>
        <v>-926</v>
      </c>
      <c r="Y9" s="178">
        <f t="shared" ref="Y9:Y21" si="1">V9/V$9</f>
        <v>1</v>
      </c>
    </row>
    <row r="10" spans="1:25" x14ac:dyDescent="0.25">
      <c r="A10" s="163" t="s">
        <v>105</v>
      </c>
      <c r="B10" s="160" t="s">
        <v>99</v>
      </c>
      <c r="C10" s="161">
        <v>144600</v>
      </c>
      <c r="D10" s="161">
        <v>273158</v>
      </c>
      <c r="E10" s="161">
        <v>447228</v>
      </c>
      <c r="F10" s="161">
        <v>487504</v>
      </c>
      <c r="G10" s="161">
        <v>481191</v>
      </c>
      <c r="H10" s="161">
        <v>480637</v>
      </c>
      <c r="I10" s="179">
        <f>IFERROR(H10/G10-1,"-")</f>
        <v>-1.1513099787817671E-3</v>
      </c>
      <c r="J10" s="162">
        <f t="shared" ref="J10:J21" si="2">IFERROR(H10/D10-1,"-")</f>
        <v>0.75955674005520613</v>
      </c>
      <c r="K10" s="161">
        <f t="shared" ref="K10:K20" si="3">H10-G10</f>
        <v>-554</v>
      </c>
      <c r="L10" s="161">
        <f t="shared" ref="L10:L21" si="4">H10-D10</f>
        <v>207479</v>
      </c>
      <c r="M10" s="162">
        <f t="shared" si="0"/>
        <v>0.18023716274695389</v>
      </c>
      <c r="P10" s="160" t="s">
        <v>99</v>
      </c>
      <c r="Q10" s="161">
        <v>7454</v>
      </c>
      <c r="R10" s="161">
        <v>7418</v>
      </c>
      <c r="S10" s="161">
        <v>15383</v>
      </c>
      <c r="T10" s="161">
        <v>19920</v>
      </c>
      <c r="U10" s="161">
        <v>16896</v>
      </c>
      <c r="V10" s="161">
        <v>16644</v>
      </c>
      <c r="W10" s="179">
        <f>IFERROR(V10/U10-1,"-")</f>
        <v>-1.4914772727272707E-2</v>
      </c>
      <c r="X10" s="160">
        <f t="shared" ref="X10:X20" si="5">V10-U10</f>
        <v>-252</v>
      </c>
      <c r="Y10" s="162">
        <f t="shared" si="1"/>
        <v>0.58870967741935487</v>
      </c>
    </row>
    <row r="11" spans="1:25" x14ac:dyDescent="0.25">
      <c r="A11" s="163" t="s">
        <v>102</v>
      </c>
      <c r="B11" s="164" t="s">
        <v>105</v>
      </c>
      <c r="C11" s="165">
        <v>53747</v>
      </c>
      <c r="D11" s="165">
        <v>178327</v>
      </c>
      <c r="E11" s="165">
        <v>188636</v>
      </c>
      <c r="F11" s="165">
        <v>198523</v>
      </c>
      <c r="G11" s="165">
        <v>188788</v>
      </c>
      <c r="H11" s="165">
        <v>176794</v>
      </c>
      <c r="I11" s="180">
        <f>IFERROR(H11/G11-1,"-")</f>
        <v>-6.3531580397059084E-2</v>
      </c>
      <c r="J11" s="166">
        <f t="shared" si="2"/>
        <v>-8.5965669808834022E-3</v>
      </c>
      <c r="K11" s="165">
        <f t="shared" si="3"/>
        <v>-11994</v>
      </c>
      <c r="L11" s="165">
        <f t="shared" si="4"/>
        <v>-1533</v>
      </c>
      <c r="M11" s="166">
        <f t="shared" si="0"/>
        <v>6.629712017735831E-2</v>
      </c>
      <c r="P11" s="164" t="s">
        <v>105</v>
      </c>
      <c r="Q11" s="165">
        <v>4239</v>
      </c>
      <c r="R11" s="165">
        <v>4253</v>
      </c>
      <c r="S11" s="165">
        <v>7500</v>
      </c>
      <c r="T11" s="165">
        <v>5955</v>
      </c>
      <c r="U11" s="165">
        <v>4664</v>
      </c>
      <c r="V11" s="165">
        <v>5394</v>
      </c>
      <c r="W11" s="180">
        <f>IFERROR(V11/U11-1,"-")</f>
        <v>0.15651801029159529</v>
      </c>
      <c r="X11" s="164">
        <f t="shared" si="5"/>
        <v>730</v>
      </c>
      <c r="Y11" s="166">
        <f>V11/V$9</f>
        <v>0.19078947368421054</v>
      </c>
    </row>
    <row r="12" spans="1:25" x14ac:dyDescent="0.25">
      <c r="A12" s="1"/>
      <c r="B12" s="164" t="s">
        <v>102</v>
      </c>
      <c r="C12" s="165">
        <v>90853</v>
      </c>
      <c r="D12" s="165">
        <v>94831</v>
      </c>
      <c r="E12" s="165">
        <v>258592</v>
      </c>
      <c r="F12" s="165">
        <v>288981</v>
      </c>
      <c r="G12" s="165">
        <v>292403</v>
      </c>
      <c r="H12" s="165">
        <v>303843</v>
      </c>
      <c r="I12" s="180">
        <f>IFERROR(H12/G12-1,"-")</f>
        <v>3.9124085594197E-2</v>
      </c>
      <c r="J12" s="166">
        <f t="shared" si="2"/>
        <v>2.2040471997553541</v>
      </c>
      <c r="K12" s="165">
        <f t="shared" si="3"/>
        <v>11440</v>
      </c>
      <c r="L12" s="165">
        <f t="shared" si="4"/>
        <v>209012</v>
      </c>
      <c r="M12" s="166">
        <f t="shared" si="0"/>
        <v>0.11394004256959558</v>
      </c>
      <c r="P12" s="164" t="s">
        <v>102</v>
      </c>
      <c r="Q12" s="165">
        <v>3215</v>
      </c>
      <c r="R12" s="165">
        <v>3165</v>
      </c>
      <c r="S12" s="165">
        <v>7883</v>
      </c>
      <c r="T12" s="165">
        <v>13965</v>
      </c>
      <c r="U12" s="165">
        <v>12232</v>
      </c>
      <c r="V12" s="165">
        <v>11250</v>
      </c>
      <c r="W12" s="180">
        <f>IFERROR(V12/U12-1,"-")</f>
        <v>-8.0281229561805056E-2</v>
      </c>
      <c r="X12" s="164">
        <f t="shared" si="5"/>
        <v>-982</v>
      </c>
      <c r="Y12" s="166">
        <f t="shared" si="1"/>
        <v>0.39792020373514431</v>
      </c>
    </row>
    <row r="13" spans="1:25" s="57" customFormat="1" x14ac:dyDescent="0.25">
      <c r="B13" s="160" t="s">
        <v>109</v>
      </c>
      <c r="C13" s="161">
        <v>808443</v>
      </c>
      <c r="D13" s="161">
        <v>247628</v>
      </c>
      <c r="E13" s="161">
        <v>1756173</v>
      </c>
      <c r="F13" s="161">
        <v>2035894</v>
      </c>
      <c r="G13" s="161">
        <v>2204428</v>
      </c>
      <c r="H13" s="161">
        <v>2186055</v>
      </c>
      <c r="I13" s="179">
        <f>IFERROR(H13/G13-1,"-")</f>
        <v>-8.3345883830181489E-3</v>
      </c>
      <c r="J13" s="162">
        <f t="shared" si="2"/>
        <v>7.8279798730353587</v>
      </c>
      <c r="K13" s="161">
        <f t="shared" si="3"/>
        <v>-18373</v>
      </c>
      <c r="L13" s="161">
        <f t="shared" si="4"/>
        <v>1938427</v>
      </c>
      <c r="M13" s="162">
        <f t="shared" si="0"/>
        <v>0.81976283725304611</v>
      </c>
      <c r="P13" s="160" t="s">
        <v>109</v>
      </c>
      <c r="Q13" s="161">
        <v>5300</v>
      </c>
      <c r="R13" s="161">
        <v>4384</v>
      </c>
      <c r="S13" s="161">
        <v>9288</v>
      </c>
      <c r="T13" s="161">
        <v>10763</v>
      </c>
      <c r="U13" s="161">
        <v>12302</v>
      </c>
      <c r="V13" s="161">
        <v>11628</v>
      </c>
      <c r="W13" s="179">
        <f>IFERROR(V13/U13-1,"-")</f>
        <v>-5.47878393757113E-2</v>
      </c>
      <c r="X13" s="160">
        <f t="shared" si="5"/>
        <v>-674</v>
      </c>
      <c r="Y13" s="162">
        <f t="shared" si="1"/>
        <v>0.41129032258064518</v>
      </c>
    </row>
    <row r="14" spans="1:25" s="57" customFormat="1" x14ac:dyDescent="0.25">
      <c r="B14" s="164" t="s">
        <v>112</v>
      </c>
      <c r="C14" s="165">
        <v>328596</v>
      </c>
      <c r="D14" s="165">
        <v>13901</v>
      </c>
      <c r="E14" s="165">
        <v>777169</v>
      </c>
      <c r="F14" s="165">
        <v>923966</v>
      </c>
      <c r="G14" s="165">
        <v>1011957</v>
      </c>
      <c r="H14" s="165">
        <v>1011754</v>
      </c>
      <c r="I14" s="180">
        <f t="shared" ref="I14:I21" si="6">IFERROR(H14/G14-1,"-")</f>
        <v>-2.0060140895317158E-4</v>
      </c>
      <c r="J14" s="166">
        <f t="shared" si="2"/>
        <v>71.782821379756854</v>
      </c>
      <c r="K14" s="165">
        <f t="shared" si="3"/>
        <v>-203</v>
      </c>
      <c r="L14" s="165">
        <f t="shared" si="4"/>
        <v>997853</v>
      </c>
      <c r="M14" s="166">
        <f t="shared" si="0"/>
        <v>0.3794041456606162</v>
      </c>
      <c r="P14" s="164" t="s">
        <v>112</v>
      </c>
      <c r="Q14" s="165">
        <v>994</v>
      </c>
      <c r="R14" s="165">
        <v>145</v>
      </c>
      <c r="S14" s="165">
        <v>1307</v>
      </c>
      <c r="T14" s="165">
        <v>1561</v>
      </c>
      <c r="U14" s="165">
        <v>1845</v>
      </c>
      <c r="V14" s="165">
        <v>1552</v>
      </c>
      <c r="W14" s="180">
        <f t="shared" ref="W14:W21" si="7">IFERROR(V14/U14-1,"-")</f>
        <v>-0.1588075880758808</v>
      </c>
      <c r="X14" s="164">
        <f t="shared" si="5"/>
        <v>-293</v>
      </c>
      <c r="Y14" s="166">
        <f t="shared" si="1"/>
        <v>5.4895302773061684E-2</v>
      </c>
    </row>
    <row r="15" spans="1:25" x14ac:dyDescent="0.25">
      <c r="A15" s="1"/>
      <c r="B15" s="164" t="s">
        <v>115</v>
      </c>
      <c r="C15" s="165">
        <v>101980</v>
      </c>
      <c r="D15" s="165">
        <v>37362</v>
      </c>
      <c r="E15" s="165">
        <v>184689</v>
      </c>
      <c r="F15" s="165">
        <v>216766</v>
      </c>
      <c r="G15" s="165">
        <v>229323</v>
      </c>
      <c r="H15" s="165">
        <v>223453</v>
      </c>
      <c r="I15" s="180">
        <f t="shared" si="6"/>
        <v>-2.5597083589522174E-2</v>
      </c>
      <c r="J15" s="166">
        <f t="shared" si="2"/>
        <v>4.9807558481879983</v>
      </c>
      <c r="K15" s="165">
        <f t="shared" si="3"/>
        <v>-5870</v>
      </c>
      <c r="L15" s="165">
        <f t="shared" si="4"/>
        <v>186091</v>
      </c>
      <c r="M15" s="166">
        <f t="shared" si="0"/>
        <v>8.3794078956249921E-2</v>
      </c>
      <c r="P15" s="164" t="s">
        <v>115</v>
      </c>
      <c r="Q15" s="165">
        <v>1071</v>
      </c>
      <c r="R15" s="165">
        <v>659</v>
      </c>
      <c r="S15" s="165">
        <v>1843</v>
      </c>
      <c r="T15" s="165">
        <v>2024</v>
      </c>
      <c r="U15" s="165">
        <v>2489</v>
      </c>
      <c r="V15" s="165">
        <v>2173</v>
      </c>
      <c r="W15" s="180">
        <f t="shared" si="7"/>
        <v>-0.12695861791884289</v>
      </c>
      <c r="X15" s="164">
        <f t="shared" si="5"/>
        <v>-316</v>
      </c>
      <c r="Y15" s="166">
        <f t="shared" si="1"/>
        <v>7.6860498019241649E-2</v>
      </c>
    </row>
    <row r="16" spans="1:25" x14ac:dyDescent="0.25">
      <c r="A16" s="1"/>
      <c r="B16" s="164" t="s">
        <v>118</v>
      </c>
      <c r="C16" s="165">
        <v>37379</v>
      </c>
      <c r="D16" s="165">
        <v>43794</v>
      </c>
      <c r="E16" s="165">
        <v>95149</v>
      </c>
      <c r="F16" s="165">
        <v>110039</v>
      </c>
      <c r="G16" s="165">
        <v>118072</v>
      </c>
      <c r="H16" s="165">
        <v>110967</v>
      </c>
      <c r="I16" s="180">
        <f t="shared" si="6"/>
        <v>-6.0175147367707793E-2</v>
      </c>
      <c r="J16" s="166">
        <f t="shared" si="2"/>
        <v>1.5338402520893273</v>
      </c>
      <c r="K16" s="165">
        <f t="shared" si="3"/>
        <v>-7105</v>
      </c>
      <c r="L16" s="165">
        <f t="shared" si="4"/>
        <v>67173</v>
      </c>
      <c r="M16" s="166">
        <f t="shared" si="0"/>
        <v>4.1612229683818003E-2</v>
      </c>
      <c r="P16" s="164" t="s">
        <v>118</v>
      </c>
      <c r="Q16" s="165">
        <v>1161</v>
      </c>
      <c r="R16" s="165">
        <v>1852</v>
      </c>
      <c r="S16" s="165">
        <v>1779</v>
      </c>
      <c r="T16" s="165">
        <v>2117</v>
      </c>
      <c r="U16" s="165">
        <v>2082</v>
      </c>
      <c r="V16" s="165">
        <v>2030</v>
      </c>
      <c r="W16" s="180">
        <f t="shared" si="7"/>
        <v>-2.4975984630163262E-2</v>
      </c>
      <c r="X16" s="164">
        <f t="shared" si="5"/>
        <v>-52</v>
      </c>
      <c r="Y16" s="166">
        <f t="shared" si="1"/>
        <v>7.180249009620826E-2</v>
      </c>
    </row>
    <row r="17" spans="1:25" x14ac:dyDescent="0.25">
      <c r="A17" s="1"/>
      <c r="B17" s="164" t="s">
        <v>125</v>
      </c>
      <c r="C17" s="165">
        <v>27598</v>
      </c>
      <c r="D17" s="165">
        <v>9764</v>
      </c>
      <c r="E17" s="165">
        <v>87311</v>
      </c>
      <c r="F17" s="165">
        <v>76308</v>
      </c>
      <c r="G17" s="165">
        <v>83930</v>
      </c>
      <c r="H17" s="165">
        <v>76694</v>
      </c>
      <c r="I17" s="180">
        <f t="shared" si="6"/>
        <v>-8.621470272846421E-2</v>
      </c>
      <c r="J17" s="166">
        <f t="shared" si="2"/>
        <v>6.8547726341663253</v>
      </c>
      <c r="K17" s="165">
        <f t="shared" si="3"/>
        <v>-7236</v>
      </c>
      <c r="L17" s="165">
        <f t="shared" si="4"/>
        <v>66930</v>
      </c>
      <c r="M17" s="166">
        <f t="shared" si="0"/>
        <v>2.8759976780220589E-2</v>
      </c>
      <c r="P17" s="164" t="s">
        <v>125</v>
      </c>
      <c r="Q17" s="165">
        <v>265</v>
      </c>
      <c r="R17" s="165">
        <v>84</v>
      </c>
      <c r="S17" s="165">
        <v>672</v>
      </c>
      <c r="T17" s="165">
        <v>531</v>
      </c>
      <c r="U17" s="165">
        <v>598</v>
      </c>
      <c r="V17" s="165">
        <v>576</v>
      </c>
      <c r="W17" s="180">
        <f t="shared" si="7"/>
        <v>-3.6789297658862852E-2</v>
      </c>
      <c r="X17" s="164">
        <f t="shared" si="5"/>
        <v>-22</v>
      </c>
      <c r="Y17" s="166">
        <f t="shared" si="1"/>
        <v>2.037351443123939E-2</v>
      </c>
    </row>
    <row r="18" spans="1:25" x14ac:dyDescent="0.25">
      <c r="A18" s="1"/>
      <c r="B18" s="164" t="s">
        <v>121</v>
      </c>
      <c r="C18" s="165">
        <v>29529</v>
      </c>
      <c r="D18" s="165">
        <v>13306</v>
      </c>
      <c r="E18" s="165">
        <v>71159</v>
      </c>
      <c r="F18" s="165">
        <v>70191</v>
      </c>
      <c r="G18" s="165">
        <v>75941</v>
      </c>
      <c r="H18" s="165">
        <v>69339</v>
      </c>
      <c r="I18" s="180">
        <f t="shared" si="6"/>
        <v>-8.69359107728368E-2</v>
      </c>
      <c r="J18" s="166">
        <f t="shared" si="2"/>
        <v>4.2111077709304077</v>
      </c>
      <c r="K18" s="165">
        <f t="shared" si="3"/>
        <v>-6602</v>
      </c>
      <c r="L18" s="165">
        <f t="shared" si="4"/>
        <v>56033</v>
      </c>
      <c r="M18" s="166">
        <f t="shared" si="0"/>
        <v>2.600187798215917E-2</v>
      </c>
      <c r="P18" s="164" t="s">
        <v>121</v>
      </c>
      <c r="Q18" s="165">
        <v>132</v>
      </c>
      <c r="R18" s="165">
        <v>154</v>
      </c>
      <c r="S18" s="165">
        <v>373</v>
      </c>
      <c r="T18" s="165">
        <v>293</v>
      </c>
      <c r="U18" s="165">
        <v>514</v>
      </c>
      <c r="V18" s="165">
        <v>484</v>
      </c>
      <c r="W18" s="180">
        <f t="shared" si="7"/>
        <v>-5.8365758754863828E-2</v>
      </c>
      <c r="X18" s="164">
        <f t="shared" si="5"/>
        <v>-30</v>
      </c>
      <c r="Y18" s="166">
        <f t="shared" si="1"/>
        <v>1.7119411431805318E-2</v>
      </c>
    </row>
    <row r="19" spans="1:25" x14ac:dyDescent="0.25">
      <c r="A19" s="163" t="s">
        <v>146</v>
      </c>
      <c r="B19" s="164" t="s">
        <v>130</v>
      </c>
      <c r="C19" s="165">
        <v>28346</v>
      </c>
      <c r="D19" s="165">
        <v>804</v>
      </c>
      <c r="E19" s="165">
        <v>32955</v>
      </c>
      <c r="F19" s="165">
        <v>42447</v>
      </c>
      <c r="G19" s="165">
        <v>37444</v>
      </c>
      <c r="H19" s="165">
        <v>36595</v>
      </c>
      <c r="I19" s="180">
        <f t="shared" si="6"/>
        <v>-2.2673859630381377E-2</v>
      </c>
      <c r="J19" s="166">
        <f t="shared" si="2"/>
        <v>44.516169154228855</v>
      </c>
      <c r="K19" s="165">
        <f t="shared" si="3"/>
        <v>-849</v>
      </c>
      <c r="L19" s="165">
        <f t="shared" si="4"/>
        <v>35791</v>
      </c>
      <c r="M19" s="166">
        <f t="shared" si="0"/>
        <v>1.3722994631551E-2</v>
      </c>
      <c r="P19" s="164" t="s">
        <v>130</v>
      </c>
      <c r="Q19" s="165">
        <v>112</v>
      </c>
      <c r="R19" s="165">
        <v>17</v>
      </c>
      <c r="S19" s="165">
        <v>182</v>
      </c>
      <c r="T19" s="165">
        <v>87</v>
      </c>
      <c r="U19" s="165">
        <v>151</v>
      </c>
      <c r="V19" s="165">
        <v>128</v>
      </c>
      <c r="W19" s="180">
        <f t="shared" si="7"/>
        <v>-0.15231788079470199</v>
      </c>
      <c r="X19" s="164">
        <f t="shared" si="5"/>
        <v>-23</v>
      </c>
      <c r="Y19" s="166">
        <f t="shared" si="1"/>
        <v>4.5274476513865311E-3</v>
      </c>
    </row>
    <row r="20" spans="1:25" x14ac:dyDescent="0.25">
      <c r="A20" s="168" t="s">
        <v>147</v>
      </c>
      <c r="B20" s="164" t="s">
        <v>133</v>
      </c>
      <c r="C20" s="165">
        <v>40125</v>
      </c>
      <c r="D20" s="165">
        <v>2595</v>
      </c>
      <c r="E20" s="165">
        <v>26073</v>
      </c>
      <c r="F20" s="165">
        <v>38768</v>
      </c>
      <c r="G20" s="165">
        <v>40388</v>
      </c>
      <c r="H20" s="165">
        <v>32298</v>
      </c>
      <c r="I20" s="180">
        <f t="shared" si="6"/>
        <v>-0.20030702188768945</v>
      </c>
      <c r="J20" s="166">
        <f t="shared" si="2"/>
        <v>11.446242774566475</v>
      </c>
      <c r="K20" s="165">
        <f t="shared" si="3"/>
        <v>-8090</v>
      </c>
      <c r="L20" s="165">
        <f t="shared" si="4"/>
        <v>29703</v>
      </c>
      <c r="M20" s="166">
        <f t="shared" si="0"/>
        <v>1.2111634939468076E-2</v>
      </c>
      <c r="P20" s="164" t="s">
        <v>133</v>
      </c>
      <c r="Q20" s="165">
        <v>61</v>
      </c>
      <c r="R20" s="165">
        <v>42</v>
      </c>
      <c r="S20" s="165">
        <v>99</v>
      </c>
      <c r="T20" s="165">
        <v>155</v>
      </c>
      <c r="U20" s="165">
        <v>265</v>
      </c>
      <c r="V20" s="165">
        <v>143</v>
      </c>
      <c r="W20" s="180">
        <f t="shared" si="7"/>
        <v>-0.46037735849056605</v>
      </c>
      <c r="X20" s="164">
        <f t="shared" si="5"/>
        <v>-122</v>
      </c>
      <c r="Y20" s="166">
        <f t="shared" si="1"/>
        <v>5.05800792303339E-3</v>
      </c>
    </row>
    <row r="21" spans="1:25" x14ac:dyDescent="0.25">
      <c r="B21" s="169" t="s">
        <v>147</v>
      </c>
      <c r="C21" s="170">
        <f t="shared" ref="C21" si="8">C13-SUM(C14:C20)</f>
        <v>214890</v>
      </c>
      <c r="D21" s="170">
        <f t="shared" ref="D21:E21" si="9">D13-SUM(D14:D20)</f>
        <v>126102</v>
      </c>
      <c r="E21" s="170">
        <f t="shared" si="9"/>
        <v>481668</v>
      </c>
      <c r="F21" s="170">
        <f t="shared" ref="F21:H21" si="10">F13-SUM(F14:F20)</f>
        <v>557409</v>
      </c>
      <c r="G21" s="170">
        <f t="shared" si="10"/>
        <v>607373</v>
      </c>
      <c r="H21" s="170">
        <f t="shared" si="10"/>
        <v>624955</v>
      </c>
      <c r="I21" s="181">
        <f t="shared" si="6"/>
        <v>2.8947615386261782E-2</v>
      </c>
      <c r="J21" s="171">
        <f t="shared" si="2"/>
        <v>3.9559483592647222</v>
      </c>
      <c r="K21" s="170">
        <f>H21-G21</f>
        <v>17582</v>
      </c>
      <c r="L21" s="170">
        <f t="shared" si="4"/>
        <v>498853</v>
      </c>
      <c r="M21" s="171">
        <f t="shared" si="0"/>
        <v>0.23435589861896311</v>
      </c>
      <c r="P21" s="169" t="s">
        <v>147</v>
      </c>
      <c r="Q21" s="170">
        <f t="shared" ref="Q21:V21" si="11">Q13-SUM(Q14:Q20)</f>
        <v>1504</v>
      </c>
      <c r="R21" s="170">
        <f t="shared" si="11"/>
        <v>1431</v>
      </c>
      <c r="S21" s="170">
        <f t="shared" si="11"/>
        <v>3033</v>
      </c>
      <c r="T21" s="170">
        <f t="shared" si="11"/>
        <v>3995</v>
      </c>
      <c r="U21" s="170">
        <f t="shared" si="11"/>
        <v>4358</v>
      </c>
      <c r="V21" s="170">
        <f t="shared" si="11"/>
        <v>4542</v>
      </c>
      <c r="W21" s="181">
        <f t="shared" si="7"/>
        <v>4.222120238641569E-2</v>
      </c>
      <c r="X21" s="169">
        <f>V21-U21</f>
        <v>184</v>
      </c>
      <c r="Y21" s="171">
        <f t="shared" si="1"/>
        <v>0.16065365025466893</v>
      </c>
    </row>
    <row r="22" spans="1:25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5"/>
      <c r="L22" s="154"/>
      <c r="M22" s="154"/>
    </row>
    <row r="23" spans="1:25" x14ac:dyDescent="0.25">
      <c r="B23" s="157" t="s">
        <v>70</v>
      </c>
      <c r="C23" s="177">
        <v>344170</v>
      </c>
      <c r="D23" s="177">
        <v>187853</v>
      </c>
      <c r="E23" s="177">
        <v>828210</v>
      </c>
      <c r="F23" s="177">
        <v>916045</v>
      </c>
      <c r="G23" s="177">
        <v>958917</v>
      </c>
      <c r="H23" s="177">
        <v>917365</v>
      </c>
      <c r="I23" s="178">
        <f>IFERROR(H23/G23-1,"-")</f>
        <v>-4.3332217491190539E-2</v>
      </c>
      <c r="J23" s="178">
        <f>IFERROR(H23/D23-1,"-")</f>
        <v>3.8834194822547419</v>
      </c>
      <c r="K23" s="177">
        <f>H23-G23</f>
        <v>-41552</v>
      </c>
      <c r="L23" s="177">
        <f>H23-D23</f>
        <v>729512</v>
      </c>
      <c r="M23" s="178">
        <f t="shared" ref="M23:M35" si="12">H23/H$9</f>
        <v>0.34400860691823426</v>
      </c>
    </row>
    <row r="24" spans="1:25" x14ac:dyDescent="0.25">
      <c r="B24" s="160" t="s">
        <v>99</v>
      </c>
      <c r="C24" s="161">
        <v>20277</v>
      </c>
      <c r="D24" s="161">
        <v>95817</v>
      </c>
      <c r="E24" s="161">
        <v>88551</v>
      </c>
      <c r="F24" s="161">
        <v>80662</v>
      </c>
      <c r="G24" s="161">
        <v>69210</v>
      </c>
      <c r="H24" s="161">
        <v>63041</v>
      </c>
      <c r="I24" s="179">
        <f>IFERROR(H24/G24-1,"-")</f>
        <v>-8.9134518133217711E-2</v>
      </c>
      <c r="J24" s="162">
        <f t="shared" ref="J24:J35" si="13">IFERROR(H24/D24-1,"-")</f>
        <v>-0.34206873519312853</v>
      </c>
      <c r="K24" s="161">
        <f t="shared" ref="K24:K34" si="14">H24-G24</f>
        <v>-6169</v>
      </c>
      <c r="L24" s="161">
        <f t="shared" ref="L24:L35" si="15">H24-D24</f>
        <v>-32776</v>
      </c>
      <c r="M24" s="162">
        <f t="shared" si="12"/>
        <v>2.3640150418571024E-2</v>
      </c>
    </row>
    <row r="25" spans="1:25" x14ac:dyDescent="0.25">
      <c r="B25" s="164" t="s">
        <v>105</v>
      </c>
      <c r="C25" s="165">
        <v>9378</v>
      </c>
      <c r="D25" s="165">
        <v>60456</v>
      </c>
      <c r="E25" s="165">
        <v>40042</v>
      </c>
      <c r="F25" s="165">
        <v>34459</v>
      </c>
      <c r="G25" s="165">
        <v>26251</v>
      </c>
      <c r="H25" s="165">
        <v>27157</v>
      </c>
      <c r="I25" s="180">
        <f>IFERROR(H25/G25-1,"-")</f>
        <v>3.4512970934440501E-2</v>
      </c>
      <c r="J25" s="166">
        <f t="shared" si="13"/>
        <v>-0.55079727405054912</v>
      </c>
      <c r="K25" s="165">
        <f t="shared" si="14"/>
        <v>906</v>
      </c>
      <c r="L25" s="165">
        <f t="shared" si="15"/>
        <v>-33299</v>
      </c>
      <c r="M25" s="166">
        <f t="shared" si="12"/>
        <v>1.0183778254106586E-2</v>
      </c>
    </row>
    <row r="26" spans="1:25" x14ac:dyDescent="0.25">
      <c r="B26" s="164" t="s">
        <v>102</v>
      </c>
      <c r="C26" s="165">
        <v>10899</v>
      </c>
      <c r="D26" s="165">
        <v>35361</v>
      </c>
      <c r="E26" s="165">
        <v>48509</v>
      </c>
      <c r="F26" s="165">
        <v>46203</v>
      </c>
      <c r="G26" s="165">
        <v>42959</v>
      </c>
      <c r="H26" s="165">
        <v>35884</v>
      </c>
      <c r="I26" s="180">
        <f>IFERROR(H26/G26-1,"-")</f>
        <v>-0.16469191554738238</v>
      </c>
      <c r="J26" s="166">
        <f t="shared" si="13"/>
        <v>1.4790305704024176E-2</v>
      </c>
      <c r="K26" s="165">
        <f t="shared" si="14"/>
        <v>-7075</v>
      </c>
      <c r="L26" s="165">
        <f t="shared" si="15"/>
        <v>523</v>
      </c>
      <c r="M26" s="166">
        <f t="shared" si="12"/>
        <v>1.3456372164464438E-2</v>
      </c>
    </row>
    <row r="27" spans="1:25" x14ac:dyDescent="0.25">
      <c r="B27" s="160" t="s">
        <v>109</v>
      </c>
      <c r="C27" s="161">
        <v>323893</v>
      </c>
      <c r="D27" s="161">
        <v>92036</v>
      </c>
      <c r="E27" s="161">
        <v>739659</v>
      </c>
      <c r="F27" s="161">
        <v>835383</v>
      </c>
      <c r="G27" s="161">
        <v>889707</v>
      </c>
      <c r="H27" s="161">
        <v>854324</v>
      </c>
      <c r="I27" s="179">
        <f>IFERROR(H27/G27-1,"-")</f>
        <v>-3.9769272355955398E-2</v>
      </c>
      <c r="J27" s="162">
        <f t="shared" si="13"/>
        <v>8.282498152896693</v>
      </c>
      <c r="K27" s="161">
        <f t="shared" si="14"/>
        <v>-35383</v>
      </c>
      <c r="L27" s="161">
        <f t="shared" si="15"/>
        <v>762288</v>
      </c>
      <c r="M27" s="162">
        <f t="shared" si="12"/>
        <v>0.32036845649966328</v>
      </c>
    </row>
    <row r="28" spans="1:25" x14ac:dyDescent="0.25">
      <c r="B28" s="164" t="s">
        <v>112</v>
      </c>
      <c r="C28" s="165">
        <v>148381</v>
      </c>
      <c r="D28" s="165">
        <v>5349</v>
      </c>
      <c r="E28" s="165">
        <v>361447</v>
      </c>
      <c r="F28" s="165">
        <v>422789</v>
      </c>
      <c r="G28" s="165">
        <v>457952</v>
      </c>
      <c r="H28" s="165">
        <v>447513</v>
      </c>
      <c r="I28" s="180">
        <f t="shared" ref="I28:I35" si="16">IFERROR(H28/G28-1,"-")</f>
        <v>-2.2794965411222168E-2</v>
      </c>
      <c r="J28" s="166">
        <f t="shared" si="13"/>
        <v>82.662927650028038</v>
      </c>
      <c r="K28" s="165">
        <f t="shared" si="14"/>
        <v>-10439</v>
      </c>
      <c r="L28" s="165">
        <f t="shared" si="15"/>
        <v>442164</v>
      </c>
      <c r="M28" s="166">
        <f t="shared" si="12"/>
        <v>0.16781578075008288</v>
      </c>
    </row>
    <row r="29" spans="1:25" x14ac:dyDescent="0.25">
      <c r="B29" s="164" t="s">
        <v>115</v>
      </c>
      <c r="C29" s="165">
        <v>39437</v>
      </c>
      <c r="D29" s="165">
        <v>15132</v>
      </c>
      <c r="E29" s="165">
        <v>80630</v>
      </c>
      <c r="F29" s="165">
        <v>90058</v>
      </c>
      <c r="G29" s="165">
        <v>91741</v>
      </c>
      <c r="H29" s="165">
        <v>84563</v>
      </c>
      <c r="I29" s="180">
        <f t="shared" si="16"/>
        <v>-7.8242007390370683E-2</v>
      </c>
      <c r="J29" s="166">
        <f t="shared" si="13"/>
        <v>4.5883558022733277</v>
      </c>
      <c r="K29" s="165">
        <f t="shared" si="14"/>
        <v>-7178</v>
      </c>
      <c r="L29" s="165">
        <f t="shared" si="15"/>
        <v>69431</v>
      </c>
      <c r="M29" s="166">
        <f t="shared" si="12"/>
        <v>3.1710823747174405E-2</v>
      </c>
    </row>
    <row r="30" spans="1:25" x14ac:dyDescent="0.25">
      <c r="B30" s="164" t="s">
        <v>118</v>
      </c>
      <c r="C30" s="165">
        <v>12858</v>
      </c>
      <c r="D30" s="165">
        <v>15269</v>
      </c>
      <c r="E30" s="165">
        <v>31532</v>
      </c>
      <c r="F30" s="165">
        <v>32800</v>
      </c>
      <c r="G30" s="165">
        <v>31808</v>
      </c>
      <c r="H30" s="165">
        <v>26672</v>
      </c>
      <c r="I30" s="180">
        <f t="shared" si="16"/>
        <v>-0.16146881287726356</v>
      </c>
      <c r="J30" s="166">
        <f t="shared" si="13"/>
        <v>0.7468072565328443</v>
      </c>
      <c r="K30" s="165">
        <f t="shared" si="14"/>
        <v>-5136</v>
      </c>
      <c r="L30" s="165">
        <f t="shared" si="15"/>
        <v>11403</v>
      </c>
      <c r="M30" s="166">
        <f t="shared" si="12"/>
        <v>1.0001904981902673E-2</v>
      </c>
    </row>
    <row r="31" spans="1:25" x14ac:dyDescent="0.25">
      <c r="B31" s="164" t="s">
        <v>125</v>
      </c>
      <c r="C31" s="165">
        <v>12503</v>
      </c>
      <c r="D31" s="165">
        <v>3959</v>
      </c>
      <c r="E31" s="165">
        <v>40403</v>
      </c>
      <c r="F31" s="165">
        <v>33993</v>
      </c>
      <c r="G31" s="165">
        <v>35087</v>
      </c>
      <c r="H31" s="165">
        <v>31864</v>
      </c>
      <c r="I31" s="180">
        <f t="shared" si="16"/>
        <v>-9.185738307635305E-2</v>
      </c>
      <c r="J31" s="166">
        <f t="shared" si="13"/>
        <v>7.0484970952260664</v>
      </c>
      <c r="K31" s="165">
        <f t="shared" si="14"/>
        <v>-3223</v>
      </c>
      <c r="L31" s="165">
        <f t="shared" si="15"/>
        <v>27905</v>
      </c>
      <c r="M31" s="166">
        <f t="shared" si="12"/>
        <v>1.1948886485578387E-2</v>
      </c>
    </row>
    <row r="32" spans="1:25" x14ac:dyDescent="0.25">
      <c r="B32" s="164" t="s">
        <v>121</v>
      </c>
      <c r="C32" s="165">
        <v>15876</v>
      </c>
      <c r="D32" s="165">
        <v>7485</v>
      </c>
      <c r="E32" s="165">
        <v>41694</v>
      </c>
      <c r="F32" s="165">
        <v>37923</v>
      </c>
      <c r="G32" s="165">
        <v>39409</v>
      </c>
      <c r="H32" s="165">
        <v>37635</v>
      </c>
      <c r="I32" s="180">
        <f t="shared" si="16"/>
        <v>-4.5015098074044024E-2</v>
      </c>
      <c r="J32" s="166">
        <f t="shared" si="13"/>
        <v>4.0280561122244487</v>
      </c>
      <c r="K32" s="165">
        <f t="shared" si="14"/>
        <v>-1774</v>
      </c>
      <c r="L32" s="165">
        <f t="shared" si="15"/>
        <v>30150</v>
      </c>
      <c r="M32" s="166">
        <f t="shared" si="12"/>
        <v>1.4112990926586197E-2</v>
      </c>
    </row>
    <row r="33" spans="2:13" x14ac:dyDescent="0.25">
      <c r="B33" s="164" t="s">
        <v>130</v>
      </c>
      <c r="C33" s="165">
        <v>11519</v>
      </c>
      <c r="D33" s="165">
        <v>171</v>
      </c>
      <c r="E33" s="165">
        <v>12934</v>
      </c>
      <c r="F33" s="165">
        <v>15227</v>
      </c>
      <c r="G33" s="165">
        <v>13710</v>
      </c>
      <c r="H33" s="165">
        <v>12915</v>
      </c>
      <c r="I33" s="180">
        <f t="shared" si="16"/>
        <v>-5.7986870897155374E-2</v>
      </c>
      <c r="J33" s="166">
        <f t="shared" si="13"/>
        <v>74.526315789473685</v>
      </c>
      <c r="K33" s="165">
        <f t="shared" si="14"/>
        <v>-795</v>
      </c>
      <c r="L33" s="165">
        <f t="shared" si="15"/>
        <v>12744</v>
      </c>
      <c r="M33" s="166">
        <f t="shared" si="12"/>
        <v>4.8430789907495881E-3</v>
      </c>
    </row>
    <row r="34" spans="2:13" x14ac:dyDescent="0.25">
      <c r="B34" s="164" t="s">
        <v>133</v>
      </c>
      <c r="C34" s="165">
        <v>12800</v>
      </c>
      <c r="D34" s="165">
        <v>345</v>
      </c>
      <c r="E34" s="165">
        <v>7945</v>
      </c>
      <c r="F34" s="165">
        <v>13662</v>
      </c>
      <c r="G34" s="165">
        <v>13350</v>
      </c>
      <c r="H34" s="165">
        <v>10856</v>
      </c>
      <c r="I34" s="180">
        <f t="shared" si="16"/>
        <v>-0.18681647940074908</v>
      </c>
      <c r="J34" s="166">
        <f t="shared" si="13"/>
        <v>30.466666666666665</v>
      </c>
      <c r="K34" s="165">
        <f t="shared" si="14"/>
        <v>-2494</v>
      </c>
      <c r="L34" s="165">
        <f t="shared" si="15"/>
        <v>10511</v>
      </c>
      <c r="M34" s="166">
        <f t="shared" si="12"/>
        <v>4.0709613258674039E-3</v>
      </c>
    </row>
    <row r="35" spans="2:13" x14ac:dyDescent="0.25">
      <c r="B35" s="169" t="s">
        <v>147</v>
      </c>
      <c r="C35" s="170">
        <f t="shared" ref="C35" si="17">C27-SUM(C28:C34)</f>
        <v>70519</v>
      </c>
      <c r="D35" s="170">
        <f t="shared" ref="D35:E35" si="18">D27-SUM(D28:D34)</f>
        <v>44326</v>
      </c>
      <c r="E35" s="170">
        <f t="shared" si="18"/>
        <v>163074</v>
      </c>
      <c r="F35" s="170">
        <f t="shared" ref="F35:H35" si="19">F27-SUM(F28:F34)</f>
        <v>188931</v>
      </c>
      <c r="G35" s="170">
        <f t="shared" si="19"/>
        <v>206650</v>
      </c>
      <c r="H35" s="170">
        <f t="shared" si="19"/>
        <v>202306</v>
      </c>
      <c r="I35" s="181">
        <f t="shared" si="16"/>
        <v>-2.1021050084684245E-2</v>
      </c>
      <c r="J35" s="171">
        <f t="shared" si="13"/>
        <v>3.5640481884221451</v>
      </c>
      <c r="K35" s="170">
        <f>H35-G35</f>
        <v>-4344</v>
      </c>
      <c r="L35" s="170">
        <f t="shared" si="15"/>
        <v>157980</v>
      </c>
      <c r="M35" s="171">
        <f t="shared" si="12"/>
        <v>7.586402929172173E-2</v>
      </c>
    </row>
    <row r="36" spans="2:13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5"/>
      <c r="L36" s="154"/>
      <c r="M36" s="154"/>
    </row>
    <row r="37" spans="2:13" x14ac:dyDescent="0.25">
      <c r="B37" s="157" t="s">
        <v>70</v>
      </c>
      <c r="C37" s="177">
        <v>249277</v>
      </c>
      <c r="D37" s="177">
        <v>81359</v>
      </c>
      <c r="E37" s="177">
        <v>573119</v>
      </c>
      <c r="F37" s="177">
        <v>637900</v>
      </c>
      <c r="G37" s="177">
        <v>674898</v>
      </c>
      <c r="H37" s="177">
        <v>696244</v>
      </c>
      <c r="I37" s="178">
        <f>IFERROR(H37/G37-1,"-")</f>
        <v>3.1628483118930628E-2</v>
      </c>
      <c r="J37" s="178">
        <f>IFERROR(H37/D37-1,"-")</f>
        <v>7.5576764709497422</v>
      </c>
      <c r="K37" s="177">
        <f>H37-G37</f>
        <v>21346</v>
      </c>
      <c r="L37" s="177">
        <f>H37-D37</f>
        <v>614885</v>
      </c>
      <c r="M37" s="178">
        <f t="shared" ref="M37:M49" si="20">H37/H$9</f>
        <v>0.2610890196543133</v>
      </c>
    </row>
    <row r="38" spans="2:13" x14ac:dyDescent="0.25">
      <c r="B38" s="160" t="s">
        <v>99</v>
      </c>
      <c r="C38" s="161">
        <v>13953</v>
      </c>
      <c r="D38" s="161">
        <v>26737</v>
      </c>
      <c r="E38" s="161">
        <v>51285</v>
      </c>
      <c r="F38" s="161">
        <v>49212</v>
      </c>
      <c r="G38" s="161">
        <v>46569</v>
      </c>
      <c r="H38" s="161">
        <v>49677</v>
      </c>
      <c r="I38" s="179">
        <f>IFERROR(H38/G38-1,"-")</f>
        <v>6.6739676608903009E-2</v>
      </c>
      <c r="J38" s="162">
        <f t="shared" ref="J38:J49" si="21">IFERROR(H38/D38-1,"-")</f>
        <v>0.85798705913154061</v>
      </c>
      <c r="K38" s="161">
        <f t="shared" ref="K38:K48" si="22">H38-G38</f>
        <v>3108</v>
      </c>
      <c r="L38" s="161">
        <f t="shared" ref="L38:L49" si="23">H38-D38</f>
        <v>22940</v>
      </c>
      <c r="M38" s="162">
        <f t="shared" si="20"/>
        <v>1.8628698027368738E-2</v>
      </c>
    </row>
    <row r="39" spans="2:13" x14ac:dyDescent="0.25">
      <c r="B39" s="164" t="s">
        <v>105</v>
      </c>
      <c r="C39" s="165">
        <v>5079</v>
      </c>
      <c r="D39" s="165">
        <v>20805</v>
      </c>
      <c r="E39" s="165">
        <v>20975</v>
      </c>
      <c r="F39" s="165">
        <v>20053</v>
      </c>
      <c r="G39" s="165">
        <v>20039</v>
      </c>
      <c r="H39" s="165">
        <v>20361</v>
      </c>
      <c r="I39" s="180">
        <f>IFERROR(H39/G39-1,"-")</f>
        <v>1.6068666101102913E-2</v>
      </c>
      <c r="J39" s="166">
        <f t="shared" si="21"/>
        <v>-2.1341023792357583E-2</v>
      </c>
      <c r="K39" s="165">
        <f t="shared" si="22"/>
        <v>322</v>
      </c>
      <c r="L39" s="165">
        <f t="shared" si="23"/>
        <v>-444</v>
      </c>
      <c r="M39" s="166">
        <f t="shared" si="20"/>
        <v>7.6353024646265864E-3</v>
      </c>
    </row>
    <row r="40" spans="2:13" x14ac:dyDescent="0.25">
      <c r="B40" s="164" t="s">
        <v>102</v>
      </c>
      <c r="C40" s="165">
        <v>8874</v>
      </c>
      <c r="D40" s="165">
        <v>5932</v>
      </c>
      <c r="E40" s="165">
        <v>30310</v>
      </c>
      <c r="F40" s="165">
        <v>29159</v>
      </c>
      <c r="G40" s="165">
        <v>26530</v>
      </c>
      <c r="H40" s="165">
        <v>29316</v>
      </c>
      <c r="I40" s="180">
        <f>IFERROR(H40/G40-1,"-")</f>
        <v>0.10501319261213715</v>
      </c>
      <c r="J40" s="166">
        <f t="shared" si="21"/>
        <v>3.9420094403236678</v>
      </c>
      <c r="K40" s="165">
        <f t="shared" si="22"/>
        <v>2786</v>
      </c>
      <c r="L40" s="165">
        <f t="shared" si="23"/>
        <v>23384</v>
      </c>
      <c r="M40" s="166">
        <f t="shared" si="20"/>
        <v>1.0993395562742155E-2</v>
      </c>
    </row>
    <row r="41" spans="2:13" x14ac:dyDescent="0.25">
      <c r="B41" s="160" t="s">
        <v>109</v>
      </c>
      <c r="C41" s="161">
        <v>235324</v>
      </c>
      <c r="D41" s="161">
        <v>54622</v>
      </c>
      <c r="E41" s="161">
        <v>521834</v>
      </c>
      <c r="F41" s="161">
        <v>588688</v>
      </c>
      <c r="G41" s="161">
        <v>628329</v>
      </c>
      <c r="H41" s="161">
        <v>646567</v>
      </c>
      <c r="I41" s="179">
        <f>IFERROR(H41/G41-1,"-")</f>
        <v>2.902619487561453E-2</v>
      </c>
      <c r="J41" s="162">
        <f t="shared" si="21"/>
        <v>10.837116912599319</v>
      </c>
      <c r="K41" s="161">
        <f t="shared" si="22"/>
        <v>18238</v>
      </c>
      <c r="L41" s="161">
        <f t="shared" si="23"/>
        <v>591945</v>
      </c>
      <c r="M41" s="162">
        <f t="shared" si="20"/>
        <v>0.24246032162694453</v>
      </c>
    </row>
    <row r="42" spans="2:13" x14ac:dyDescent="0.25">
      <c r="B42" s="164" t="s">
        <v>112</v>
      </c>
      <c r="C42" s="165">
        <v>106790</v>
      </c>
      <c r="D42" s="165">
        <v>2559</v>
      </c>
      <c r="E42" s="165">
        <v>258001</v>
      </c>
      <c r="F42" s="165">
        <v>299812</v>
      </c>
      <c r="G42" s="165">
        <v>329183</v>
      </c>
      <c r="H42" s="165">
        <v>336533</v>
      </c>
      <c r="I42" s="180">
        <f t="shared" ref="I42:I49" si="24">IFERROR(H42/G42-1,"-")</f>
        <v>2.2328006002740208E-2</v>
      </c>
      <c r="J42" s="166">
        <f t="shared" si="21"/>
        <v>130.5095740523642</v>
      </c>
      <c r="K42" s="165">
        <f t="shared" si="22"/>
        <v>7350</v>
      </c>
      <c r="L42" s="165">
        <f t="shared" si="23"/>
        <v>333974</v>
      </c>
      <c r="M42" s="166">
        <f t="shared" si="20"/>
        <v>0.12619867611257693</v>
      </c>
    </row>
    <row r="43" spans="2:13" x14ac:dyDescent="0.25">
      <c r="B43" s="164" t="s">
        <v>115</v>
      </c>
      <c r="C43" s="165">
        <v>11703</v>
      </c>
      <c r="D43" s="165">
        <v>3952</v>
      </c>
      <c r="E43" s="165">
        <v>18219</v>
      </c>
      <c r="F43" s="165">
        <v>22787</v>
      </c>
      <c r="G43" s="165">
        <v>22382</v>
      </c>
      <c r="H43" s="165">
        <v>24097</v>
      </c>
      <c r="I43" s="180">
        <f t="shared" si="24"/>
        <v>7.6624072915735919E-2</v>
      </c>
      <c r="J43" s="166">
        <f t="shared" si="21"/>
        <v>5.0974190283400809</v>
      </c>
      <c r="K43" s="165">
        <f t="shared" si="22"/>
        <v>1715</v>
      </c>
      <c r="L43" s="165">
        <f t="shared" si="23"/>
        <v>20145</v>
      </c>
      <c r="M43" s="166">
        <f t="shared" si="20"/>
        <v>9.0362891552530251E-3</v>
      </c>
    </row>
    <row r="44" spans="2:13" x14ac:dyDescent="0.25">
      <c r="B44" s="164" t="s">
        <v>118</v>
      </c>
      <c r="C44" s="165">
        <v>5799</v>
      </c>
      <c r="D44" s="165">
        <v>6900</v>
      </c>
      <c r="E44" s="165">
        <v>13142</v>
      </c>
      <c r="F44" s="165">
        <v>14887</v>
      </c>
      <c r="G44" s="165">
        <v>14681</v>
      </c>
      <c r="H44" s="165">
        <v>15392</v>
      </c>
      <c r="I44" s="180">
        <f t="shared" si="24"/>
        <v>4.8429943464341596E-2</v>
      </c>
      <c r="J44" s="166">
        <f t="shared" si="21"/>
        <v>1.2307246376811594</v>
      </c>
      <c r="K44" s="165">
        <f t="shared" si="22"/>
        <v>711</v>
      </c>
      <c r="L44" s="165">
        <f t="shared" si="23"/>
        <v>8492</v>
      </c>
      <c r="M44" s="166">
        <f t="shared" si="20"/>
        <v>5.7719451665209183E-3</v>
      </c>
    </row>
    <row r="45" spans="2:13" x14ac:dyDescent="0.25">
      <c r="B45" s="164" t="s">
        <v>125</v>
      </c>
      <c r="C45" s="165">
        <v>10447</v>
      </c>
      <c r="D45" s="165">
        <v>3137</v>
      </c>
      <c r="E45" s="165">
        <v>29047</v>
      </c>
      <c r="F45" s="165">
        <v>25444</v>
      </c>
      <c r="G45" s="165">
        <v>27572</v>
      </c>
      <c r="H45" s="165">
        <v>24677</v>
      </c>
      <c r="I45" s="180">
        <f t="shared" si="24"/>
        <v>-0.10499782387929779</v>
      </c>
      <c r="J45" s="166">
        <f t="shared" si="21"/>
        <v>6.8664328976729356</v>
      </c>
      <c r="K45" s="165">
        <f t="shared" si="22"/>
        <v>-2895</v>
      </c>
      <c r="L45" s="165">
        <f t="shared" si="23"/>
        <v>21540</v>
      </c>
      <c r="M45" s="166">
        <f t="shared" si="20"/>
        <v>9.253787089022655E-3</v>
      </c>
    </row>
    <row r="46" spans="2:13" x14ac:dyDescent="0.25">
      <c r="B46" s="164" t="s">
        <v>121</v>
      </c>
      <c r="C46" s="165">
        <v>9027</v>
      </c>
      <c r="D46" s="165">
        <v>2375</v>
      </c>
      <c r="E46" s="165">
        <v>17758</v>
      </c>
      <c r="F46" s="165">
        <v>20301</v>
      </c>
      <c r="G46" s="165">
        <v>22004</v>
      </c>
      <c r="H46" s="165">
        <v>18376</v>
      </c>
      <c r="I46" s="180">
        <f t="shared" si="24"/>
        <v>-0.16487911288856572</v>
      </c>
      <c r="J46" s="166">
        <f t="shared" si="21"/>
        <v>6.7372631578947368</v>
      </c>
      <c r="K46" s="165">
        <f t="shared" si="22"/>
        <v>-3628</v>
      </c>
      <c r="L46" s="165">
        <f t="shared" si="23"/>
        <v>16001</v>
      </c>
      <c r="M46" s="166">
        <f t="shared" si="20"/>
        <v>6.8909345361219069E-3</v>
      </c>
    </row>
    <row r="47" spans="2:13" x14ac:dyDescent="0.25">
      <c r="B47" s="164" t="s">
        <v>130</v>
      </c>
      <c r="C47" s="165">
        <v>9587</v>
      </c>
      <c r="D47" s="165">
        <v>366</v>
      </c>
      <c r="E47" s="165">
        <v>12294</v>
      </c>
      <c r="F47" s="165">
        <v>14447</v>
      </c>
      <c r="G47" s="165">
        <v>12973</v>
      </c>
      <c r="H47" s="165">
        <v>13399</v>
      </c>
      <c r="I47" s="180">
        <f t="shared" si="24"/>
        <v>3.2837431588684129E-2</v>
      </c>
      <c r="J47" s="166">
        <f t="shared" si="21"/>
        <v>35.60928961748634</v>
      </c>
      <c r="K47" s="165">
        <f t="shared" si="22"/>
        <v>426</v>
      </c>
      <c r="L47" s="165">
        <f t="shared" si="23"/>
        <v>13033</v>
      </c>
      <c r="M47" s="166">
        <f t="shared" si="20"/>
        <v>5.0245772665159678E-3</v>
      </c>
    </row>
    <row r="48" spans="2:13" x14ac:dyDescent="0.25">
      <c r="B48" s="164" t="s">
        <v>133</v>
      </c>
      <c r="C48" s="165">
        <v>15367</v>
      </c>
      <c r="D48" s="165">
        <v>1525</v>
      </c>
      <c r="E48" s="165">
        <v>11366</v>
      </c>
      <c r="F48" s="165">
        <v>14222</v>
      </c>
      <c r="G48" s="165">
        <v>14777</v>
      </c>
      <c r="H48" s="165">
        <v>11522</v>
      </c>
      <c r="I48" s="180">
        <f t="shared" si="24"/>
        <v>-0.22027475130270013</v>
      </c>
      <c r="J48" s="166">
        <f t="shared" si="21"/>
        <v>6.5554098360655741</v>
      </c>
      <c r="K48" s="165">
        <f t="shared" si="22"/>
        <v>-3255</v>
      </c>
      <c r="L48" s="165">
        <f t="shared" si="23"/>
        <v>9997</v>
      </c>
      <c r="M48" s="166">
        <f t="shared" si="20"/>
        <v>4.3207089532649439E-3</v>
      </c>
    </row>
    <row r="49" spans="2:13" x14ac:dyDescent="0.25">
      <c r="B49" s="169" t="s">
        <v>147</v>
      </c>
      <c r="C49" s="170">
        <f t="shared" ref="C49" si="25">C41-SUM(C42:C48)</f>
        <v>66604</v>
      </c>
      <c r="D49" s="170">
        <f t="shared" ref="D49:E49" si="26">D41-SUM(D42:D48)</f>
        <v>33808</v>
      </c>
      <c r="E49" s="170">
        <f t="shared" si="26"/>
        <v>162007</v>
      </c>
      <c r="F49" s="170">
        <f t="shared" ref="F49:H49" si="27">F41-SUM(F42:F48)</f>
        <v>176788</v>
      </c>
      <c r="G49" s="170">
        <f t="shared" si="27"/>
        <v>184757</v>
      </c>
      <c r="H49" s="170">
        <f t="shared" si="27"/>
        <v>202571</v>
      </c>
      <c r="I49" s="181">
        <f t="shared" si="24"/>
        <v>9.6418538945750365E-2</v>
      </c>
      <c r="J49" s="171">
        <f t="shared" si="21"/>
        <v>4.9918066729768098</v>
      </c>
      <c r="K49" s="170">
        <f>H49-G49</f>
        <v>17814</v>
      </c>
      <c r="L49" s="170">
        <f t="shared" si="23"/>
        <v>168763</v>
      </c>
      <c r="M49" s="171">
        <f t="shared" si="20"/>
        <v>7.5963403347668199E-2</v>
      </c>
    </row>
    <row r="50" spans="2:13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5"/>
      <c r="L50" s="154"/>
      <c r="M50" s="154"/>
    </row>
    <row r="51" spans="2:13" x14ac:dyDescent="0.25">
      <c r="B51" s="157" t="s">
        <v>70</v>
      </c>
      <c r="C51" s="177">
        <v>10070</v>
      </c>
      <c r="D51" s="177">
        <v>5058</v>
      </c>
      <c r="E51" s="177">
        <v>16823</v>
      </c>
      <c r="F51" s="177">
        <v>27446</v>
      </c>
      <c r="G51" s="177">
        <v>23231</v>
      </c>
      <c r="H51" s="177">
        <v>21785</v>
      </c>
      <c r="I51" s="178">
        <f>IFERROR(H51/G51-1,"-")</f>
        <v>-6.2244414790581515E-2</v>
      </c>
      <c r="J51" s="178">
        <f>IFERROR(H51/D51-1,"-")</f>
        <v>3.30703835508106</v>
      </c>
      <c r="K51" s="177">
        <f>H51-G51</f>
        <v>-1446</v>
      </c>
      <c r="L51" s="177">
        <f>H51-D51</f>
        <v>16727</v>
      </c>
      <c r="M51" s="178">
        <f t="shared" ref="M51:M63" si="28">H51/H$9</f>
        <v>8.1692973916747784E-3</v>
      </c>
    </row>
    <row r="52" spans="2:13" x14ac:dyDescent="0.25">
      <c r="B52" s="160" t="s">
        <v>99</v>
      </c>
      <c r="C52" s="161">
        <v>1123</v>
      </c>
      <c r="D52" s="161">
        <v>1502</v>
      </c>
      <c r="E52" s="161">
        <v>2015</v>
      </c>
      <c r="F52" s="161">
        <v>12065</v>
      </c>
      <c r="G52" s="161">
        <v>6319</v>
      </c>
      <c r="H52" s="161">
        <v>4389</v>
      </c>
      <c r="I52" s="179">
        <f>IFERROR(H52/G52-1,"-")</f>
        <v>-0.30542807406235162</v>
      </c>
      <c r="J52" s="162">
        <f t="shared" ref="J52:J63" si="29">IFERROR(H52/D52-1,"-")</f>
        <v>1.922103861517976</v>
      </c>
      <c r="K52" s="161">
        <f t="shared" ref="K52:K62" si="30">H52-G52</f>
        <v>-1930</v>
      </c>
      <c r="L52" s="161">
        <f t="shared" ref="L52:L63" si="31">H52-D52</f>
        <v>2887</v>
      </c>
      <c r="M52" s="162">
        <f t="shared" si="28"/>
        <v>1.6458593643360387E-3</v>
      </c>
    </row>
    <row r="53" spans="2:13" x14ac:dyDescent="0.25">
      <c r="B53" s="164" t="s">
        <v>105</v>
      </c>
      <c r="C53" s="165">
        <v>538</v>
      </c>
      <c r="D53" s="165">
        <v>685</v>
      </c>
      <c r="E53" s="165">
        <v>774</v>
      </c>
      <c r="F53" s="165">
        <v>8967</v>
      </c>
      <c r="G53" s="165">
        <v>4242</v>
      </c>
      <c r="H53" s="165">
        <v>2844</v>
      </c>
      <c r="I53" s="180">
        <f>IFERROR(H53/G53-1,"-")</f>
        <v>-0.32956152758132962</v>
      </c>
      <c r="J53" s="166">
        <f t="shared" si="29"/>
        <v>3.1518248175182482</v>
      </c>
      <c r="K53" s="165">
        <f t="shared" si="30"/>
        <v>-1398</v>
      </c>
      <c r="L53" s="165">
        <f t="shared" si="31"/>
        <v>2159</v>
      </c>
      <c r="M53" s="166">
        <f t="shared" si="28"/>
        <v>1.0664898683462507E-3</v>
      </c>
    </row>
    <row r="54" spans="2:13" x14ac:dyDescent="0.25">
      <c r="B54" s="164" t="s">
        <v>102</v>
      </c>
      <c r="C54" s="165">
        <v>585</v>
      </c>
      <c r="D54" s="165">
        <v>817</v>
      </c>
      <c r="E54" s="165">
        <v>1241</v>
      </c>
      <c r="F54" s="165">
        <v>3098</v>
      </c>
      <c r="G54" s="165">
        <v>2077</v>
      </c>
      <c r="H54" s="165">
        <v>1545</v>
      </c>
      <c r="I54" s="180">
        <f>IFERROR(H54/G54-1,"-")</f>
        <v>-0.25613866153105436</v>
      </c>
      <c r="J54" s="166">
        <f t="shared" si="29"/>
        <v>0.89106487148102809</v>
      </c>
      <c r="K54" s="165">
        <f t="shared" si="30"/>
        <v>-532</v>
      </c>
      <c r="L54" s="165">
        <f t="shared" si="31"/>
        <v>728</v>
      </c>
      <c r="M54" s="166">
        <f t="shared" si="28"/>
        <v>5.7936949598978813E-4</v>
      </c>
    </row>
    <row r="55" spans="2:13" x14ac:dyDescent="0.25">
      <c r="B55" s="160" t="s">
        <v>109</v>
      </c>
      <c r="C55" s="161">
        <v>8947</v>
      </c>
      <c r="D55" s="161">
        <v>3556</v>
      </c>
      <c r="E55" s="161">
        <v>14808</v>
      </c>
      <c r="F55" s="161">
        <v>15381</v>
      </c>
      <c r="G55" s="161">
        <v>16912</v>
      </c>
      <c r="H55" s="161">
        <v>17396</v>
      </c>
      <c r="I55" s="179">
        <f>IFERROR(H55/G55-1,"-")</f>
        <v>2.8618732261116442E-2</v>
      </c>
      <c r="J55" s="162">
        <f t="shared" si="29"/>
        <v>3.8920134983127106</v>
      </c>
      <c r="K55" s="161">
        <f t="shared" si="30"/>
        <v>484</v>
      </c>
      <c r="L55" s="161">
        <f t="shared" si="31"/>
        <v>13840</v>
      </c>
      <c r="M55" s="162">
        <f t="shared" si="28"/>
        <v>6.5234380273387401E-3</v>
      </c>
    </row>
    <row r="56" spans="2:13" x14ac:dyDescent="0.25">
      <c r="B56" s="164" t="s">
        <v>112</v>
      </c>
      <c r="C56" s="165">
        <v>2897</v>
      </c>
      <c r="D56" s="165">
        <v>93</v>
      </c>
      <c r="E56" s="165">
        <v>5195</v>
      </c>
      <c r="F56" s="165">
        <v>4726</v>
      </c>
      <c r="G56" s="165">
        <v>5733</v>
      </c>
      <c r="H56" s="165">
        <v>6111</v>
      </c>
      <c r="I56" s="180">
        <f t="shared" ref="I56:I63" si="32">IFERROR(H56/G56-1,"-")</f>
        <v>6.5934065934065922E-2</v>
      </c>
      <c r="J56" s="166">
        <f t="shared" si="29"/>
        <v>64.709677419354833</v>
      </c>
      <c r="K56" s="165">
        <f t="shared" si="30"/>
        <v>378</v>
      </c>
      <c r="L56" s="165">
        <f t="shared" si="31"/>
        <v>6018</v>
      </c>
      <c r="M56" s="166">
        <f t="shared" si="28"/>
        <v>2.291603229769317E-3</v>
      </c>
    </row>
    <row r="57" spans="2:13" x14ac:dyDescent="0.25">
      <c r="B57" s="164" t="s">
        <v>115</v>
      </c>
      <c r="C57" s="165">
        <v>2253</v>
      </c>
      <c r="D57" s="165">
        <v>1309</v>
      </c>
      <c r="E57" s="165">
        <v>3627</v>
      </c>
      <c r="F57" s="165">
        <v>2757</v>
      </c>
      <c r="G57" s="165">
        <v>3476</v>
      </c>
      <c r="H57" s="165">
        <v>3606</v>
      </c>
      <c r="I57" s="180">
        <f t="shared" si="32"/>
        <v>3.7399309551208182E-2</v>
      </c>
      <c r="J57" s="166">
        <f t="shared" si="29"/>
        <v>1.7547746371275781</v>
      </c>
      <c r="K57" s="165">
        <f t="shared" si="30"/>
        <v>130</v>
      </c>
      <c r="L57" s="165">
        <f t="shared" si="31"/>
        <v>2297</v>
      </c>
      <c r="M57" s="166">
        <f t="shared" si="28"/>
        <v>1.3522371537470395E-3</v>
      </c>
    </row>
    <row r="58" spans="2:13" x14ac:dyDescent="0.25">
      <c r="B58" s="164" t="s">
        <v>118</v>
      </c>
      <c r="C58" s="165">
        <v>449</v>
      </c>
      <c r="D58" s="165">
        <v>618</v>
      </c>
      <c r="E58" s="165">
        <v>1130</v>
      </c>
      <c r="F58" s="165">
        <v>1574</v>
      </c>
      <c r="G58" s="165">
        <v>1235</v>
      </c>
      <c r="H58" s="165">
        <v>1094</v>
      </c>
      <c r="I58" s="180">
        <f t="shared" si="32"/>
        <v>-0.1141700404858299</v>
      </c>
      <c r="J58" s="166">
        <f t="shared" si="29"/>
        <v>0.77022653721682843</v>
      </c>
      <c r="K58" s="165">
        <f t="shared" si="30"/>
        <v>-141</v>
      </c>
      <c r="L58" s="165">
        <f t="shared" si="31"/>
        <v>476</v>
      </c>
      <c r="M58" s="166">
        <f t="shared" si="28"/>
        <v>4.1024610266202473E-4</v>
      </c>
    </row>
    <row r="59" spans="2:13" x14ac:dyDescent="0.25">
      <c r="B59" s="164" t="s">
        <v>125</v>
      </c>
      <c r="C59" s="165">
        <v>218</v>
      </c>
      <c r="D59" s="165">
        <v>79</v>
      </c>
      <c r="E59" s="165">
        <v>420</v>
      </c>
      <c r="F59" s="165">
        <v>361</v>
      </c>
      <c r="G59" s="165">
        <v>550</v>
      </c>
      <c r="H59" s="165">
        <v>537</v>
      </c>
      <c r="I59" s="180">
        <f t="shared" si="32"/>
        <v>-2.3636363636363678E-2</v>
      </c>
      <c r="J59" s="166">
        <f t="shared" si="29"/>
        <v>5.7974683544303796</v>
      </c>
      <c r="K59" s="165">
        <f t="shared" si="30"/>
        <v>-13</v>
      </c>
      <c r="L59" s="165">
        <f t="shared" si="31"/>
        <v>458</v>
      </c>
      <c r="M59" s="166">
        <f t="shared" si="28"/>
        <v>2.0137308695567391E-4</v>
      </c>
    </row>
    <row r="60" spans="2:13" x14ac:dyDescent="0.25">
      <c r="B60" s="164" t="s">
        <v>121</v>
      </c>
      <c r="C60" s="165">
        <v>187</v>
      </c>
      <c r="D60" s="165">
        <v>107</v>
      </c>
      <c r="E60" s="165">
        <v>385</v>
      </c>
      <c r="F60" s="165">
        <v>374</v>
      </c>
      <c r="G60" s="165">
        <v>394</v>
      </c>
      <c r="H60" s="165">
        <v>478</v>
      </c>
      <c r="I60" s="180">
        <f t="shared" si="32"/>
        <v>0.21319796954314718</v>
      </c>
      <c r="J60" s="166">
        <f t="shared" si="29"/>
        <v>3.4672897196261685</v>
      </c>
      <c r="K60" s="165">
        <f t="shared" si="30"/>
        <v>84</v>
      </c>
      <c r="L60" s="165">
        <f t="shared" si="31"/>
        <v>371</v>
      </c>
      <c r="M60" s="166">
        <f t="shared" si="28"/>
        <v>1.7924829714117716E-4</v>
      </c>
    </row>
    <row r="61" spans="2:13" x14ac:dyDescent="0.25">
      <c r="B61" s="164" t="s">
        <v>130</v>
      </c>
      <c r="C61" s="165">
        <v>136</v>
      </c>
      <c r="D61" s="165">
        <v>29</v>
      </c>
      <c r="E61" s="165">
        <v>44</v>
      </c>
      <c r="F61" s="165">
        <v>153</v>
      </c>
      <c r="G61" s="165">
        <v>78</v>
      </c>
      <c r="H61" s="165">
        <v>166</v>
      </c>
      <c r="I61" s="180">
        <f t="shared" si="32"/>
        <v>1.1282051282051282</v>
      </c>
      <c r="J61" s="166">
        <f t="shared" si="29"/>
        <v>4.7241379310344831</v>
      </c>
      <c r="K61" s="165">
        <f t="shared" si="30"/>
        <v>88</v>
      </c>
      <c r="L61" s="165">
        <f t="shared" si="31"/>
        <v>137</v>
      </c>
      <c r="M61" s="166">
        <f t="shared" si="28"/>
        <v>6.224940863061801E-5</v>
      </c>
    </row>
    <row r="62" spans="2:13" x14ac:dyDescent="0.25">
      <c r="B62" s="164" t="s">
        <v>133</v>
      </c>
      <c r="C62" s="165">
        <v>201</v>
      </c>
      <c r="D62" s="165">
        <v>14</v>
      </c>
      <c r="E62" s="165">
        <v>89</v>
      </c>
      <c r="F62" s="165">
        <v>138</v>
      </c>
      <c r="G62" s="165">
        <v>86</v>
      </c>
      <c r="H62" s="165">
        <v>408</v>
      </c>
      <c r="I62" s="180">
        <f t="shared" si="32"/>
        <v>3.7441860465116283</v>
      </c>
      <c r="J62" s="166">
        <f t="shared" si="29"/>
        <v>28.142857142857142</v>
      </c>
      <c r="K62" s="165">
        <f t="shared" si="30"/>
        <v>322</v>
      </c>
      <c r="L62" s="165">
        <f t="shared" si="31"/>
        <v>394</v>
      </c>
      <c r="M62" s="166">
        <f t="shared" si="28"/>
        <v>1.5299854651380811E-4</v>
      </c>
    </row>
    <row r="63" spans="2:13" x14ac:dyDescent="0.25">
      <c r="B63" s="169" t="s">
        <v>147</v>
      </c>
      <c r="C63" s="170">
        <f t="shared" ref="C63" si="33">C55-SUM(C56:C62)</f>
        <v>2606</v>
      </c>
      <c r="D63" s="170">
        <f t="shared" ref="D63:E63" si="34">D55-SUM(D56:D62)</f>
        <v>1307</v>
      </c>
      <c r="E63" s="170">
        <f t="shared" si="34"/>
        <v>3918</v>
      </c>
      <c r="F63" s="170">
        <f t="shared" ref="F63:H63" si="35">F55-SUM(F56:F62)</f>
        <v>5298</v>
      </c>
      <c r="G63" s="170">
        <f t="shared" si="35"/>
        <v>5360</v>
      </c>
      <c r="H63" s="170">
        <f t="shared" si="35"/>
        <v>4996</v>
      </c>
      <c r="I63" s="181">
        <f t="shared" si="32"/>
        <v>-6.7910447761194037E-2</v>
      </c>
      <c r="J63" s="171">
        <f t="shared" si="29"/>
        <v>2.8224942616679418</v>
      </c>
      <c r="K63" s="170">
        <f>H63-G63</f>
        <v>-364</v>
      </c>
      <c r="L63" s="170">
        <f t="shared" si="31"/>
        <v>3689</v>
      </c>
      <c r="M63" s="171">
        <f t="shared" si="28"/>
        <v>1.8734822019190818E-3</v>
      </c>
    </row>
    <row r="64" spans="2:13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5"/>
      <c r="L64" s="154"/>
      <c r="M64" s="154"/>
    </row>
    <row r="65" spans="2:13" x14ac:dyDescent="0.25">
      <c r="B65" s="157" t="s">
        <v>70</v>
      </c>
      <c r="C65" s="177">
        <v>24073</v>
      </c>
      <c r="D65" s="177">
        <v>16999</v>
      </c>
      <c r="E65" s="177">
        <v>67366</v>
      </c>
      <c r="F65" s="177">
        <v>86656</v>
      </c>
      <c r="G65" s="177">
        <v>116855</v>
      </c>
      <c r="H65" s="177">
        <v>94193</v>
      </c>
      <c r="I65" s="178">
        <f>IFERROR(H65/G65-1,"-")</f>
        <v>-0.19393265157674044</v>
      </c>
      <c r="J65" s="178">
        <f>IFERROR(H65/D65-1,"-")</f>
        <v>4.5410906523913175</v>
      </c>
      <c r="K65" s="177">
        <f>H65-G65</f>
        <v>-22662</v>
      </c>
      <c r="L65" s="177">
        <f>H65-D65</f>
        <v>77194</v>
      </c>
      <c r="M65" s="178">
        <f t="shared" ref="M65:M77" si="36">H65/H$9</f>
        <v>3.5322039440625314E-2</v>
      </c>
    </row>
    <row r="66" spans="2:13" x14ac:dyDescent="0.25">
      <c r="B66" s="160" t="s">
        <v>99</v>
      </c>
      <c r="C66" s="161">
        <v>5545</v>
      </c>
      <c r="D66" s="161">
        <v>8975</v>
      </c>
      <c r="E66" s="161">
        <v>15319</v>
      </c>
      <c r="F66" s="161">
        <v>15555</v>
      </c>
      <c r="G66" s="161">
        <v>28730</v>
      </c>
      <c r="H66" s="161">
        <v>19172</v>
      </c>
      <c r="I66" s="179">
        <f>IFERROR(H66/G66-1,"-")</f>
        <v>-0.33268360598677338</v>
      </c>
      <c r="J66" s="162">
        <f t="shared" ref="J66:J77" si="37">IFERROR(H66/D66-1,"-")</f>
        <v>1.1361559888579387</v>
      </c>
      <c r="K66" s="161">
        <f t="shared" ref="K66:K76" si="38">H66-G66</f>
        <v>-9558</v>
      </c>
      <c r="L66" s="161">
        <f t="shared" ref="L66:L77" si="39">H66-D66</f>
        <v>10197</v>
      </c>
      <c r="M66" s="162">
        <f t="shared" si="36"/>
        <v>7.1894317003988462E-3</v>
      </c>
    </row>
    <row r="67" spans="2:13" x14ac:dyDescent="0.25">
      <c r="B67" s="164" t="s">
        <v>105</v>
      </c>
      <c r="C67" s="165">
        <v>2263</v>
      </c>
      <c r="D67" s="165">
        <v>8610</v>
      </c>
      <c r="E67" s="165">
        <v>11257</v>
      </c>
      <c r="F67" s="165">
        <v>11294</v>
      </c>
      <c r="G67" s="165">
        <v>17808</v>
      </c>
      <c r="H67" s="165">
        <v>7441</v>
      </c>
      <c r="I67" s="180">
        <f>IFERROR(H67/G67-1,"-")</f>
        <v>-0.58215408805031443</v>
      </c>
      <c r="J67" s="166">
        <f t="shared" si="37"/>
        <v>-0.13577235772357721</v>
      </c>
      <c r="K67" s="165">
        <f t="shared" si="38"/>
        <v>-10367</v>
      </c>
      <c r="L67" s="165">
        <f t="shared" si="39"/>
        <v>-1169</v>
      </c>
      <c r="M67" s="166">
        <f t="shared" si="36"/>
        <v>2.7903484916893288E-3</v>
      </c>
    </row>
    <row r="68" spans="2:13" x14ac:dyDescent="0.25">
      <c r="B68" s="164" t="s">
        <v>102</v>
      </c>
      <c r="C68" s="165">
        <v>3282</v>
      </c>
      <c r="D68" s="165">
        <v>365</v>
      </c>
      <c r="E68" s="165">
        <v>4062</v>
      </c>
      <c r="F68" s="165">
        <v>4261</v>
      </c>
      <c r="G68" s="165">
        <v>10922</v>
      </c>
      <c r="H68" s="165">
        <v>11731</v>
      </c>
      <c r="I68" s="180">
        <f>IFERROR(H68/G68-1,"-")</f>
        <v>7.4070683025087014E-2</v>
      </c>
      <c r="J68" s="166">
        <f t="shared" si="37"/>
        <v>31.139726027397259</v>
      </c>
      <c r="K68" s="165">
        <f t="shared" si="38"/>
        <v>809</v>
      </c>
      <c r="L68" s="165">
        <f t="shared" si="39"/>
        <v>11366</v>
      </c>
      <c r="M68" s="166">
        <f t="shared" si="36"/>
        <v>4.3990832087095174E-3</v>
      </c>
    </row>
    <row r="69" spans="2:13" x14ac:dyDescent="0.25">
      <c r="B69" s="160" t="s">
        <v>109</v>
      </c>
      <c r="C69" s="161">
        <v>18528</v>
      </c>
      <c r="D69" s="161">
        <v>8024</v>
      </c>
      <c r="E69" s="161">
        <v>52047</v>
      </c>
      <c r="F69" s="161">
        <v>71101</v>
      </c>
      <c r="G69" s="161">
        <v>88125</v>
      </c>
      <c r="H69" s="161">
        <v>75021</v>
      </c>
      <c r="I69" s="179">
        <f>IFERROR(H69/G69-1,"-")</f>
        <v>-0.14869787234042553</v>
      </c>
      <c r="J69" s="162">
        <f t="shared" si="37"/>
        <v>8.3495762711864412</v>
      </c>
      <c r="K69" s="161">
        <f t="shared" si="38"/>
        <v>-13104</v>
      </c>
      <c r="L69" s="161">
        <f t="shared" si="39"/>
        <v>66997</v>
      </c>
      <c r="M69" s="162">
        <f t="shared" si="36"/>
        <v>2.8132607740226467E-2</v>
      </c>
    </row>
    <row r="70" spans="2:13" x14ac:dyDescent="0.25">
      <c r="B70" s="164" t="s">
        <v>112</v>
      </c>
      <c r="C70" s="165">
        <v>7372</v>
      </c>
      <c r="D70" s="165">
        <v>877</v>
      </c>
      <c r="E70" s="165">
        <v>21001</v>
      </c>
      <c r="F70" s="165">
        <v>25101</v>
      </c>
      <c r="G70" s="165">
        <v>34981</v>
      </c>
      <c r="H70" s="165">
        <v>37459</v>
      </c>
      <c r="I70" s="180">
        <f t="shared" ref="I70:I77" si="40">IFERROR(H70/G70-1,"-")</f>
        <v>7.0838455161373215E-2</v>
      </c>
      <c r="J70" s="166">
        <f t="shared" si="37"/>
        <v>41.712656784492587</v>
      </c>
      <c r="K70" s="165">
        <f t="shared" si="38"/>
        <v>2478</v>
      </c>
      <c r="L70" s="165">
        <f t="shared" si="39"/>
        <v>36582</v>
      </c>
      <c r="M70" s="166">
        <f t="shared" si="36"/>
        <v>1.4046991553580241E-2</v>
      </c>
    </row>
    <row r="71" spans="2:13" x14ac:dyDescent="0.25">
      <c r="B71" s="164" t="s">
        <v>115</v>
      </c>
      <c r="C71" s="165">
        <v>2105</v>
      </c>
      <c r="D71" s="165">
        <v>1250</v>
      </c>
      <c r="E71" s="165">
        <v>5401</v>
      </c>
      <c r="F71" s="165">
        <v>5574</v>
      </c>
      <c r="G71" s="165">
        <v>5513</v>
      </c>
      <c r="H71" s="165">
        <v>5601</v>
      </c>
      <c r="I71" s="180">
        <f t="shared" si="40"/>
        <v>1.5962270995828032E-2</v>
      </c>
      <c r="J71" s="166">
        <f t="shared" si="37"/>
        <v>3.4808000000000003</v>
      </c>
      <c r="K71" s="165">
        <f t="shared" si="38"/>
        <v>88</v>
      </c>
      <c r="L71" s="165">
        <f t="shared" si="39"/>
        <v>4351</v>
      </c>
      <c r="M71" s="166">
        <f t="shared" si="36"/>
        <v>2.1003550466270572E-3</v>
      </c>
    </row>
    <row r="72" spans="2:13" x14ac:dyDescent="0.25">
      <c r="B72" s="164" t="s">
        <v>118</v>
      </c>
      <c r="C72" s="165">
        <v>2465</v>
      </c>
      <c r="D72" s="165">
        <v>1193</v>
      </c>
      <c r="E72" s="165">
        <v>6893</v>
      </c>
      <c r="F72" s="165">
        <v>8787</v>
      </c>
      <c r="G72" s="165">
        <v>10100</v>
      </c>
      <c r="H72" s="165">
        <v>5029</v>
      </c>
      <c r="I72" s="180">
        <f t="shared" si="40"/>
        <v>-0.50207920792079208</v>
      </c>
      <c r="J72" s="166">
        <f t="shared" si="37"/>
        <v>3.2154233025984915</v>
      </c>
      <c r="K72" s="165">
        <f t="shared" si="38"/>
        <v>-5071</v>
      </c>
      <c r="L72" s="165">
        <f t="shared" si="39"/>
        <v>3836</v>
      </c>
      <c r="M72" s="166">
        <f t="shared" si="36"/>
        <v>1.8858570843576987E-3</v>
      </c>
    </row>
    <row r="73" spans="2:13" x14ac:dyDescent="0.25">
      <c r="B73" s="164" t="s">
        <v>125</v>
      </c>
      <c r="C73" s="165">
        <v>210</v>
      </c>
      <c r="D73" s="165">
        <v>419</v>
      </c>
      <c r="E73" s="165">
        <v>1522</v>
      </c>
      <c r="F73" s="165">
        <v>1870</v>
      </c>
      <c r="G73" s="165">
        <v>3396</v>
      </c>
      <c r="H73" s="165">
        <v>2650</v>
      </c>
      <c r="I73" s="180">
        <f t="shared" si="40"/>
        <v>-0.21967020023557127</v>
      </c>
      <c r="J73" s="166">
        <f t="shared" si="37"/>
        <v>5.3245823389021476</v>
      </c>
      <c r="K73" s="165">
        <f t="shared" si="38"/>
        <v>-746</v>
      </c>
      <c r="L73" s="165">
        <f t="shared" si="39"/>
        <v>2231</v>
      </c>
      <c r="M73" s="166">
        <f t="shared" si="36"/>
        <v>9.9374055946468498E-4</v>
      </c>
    </row>
    <row r="74" spans="2:13" x14ac:dyDescent="0.25">
      <c r="B74" s="164" t="s">
        <v>121</v>
      </c>
      <c r="C74" s="165">
        <v>472</v>
      </c>
      <c r="D74" s="165">
        <v>426</v>
      </c>
      <c r="E74" s="165">
        <v>1477</v>
      </c>
      <c r="F74" s="165">
        <v>1476</v>
      </c>
      <c r="G74" s="165">
        <v>1986</v>
      </c>
      <c r="H74" s="165">
        <v>1550</v>
      </c>
      <c r="I74" s="180">
        <f t="shared" si="40"/>
        <v>-0.21953675730110778</v>
      </c>
      <c r="J74" s="166">
        <f t="shared" si="37"/>
        <v>2.6384976525821595</v>
      </c>
      <c r="K74" s="165">
        <f t="shared" si="38"/>
        <v>-436</v>
      </c>
      <c r="L74" s="165">
        <f t="shared" si="39"/>
        <v>1124</v>
      </c>
      <c r="M74" s="166">
        <f t="shared" si="36"/>
        <v>5.8124447817745734E-4</v>
      </c>
    </row>
    <row r="75" spans="2:13" x14ac:dyDescent="0.25">
      <c r="B75" s="164" t="s">
        <v>130</v>
      </c>
      <c r="C75" s="165">
        <v>664</v>
      </c>
      <c r="D75" s="165">
        <v>1</v>
      </c>
      <c r="E75" s="165">
        <v>1041</v>
      </c>
      <c r="F75" s="165">
        <v>3201</v>
      </c>
      <c r="G75" s="165">
        <v>2216</v>
      </c>
      <c r="H75" s="165">
        <v>1462</v>
      </c>
      <c r="I75" s="180">
        <f t="shared" si="40"/>
        <v>-0.34025270758122739</v>
      </c>
      <c r="J75" s="166">
        <f t="shared" si="37"/>
        <v>1461</v>
      </c>
      <c r="K75" s="165">
        <f t="shared" si="38"/>
        <v>-754</v>
      </c>
      <c r="L75" s="165">
        <f t="shared" si="39"/>
        <v>1461</v>
      </c>
      <c r="M75" s="166">
        <f t="shared" si="36"/>
        <v>5.4824479167447904E-4</v>
      </c>
    </row>
    <row r="76" spans="2:13" x14ac:dyDescent="0.25">
      <c r="B76" s="164" t="s">
        <v>133</v>
      </c>
      <c r="C76" s="165">
        <v>788</v>
      </c>
      <c r="D76" s="165">
        <v>0</v>
      </c>
      <c r="E76" s="165">
        <v>418</v>
      </c>
      <c r="F76" s="165">
        <v>936</v>
      </c>
      <c r="G76" s="165">
        <v>1641</v>
      </c>
      <c r="H76" s="165">
        <v>1825</v>
      </c>
      <c r="I76" s="180">
        <f t="shared" si="40"/>
        <v>0.11212675198049959</v>
      </c>
      <c r="J76" s="166" t="str">
        <f t="shared" si="37"/>
        <v>-</v>
      </c>
      <c r="K76" s="165">
        <f t="shared" si="38"/>
        <v>184</v>
      </c>
      <c r="L76" s="165">
        <f t="shared" si="39"/>
        <v>1825</v>
      </c>
      <c r="M76" s="166">
        <f t="shared" si="36"/>
        <v>6.8436849849926431E-4</v>
      </c>
    </row>
    <row r="77" spans="2:13" x14ac:dyDescent="0.25">
      <c r="B77" s="169" t="s">
        <v>147</v>
      </c>
      <c r="C77" s="170">
        <f t="shared" ref="C77" si="41">C69-SUM(C70:C76)</f>
        <v>4452</v>
      </c>
      <c r="D77" s="170">
        <f t="shared" ref="D77:E77" si="42">D69-SUM(D70:D76)</f>
        <v>3858</v>
      </c>
      <c r="E77" s="170">
        <f t="shared" si="42"/>
        <v>14294</v>
      </c>
      <c r="F77" s="170">
        <f t="shared" ref="F77:H77" si="43">F69-SUM(F70:F76)</f>
        <v>24156</v>
      </c>
      <c r="G77" s="170">
        <f t="shared" si="43"/>
        <v>28292</v>
      </c>
      <c r="H77" s="170">
        <f t="shared" si="43"/>
        <v>19445</v>
      </c>
      <c r="I77" s="181">
        <f t="shared" si="40"/>
        <v>-0.31270323766435737</v>
      </c>
      <c r="J77" s="171">
        <f t="shared" si="37"/>
        <v>4.0401762571280457</v>
      </c>
      <c r="K77" s="170">
        <f>H77-G77</f>
        <v>-8847</v>
      </c>
      <c r="L77" s="170">
        <f t="shared" si="39"/>
        <v>15587</v>
      </c>
      <c r="M77" s="171">
        <f t="shared" si="36"/>
        <v>7.2918057278455852E-3</v>
      </c>
    </row>
    <row r="78" spans="2:13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5"/>
      <c r="L78" s="154"/>
      <c r="M78" s="154"/>
    </row>
    <row r="79" spans="2:13" x14ac:dyDescent="0.25">
      <c r="B79" s="157" t="s">
        <v>70</v>
      </c>
      <c r="C79" s="177">
        <v>142242</v>
      </c>
      <c r="D79" s="177">
        <v>70082</v>
      </c>
      <c r="E79" s="177">
        <v>321332</v>
      </c>
      <c r="F79" s="177">
        <v>378937</v>
      </c>
      <c r="G79" s="177">
        <v>434631</v>
      </c>
      <c r="H79" s="177">
        <v>443938</v>
      </c>
      <c r="I79" s="178">
        <f>IFERROR(H79/G79-1,"-")</f>
        <v>2.1413566910781778E-2</v>
      </c>
      <c r="J79" s="178">
        <f>IFERROR(H79/D79-1,"-")</f>
        <v>5.334550954596045</v>
      </c>
      <c r="K79" s="177">
        <f>H79-G79</f>
        <v>9307</v>
      </c>
      <c r="L79" s="177">
        <f>H79-D79</f>
        <v>373856</v>
      </c>
      <c r="M79" s="178">
        <f t="shared" ref="M79:M91" si="44">H79/H$9</f>
        <v>0.16647516848589938</v>
      </c>
    </row>
    <row r="80" spans="2:13" x14ac:dyDescent="0.25">
      <c r="B80" s="160" t="s">
        <v>99</v>
      </c>
      <c r="C80" s="161">
        <v>47060</v>
      </c>
      <c r="D80" s="161">
        <v>39171</v>
      </c>
      <c r="E80" s="161">
        <v>153117</v>
      </c>
      <c r="F80" s="161">
        <v>165380</v>
      </c>
      <c r="G80" s="161">
        <v>177175</v>
      </c>
      <c r="H80" s="161">
        <v>181105</v>
      </c>
      <c r="I80" s="179">
        <f>IFERROR(H80/G80-1,"-")</f>
        <v>2.2181459009454008E-2</v>
      </c>
      <c r="J80" s="162">
        <f t="shared" ref="J80:J91" si="45">IFERROR(H80/D80-1,"-")</f>
        <v>3.623445916621991</v>
      </c>
      <c r="K80" s="161">
        <f t="shared" ref="K80:K90" si="46">H80-G80</f>
        <v>3930</v>
      </c>
      <c r="L80" s="161">
        <f t="shared" ref="L80:L91" si="47">H80-D80</f>
        <v>141934</v>
      </c>
      <c r="M80" s="162">
        <f t="shared" si="44"/>
        <v>6.7913729819566712E-2</v>
      </c>
    </row>
    <row r="81" spans="2:13" x14ac:dyDescent="0.25">
      <c r="B81" s="164" t="s">
        <v>105</v>
      </c>
      <c r="C81" s="165">
        <v>8752</v>
      </c>
      <c r="D81" s="165">
        <v>17880</v>
      </c>
      <c r="E81" s="165">
        <v>41817</v>
      </c>
      <c r="F81" s="165">
        <v>42733</v>
      </c>
      <c r="G81" s="165">
        <v>50173</v>
      </c>
      <c r="H81" s="165">
        <v>41021</v>
      </c>
      <c r="I81" s="180">
        <f>IFERROR(H81/G81-1,"-")</f>
        <v>-0.18240886532597211</v>
      </c>
      <c r="J81" s="166">
        <f t="shared" si="45"/>
        <v>1.2942393736017896</v>
      </c>
      <c r="K81" s="165">
        <f t="shared" si="46"/>
        <v>-9152</v>
      </c>
      <c r="L81" s="165">
        <f t="shared" si="47"/>
        <v>23141</v>
      </c>
      <c r="M81" s="166">
        <f t="shared" si="44"/>
        <v>1.5382728864075792E-2</v>
      </c>
    </row>
    <row r="82" spans="2:13" x14ac:dyDescent="0.25">
      <c r="B82" s="164" t="s">
        <v>102</v>
      </c>
      <c r="C82" s="165">
        <v>38308</v>
      </c>
      <c r="D82" s="165">
        <v>21291</v>
      </c>
      <c r="E82" s="165">
        <v>111300</v>
      </c>
      <c r="F82" s="165">
        <v>122647</v>
      </c>
      <c r="G82" s="165">
        <v>127002</v>
      </c>
      <c r="H82" s="165">
        <v>140084</v>
      </c>
      <c r="I82" s="180">
        <f>IFERROR(H82/G82-1,"-")</f>
        <v>0.10300625187004919</v>
      </c>
      <c r="J82" s="166">
        <f t="shared" si="45"/>
        <v>5.5794936827767598</v>
      </c>
      <c r="K82" s="165">
        <f t="shared" si="46"/>
        <v>13082</v>
      </c>
      <c r="L82" s="165">
        <f t="shared" si="47"/>
        <v>118793</v>
      </c>
      <c r="M82" s="166">
        <f t="shared" si="44"/>
        <v>5.2531000955490924E-2</v>
      </c>
    </row>
    <row r="83" spans="2:13" x14ac:dyDescent="0.25">
      <c r="B83" s="160" t="s">
        <v>109</v>
      </c>
      <c r="C83" s="161">
        <v>95182</v>
      </c>
      <c r="D83" s="161">
        <v>30911</v>
      </c>
      <c r="E83" s="161">
        <v>168215</v>
      </c>
      <c r="F83" s="161">
        <v>213557</v>
      </c>
      <c r="G83" s="161">
        <v>257456</v>
      </c>
      <c r="H83" s="161">
        <v>262833</v>
      </c>
      <c r="I83" s="179">
        <f>IFERROR(H83/G83-1,"-")</f>
        <v>2.0885122117954236E-2</v>
      </c>
      <c r="J83" s="162">
        <f t="shared" si="45"/>
        <v>7.5028954094011837</v>
      </c>
      <c r="K83" s="161">
        <f t="shared" si="46"/>
        <v>5377</v>
      </c>
      <c r="L83" s="161">
        <f t="shared" si="47"/>
        <v>231922</v>
      </c>
      <c r="M83" s="162">
        <f t="shared" si="44"/>
        <v>9.8561438666332671E-2</v>
      </c>
    </row>
    <row r="84" spans="2:13" x14ac:dyDescent="0.25">
      <c r="B84" s="164" t="s">
        <v>112</v>
      </c>
      <c r="C84" s="165">
        <v>16800</v>
      </c>
      <c r="D84" s="165">
        <v>2073</v>
      </c>
      <c r="E84" s="165">
        <v>30030</v>
      </c>
      <c r="F84" s="165">
        <v>40721</v>
      </c>
      <c r="G84" s="165">
        <v>50856</v>
      </c>
      <c r="H84" s="165">
        <v>51057</v>
      </c>
      <c r="I84" s="180">
        <f t="shared" ref="I84:I91" si="48">IFERROR(H84/G84-1,"-")</f>
        <v>3.9523360075506275E-3</v>
      </c>
      <c r="J84" s="166">
        <f t="shared" si="45"/>
        <v>23.629522431259044</v>
      </c>
      <c r="K84" s="165">
        <f t="shared" si="46"/>
        <v>201</v>
      </c>
      <c r="L84" s="165">
        <f t="shared" si="47"/>
        <v>48984</v>
      </c>
      <c r="M84" s="166">
        <f t="shared" si="44"/>
        <v>1.9146193111165444E-2</v>
      </c>
    </row>
    <row r="85" spans="2:13" x14ac:dyDescent="0.25">
      <c r="B85" s="164" t="s">
        <v>115</v>
      </c>
      <c r="C85" s="165">
        <v>32881</v>
      </c>
      <c r="D85" s="165">
        <v>6401</v>
      </c>
      <c r="E85" s="165">
        <v>53184</v>
      </c>
      <c r="F85" s="165">
        <v>64537</v>
      </c>
      <c r="G85" s="165">
        <v>73470</v>
      </c>
      <c r="H85" s="165">
        <v>73054</v>
      </c>
      <c r="I85" s="180">
        <f t="shared" si="48"/>
        <v>-5.6621750374302726E-3</v>
      </c>
      <c r="J85" s="166">
        <f t="shared" si="45"/>
        <v>10.412904233713482</v>
      </c>
      <c r="K85" s="165">
        <f t="shared" si="46"/>
        <v>-416</v>
      </c>
      <c r="L85" s="165">
        <f t="shared" si="47"/>
        <v>66653</v>
      </c>
      <c r="M85" s="166">
        <f t="shared" si="44"/>
        <v>2.7394989747597399E-2</v>
      </c>
    </row>
    <row r="86" spans="2:13" x14ac:dyDescent="0.25">
      <c r="B86" s="164" t="s">
        <v>118</v>
      </c>
      <c r="C86" s="165">
        <v>5852</v>
      </c>
      <c r="D86" s="165">
        <v>5922</v>
      </c>
      <c r="E86" s="165">
        <v>15453</v>
      </c>
      <c r="F86" s="165">
        <v>19572</v>
      </c>
      <c r="G86" s="165">
        <v>28865</v>
      </c>
      <c r="H86" s="165">
        <v>29134</v>
      </c>
      <c r="I86" s="180">
        <f t="shared" si="48"/>
        <v>9.3192447600900508E-3</v>
      </c>
      <c r="J86" s="166">
        <f t="shared" si="45"/>
        <v>3.9196217494089831</v>
      </c>
      <c r="K86" s="165">
        <f t="shared" si="46"/>
        <v>269</v>
      </c>
      <c r="L86" s="165">
        <f t="shared" si="47"/>
        <v>23212</v>
      </c>
      <c r="M86" s="166">
        <f t="shared" si="44"/>
        <v>1.0925146211110995E-2</v>
      </c>
    </row>
    <row r="87" spans="2:13" x14ac:dyDescent="0.25">
      <c r="B87" s="164" t="s">
        <v>125</v>
      </c>
      <c r="C87" s="165">
        <v>1464</v>
      </c>
      <c r="D87" s="165">
        <v>579</v>
      </c>
      <c r="E87" s="165">
        <v>4796</v>
      </c>
      <c r="F87" s="165">
        <v>4747</v>
      </c>
      <c r="G87" s="165">
        <v>7257</v>
      </c>
      <c r="H87" s="165">
        <v>7143</v>
      </c>
      <c r="I87" s="180">
        <f t="shared" si="48"/>
        <v>-1.5708970649028542E-2</v>
      </c>
      <c r="J87" s="166">
        <f t="shared" si="45"/>
        <v>11.336787564766839</v>
      </c>
      <c r="K87" s="165">
        <f t="shared" si="46"/>
        <v>-114</v>
      </c>
      <c r="L87" s="165">
        <f t="shared" si="47"/>
        <v>6564</v>
      </c>
      <c r="M87" s="166">
        <f t="shared" si="44"/>
        <v>2.6785995533042438E-3</v>
      </c>
    </row>
    <row r="88" spans="2:13" x14ac:dyDescent="0.25">
      <c r="B88" s="164" t="s">
        <v>121</v>
      </c>
      <c r="C88" s="165">
        <v>1087</v>
      </c>
      <c r="D88" s="165">
        <v>723</v>
      </c>
      <c r="E88" s="165">
        <v>2900</v>
      </c>
      <c r="F88" s="165">
        <v>2774</v>
      </c>
      <c r="G88" s="165">
        <v>3642</v>
      </c>
      <c r="H88" s="165">
        <v>3854</v>
      </c>
      <c r="I88" s="180">
        <f t="shared" si="48"/>
        <v>5.8209774848984042E-2</v>
      </c>
      <c r="J88" s="166">
        <f t="shared" si="45"/>
        <v>4.3305670816044257</v>
      </c>
      <c r="K88" s="165">
        <f t="shared" si="46"/>
        <v>212</v>
      </c>
      <c r="L88" s="165">
        <f t="shared" si="47"/>
        <v>3131</v>
      </c>
      <c r="M88" s="166">
        <f t="shared" si="44"/>
        <v>1.4452362702554325E-3</v>
      </c>
    </row>
    <row r="89" spans="2:13" x14ac:dyDescent="0.25">
      <c r="B89" s="164" t="s">
        <v>130</v>
      </c>
      <c r="C89" s="165">
        <v>3002</v>
      </c>
      <c r="D89" s="165">
        <v>112</v>
      </c>
      <c r="E89" s="165">
        <v>3376</v>
      </c>
      <c r="F89" s="165">
        <v>5224</v>
      </c>
      <c r="G89" s="165">
        <v>4318</v>
      </c>
      <c r="H89" s="165">
        <v>4499</v>
      </c>
      <c r="I89" s="180">
        <f t="shared" si="48"/>
        <v>4.1917554423344106E-2</v>
      </c>
      <c r="J89" s="166">
        <f t="shared" si="45"/>
        <v>39.169642857142854</v>
      </c>
      <c r="K89" s="165">
        <f t="shared" si="46"/>
        <v>181</v>
      </c>
      <c r="L89" s="165">
        <f t="shared" si="47"/>
        <v>4387</v>
      </c>
      <c r="M89" s="166">
        <f t="shared" si="44"/>
        <v>1.6871089724647616E-3</v>
      </c>
    </row>
    <row r="90" spans="2:13" x14ac:dyDescent="0.25">
      <c r="B90" s="164" t="s">
        <v>133</v>
      </c>
      <c r="C90" s="165">
        <v>4636</v>
      </c>
      <c r="D90" s="165">
        <v>405</v>
      </c>
      <c r="E90" s="165">
        <v>3155</v>
      </c>
      <c r="F90" s="165">
        <v>5658</v>
      </c>
      <c r="G90" s="165">
        <v>5939</v>
      </c>
      <c r="H90" s="165">
        <v>4003</v>
      </c>
      <c r="I90" s="180">
        <f t="shared" si="48"/>
        <v>-0.32598080484930125</v>
      </c>
      <c r="J90" s="166">
        <f t="shared" si="45"/>
        <v>8.8839506172839506</v>
      </c>
      <c r="K90" s="165">
        <f t="shared" si="46"/>
        <v>-1936</v>
      </c>
      <c r="L90" s="165">
        <f t="shared" si="47"/>
        <v>3598</v>
      </c>
      <c r="M90" s="166">
        <f t="shared" si="44"/>
        <v>1.5011107394479752E-3</v>
      </c>
    </row>
    <row r="91" spans="2:13" x14ac:dyDescent="0.25">
      <c r="B91" s="169" t="s">
        <v>147</v>
      </c>
      <c r="C91" s="170">
        <f t="shared" ref="C91" si="49">C83-SUM(C84:C90)</f>
        <v>29460</v>
      </c>
      <c r="D91" s="170">
        <f t="shared" ref="D91:E91" si="50">D83-SUM(D84:D90)</f>
        <v>14696</v>
      </c>
      <c r="E91" s="170">
        <f t="shared" si="50"/>
        <v>55321</v>
      </c>
      <c r="F91" s="170">
        <f t="shared" ref="F91:H91" si="51">F83-SUM(F84:F90)</f>
        <v>70324</v>
      </c>
      <c r="G91" s="170">
        <f t="shared" si="51"/>
        <v>83109</v>
      </c>
      <c r="H91" s="170">
        <f t="shared" si="51"/>
        <v>90089</v>
      </c>
      <c r="I91" s="181">
        <f t="shared" si="48"/>
        <v>8.3986090555776105E-2</v>
      </c>
      <c r="J91" s="171">
        <f t="shared" si="45"/>
        <v>5.1301714752313554</v>
      </c>
      <c r="K91" s="170">
        <f>H91-G91</f>
        <v>6980</v>
      </c>
      <c r="L91" s="170">
        <f t="shared" si="47"/>
        <v>75393</v>
      </c>
      <c r="M91" s="171">
        <f t="shared" si="44"/>
        <v>3.3783054060986417E-2</v>
      </c>
    </row>
    <row r="92" spans="2:13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5"/>
      <c r="L92" s="154"/>
      <c r="M92" s="154"/>
    </row>
    <row r="93" spans="2:13" x14ac:dyDescent="0.25">
      <c r="B93" s="157" t="s">
        <v>70</v>
      </c>
      <c r="C93" s="177">
        <v>12754</v>
      </c>
      <c r="D93" s="177">
        <v>11802</v>
      </c>
      <c r="E93" s="177">
        <v>24671</v>
      </c>
      <c r="F93" s="177">
        <v>30683</v>
      </c>
      <c r="G93" s="177">
        <v>29198</v>
      </c>
      <c r="H93" s="177">
        <v>28272</v>
      </c>
      <c r="I93" s="178">
        <f>IFERROR(H93/G93-1,"-")</f>
        <v>-3.1714500993218708E-2</v>
      </c>
      <c r="J93" s="178">
        <f>IFERROR(H93/D93-1,"-")</f>
        <v>1.3955261820030502</v>
      </c>
      <c r="K93" s="177">
        <f>H93-G93</f>
        <v>-926</v>
      </c>
      <c r="L93" s="177">
        <f>H93-D93</f>
        <v>16470</v>
      </c>
      <c r="M93" s="178">
        <f t="shared" ref="M93:M105" si="52">H93/H$9</f>
        <v>1.0601899281956822E-2</v>
      </c>
    </row>
    <row r="94" spans="2:13" x14ac:dyDescent="0.25">
      <c r="B94" s="160" t="s">
        <v>99</v>
      </c>
      <c r="C94" s="161">
        <v>7454</v>
      </c>
      <c r="D94" s="161">
        <v>7418</v>
      </c>
      <c r="E94" s="161">
        <v>15383</v>
      </c>
      <c r="F94" s="161">
        <v>19920</v>
      </c>
      <c r="G94" s="161">
        <v>16896</v>
      </c>
      <c r="H94" s="161">
        <v>16644</v>
      </c>
      <c r="I94" s="179">
        <f>IFERROR(H94/G94-1,"-")</f>
        <v>-1.4914772727272707E-2</v>
      </c>
      <c r="J94" s="162">
        <f t="shared" ref="J94:J105" si="53">IFERROR(H94/D94-1,"-")</f>
        <v>1.2437314640064709</v>
      </c>
      <c r="K94" s="161">
        <f t="shared" ref="K94:K104" si="54">H94-G94</f>
        <v>-252</v>
      </c>
      <c r="L94" s="161">
        <f t="shared" ref="L94:L105" si="55">H94-D94</f>
        <v>9226</v>
      </c>
      <c r="M94" s="162">
        <f t="shared" si="52"/>
        <v>6.24144070631329E-3</v>
      </c>
    </row>
    <row r="95" spans="2:13" x14ac:dyDescent="0.25">
      <c r="B95" s="164" t="s">
        <v>105</v>
      </c>
      <c r="C95" s="165">
        <v>4239</v>
      </c>
      <c r="D95" s="165">
        <v>4253</v>
      </c>
      <c r="E95" s="165">
        <v>7500</v>
      </c>
      <c r="F95" s="165">
        <v>5955</v>
      </c>
      <c r="G95" s="165">
        <v>4664</v>
      </c>
      <c r="H95" s="165">
        <v>5394</v>
      </c>
      <c r="I95" s="180">
        <f>IFERROR(H95/G95-1,"-")</f>
        <v>0.15651801029159529</v>
      </c>
      <c r="J95" s="166">
        <f t="shared" si="53"/>
        <v>0.26828121326122734</v>
      </c>
      <c r="K95" s="165">
        <f t="shared" si="54"/>
        <v>730</v>
      </c>
      <c r="L95" s="165">
        <f t="shared" si="55"/>
        <v>1141</v>
      </c>
      <c r="M95" s="166">
        <f t="shared" si="52"/>
        <v>2.0227307840575515E-3</v>
      </c>
    </row>
    <row r="96" spans="2:13" x14ac:dyDescent="0.25">
      <c r="B96" s="164" t="s">
        <v>102</v>
      </c>
      <c r="C96" s="165">
        <v>3215</v>
      </c>
      <c r="D96" s="165">
        <v>3165</v>
      </c>
      <c r="E96" s="165">
        <v>7883</v>
      </c>
      <c r="F96" s="165">
        <v>13965</v>
      </c>
      <c r="G96" s="165">
        <v>12232</v>
      </c>
      <c r="H96" s="165">
        <v>11250</v>
      </c>
      <c r="I96" s="180">
        <f>IFERROR(H96/G96-1,"-")</f>
        <v>-8.0281229561805056E-2</v>
      </c>
      <c r="J96" s="166">
        <f t="shared" si="53"/>
        <v>2.5545023696682465</v>
      </c>
      <c r="K96" s="165">
        <f t="shared" si="54"/>
        <v>-982</v>
      </c>
      <c r="L96" s="165">
        <f t="shared" si="55"/>
        <v>8085</v>
      </c>
      <c r="M96" s="166">
        <f t="shared" si="52"/>
        <v>4.218709922255739E-3</v>
      </c>
    </row>
    <row r="97" spans="2:13" x14ac:dyDescent="0.25">
      <c r="B97" s="160" t="s">
        <v>109</v>
      </c>
      <c r="C97" s="161">
        <v>5300</v>
      </c>
      <c r="D97" s="161">
        <v>4384</v>
      </c>
      <c r="E97" s="161">
        <v>9288</v>
      </c>
      <c r="F97" s="161">
        <v>10763</v>
      </c>
      <c r="G97" s="161">
        <v>12302</v>
      </c>
      <c r="H97" s="161">
        <v>11628</v>
      </c>
      <c r="I97" s="179">
        <f>IFERROR(H97/G97-1,"-")</f>
        <v>-5.47878393757113E-2</v>
      </c>
      <c r="J97" s="162">
        <f t="shared" si="53"/>
        <v>1.6523722627737225</v>
      </c>
      <c r="K97" s="161">
        <f t="shared" si="54"/>
        <v>-674</v>
      </c>
      <c r="L97" s="161">
        <f t="shared" si="55"/>
        <v>7244</v>
      </c>
      <c r="M97" s="162">
        <f t="shared" si="52"/>
        <v>4.3604585756435313E-3</v>
      </c>
    </row>
    <row r="98" spans="2:13" x14ac:dyDescent="0.25">
      <c r="B98" s="164" t="s">
        <v>112</v>
      </c>
      <c r="C98" s="165">
        <v>994</v>
      </c>
      <c r="D98" s="165">
        <v>145</v>
      </c>
      <c r="E98" s="165">
        <v>1307</v>
      </c>
      <c r="F98" s="165">
        <v>1561</v>
      </c>
      <c r="G98" s="165">
        <v>1845</v>
      </c>
      <c r="H98" s="165">
        <v>1552</v>
      </c>
      <c r="I98" s="180">
        <f t="shared" ref="I98:I105" si="56">IFERROR(H98/G98-1,"-")</f>
        <v>-0.1588075880758808</v>
      </c>
      <c r="J98" s="166">
        <f t="shared" si="53"/>
        <v>9.703448275862069</v>
      </c>
      <c r="K98" s="165">
        <f t="shared" si="54"/>
        <v>-293</v>
      </c>
      <c r="L98" s="165">
        <f t="shared" si="55"/>
        <v>1407</v>
      </c>
      <c r="M98" s="166">
        <f t="shared" si="52"/>
        <v>5.8199447105252496E-4</v>
      </c>
    </row>
    <row r="99" spans="2:13" x14ac:dyDescent="0.25">
      <c r="B99" s="164" t="s">
        <v>115</v>
      </c>
      <c r="C99" s="165">
        <v>1071</v>
      </c>
      <c r="D99" s="165">
        <v>659</v>
      </c>
      <c r="E99" s="165">
        <v>1843</v>
      </c>
      <c r="F99" s="165">
        <v>2024</v>
      </c>
      <c r="G99" s="165">
        <v>2489</v>
      </c>
      <c r="H99" s="165">
        <v>2173</v>
      </c>
      <c r="I99" s="180">
        <f t="shared" si="56"/>
        <v>-0.12695861791884289</v>
      </c>
      <c r="J99" s="166">
        <f t="shared" si="53"/>
        <v>2.2974203338391503</v>
      </c>
      <c r="K99" s="165">
        <f t="shared" si="54"/>
        <v>-316</v>
      </c>
      <c r="L99" s="165">
        <f t="shared" si="55"/>
        <v>1514</v>
      </c>
      <c r="M99" s="166">
        <f t="shared" si="52"/>
        <v>8.1486725876104172E-4</v>
      </c>
    </row>
    <row r="100" spans="2:13" x14ac:dyDescent="0.25">
      <c r="B100" s="164" t="s">
        <v>118</v>
      </c>
      <c r="C100" s="165">
        <v>1161</v>
      </c>
      <c r="D100" s="165">
        <v>1852</v>
      </c>
      <c r="E100" s="165">
        <v>1779</v>
      </c>
      <c r="F100" s="165">
        <v>2117</v>
      </c>
      <c r="G100" s="165">
        <v>2082</v>
      </c>
      <c r="H100" s="165">
        <v>2030</v>
      </c>
      <c r="I100" s="180">
        <f t="shared" si="56"/>
        <v>-2.4975984630163262E-2</v>
      </c>
      <c r="J100" s="166">
        <f t="shared" si="53"/>
        <v>9.6112311015118745E-2</v>
      </c>
      <c r="K100" s="165">
        <f t="shared" si="54"/>
        <v>-52</v>
      </c>
      <c r="L100" s="165">
        <f t="shared" si="55"/>
        <v>178</v>
      </c>
      <c r="M100" s="166">
        <f t="shared" si="52"/>
        <v>7.612427681937022E-4</v>
      </c>
    </row>
    <row r="101" spans="2:13" x14ac:dyDescent="0.25">
      <c r="B101" s="164" t="s">
        <v>125</v>
      </c>
      <c r="C101" s="165">
        <v>265</v>
      </c>
      <c r="D101" s="165">
        <v>84</v>
      </c>
      <c r="E101" s="165">
        <v>672</v>
      </c>
      <c r="F101" s="165">
        <v>531</v>
      </c>
      <c r="G101" s="165">
        <v>598</v>
      </c>
      <c r="H101" s="165">
        <v>576</v>
      </c>
      <c r="I101" s="180">
        <f t="shared" si="56"/>
        <v>-3.6789297658862852E-2</v>
      </c>
      <c r="J101" s="166">
        <f t="shared" si="53"/>
        <v>5.8571428571428568</v>
      </c>
      <c r="K101" s="165">
        <f t="shared" si="54"/>
        <v>-22</v>
      </c>
      <c r="L101" s="165">
        <f t="shared" si="55"/>
        <v>492</v>
      </c>
      <c r="M101" s="166">
        <f t="shared" si="52"/>
        <v>2.1599794801949383E-4</v>
      </c>
    </row>
    <row r="102" spans="2:13" x14ac:dyDescent="0.25">
      <c r="B102" s="164" t="s">
        <v>121</v>
      </c>
      <c r="C102" s="165">
        <v>132</v>
      </c>
      <c r="D102" s="165">
        <v>154</v>
      </c>
      <c r="E102" s="165">
        <v>373</v>
      </c>
      <c r="F102" s="165">
        <v>293</v>
      </c>
      <c r="G102" s="165">
        <v>514</v>
      </c>
      <c r="H102" s="165">
        <v>484</v>
      </c>
      <c r="I102" s="180">
        <f t="shared" si="56"/>
        <v>-5.8365758754863828E-2</v>
      </c>
      <c r="J102" s="166">
        <f t="shared" si="53"/>
        <v>2.1428571428571428</v>
      </c>
      <c r="K102" s="165">
        <f t="shared" si="54"/>
        <v>-30</v>
      </c>
      <c r="L102" s="165">
        <f t="shared" si="55"/>
        <v>330</v>
      </c>
      <c r="M102" s="166">
        <f t="shared" si="52"/>
        <v>1.8149827576638021E-4</v>
      </c>
    </row>
    <row r="103" spans="2:13" x14ac:dyDescent="0.25">
      <c r="B103" s="164" t="s">
        <v>130</v>
      </c>
      <c r="C103" s="165">
        <v>112</v>
      </c>
      <c r="D103" s="165">
        <v>17</v>
      </c>
      <c r="E103" s="165">
        <v>182</v>
      </c>
      <c r="F103" s="165">
        <v>87</v>
      </c>
      <c r="G103" s="165">
        <v>151</v>
      </c>
      <c r="H103" s="165">
        <v>128</v>
      </c>
      <c r="I103" s="180">
        <f t="shared" si="56"/>
        <v>-0.15231788079470199</v>
      </c>
      <c r="J103" s="166">
        <f t="shared" si="53"/>
        <v>6.5294117647058822</v>
      </c>
      <c r="K103" s="165">
        <f t="shared" si="54"/>
        <v>-23</v>
      </c>
      <c r="L103" s="165">
        <f t="shared" si="55"/>
        <v>111</v>
      </c>
      <c r="M103" s="166">
        <f t="shared" si="52"/>
        <v>4.7999544004331957E-5</v>
      </c>
    </row>
    <row r="104" spans="2:13" x14ac:dyDescent="0.25">
      <c r="B104" s="164" t="s">
        <v>133</v>
      </c>
      <c r="C104" s="165">
        <v>61</v>
      </c>
      <c r="D104" s="165">
        <v>42</v>
      </c>
      <c r="E104" s="165">
        <v>99</v>
      </c>
      <c r="F104" s="165">
        <v>155</v>
      </c>
      <c r="G104" s="165">
        <v>265</v>
      </c>
      <c r="H104" s="165">
        <v>143</v>
      </c>
      <c r="I104" s="180">
        <f t="shared" si="56"/>
        <v>-0.46037735849056605</v>
      </c>
      <c r="J104" s="166">
        <f t="shared" si="53"/>
        <v>2.4047619047619047</v>
      </c>
      <c r="K104" s="165">
        <f t="shared" si="54"/>
        <v>-122</v>
      </c>
      <c r="L104" s="165">
        <f t="shared" si="55"/>
        <v>101</v>
      </c>
      <c r="M104" s="166">
        <f t="shared" si="52"/>
        <v>5.3624490567339613E-5</v>
      </c>
    </row>
    <row r="105" spans="2:13" x14ac:dyDescent="0.25">
      <c r="B105" s="169" t="s">
        <v>147</v>
      </c>
      <c r="C105" s="170">
        <f t="shared" ref="C105" si="57">C97-SUM(C98:C104)</f>
        <v>1504</v>
      </c>
      <c r="D105" s="170">
        <f t="shared" ref="D105:E105" si="58">D97-SUM(D98:D104)</f>
        <v>1431</v>
      </c>
      <c r="E105" s="170">
        <f t="shared" si="58"/>
        <v>3033</v>
      </c>
      <c r="F105" s="170">
        <f t="shared" ref="F105:H105" si="59">F97-SUM(F98:F104)</f>
        <v>3995</v>
      </c>
      <c r="G105" s="170">
        <f t="shared" si="59"/>
        <v>4358</v>
      </c>
      <c r="H105" s="170">
        <f t="shared" si="59"/>
        <v>4542</v>
      </c>
      <c r="I105" s="181">
        <f t="shared" si="56"/>
        <v>4.222120238641569E-2</v>
      </c>
      <c r="J105" s="171">
        <f t="shared" si="53"/>
        <v>2.1740041928721174</v>
      </c>
      <c r="K105" s="170">
        <f>H105-G105</f>
        <v>184</v>
      </c>
      <c r="L105" s="170">
        <f t="shared" si="55"/>
        <v>3111</v>
      </c>
      <c r="M105" s="171">
        <f t="shared" si="52"/>
        <v>1.7032338192787169E-3</v>
      </c>
    </row>
    <row r="106" spans="2:13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5"/>
      <c r="L106" s="154"/>
      <c r="M106" s="154"/>
    </row>
    <row r="107" spans="2:13" x14ac:dyDescent="0.25">
      <c r="B107" s="157" t="s">
        <v>70</v>
      </c>
      <c r="C107" s="177">
        <v>36009</v>
      </c>
      <c r="D107" s="177">
        <v>32678</v>
      </c>
      <c r="E107" s="177">
        <v>92080</v>
      </c>
      <c r="F107" s="177">
        <v>126756</v>
      </c>
      <c r="G107" s="177">
        <v>118276</v>
      </c>
      <c r="H107" s="177">
        <v>128577</v>
      </c>
      <c r="I107" s="178">
        <f>IFERROR(H107/G107-1,"-")</f>
        <v>8.7092901349386187E-2</v>
      </c>
      <c r="J107" s="178">
        <f>IFERROR(H107/D107-1,"-")</f>
        <v>2.9346655242058879</v>
      </c>
      <c r="K107" s="177">
        <f>H107-G107</f>
        <v>10301</v>
      </c>
      <c r="L107" s="177">
        <f>H107-D107</f>
        <v>95899</v>
      </c>
      <c r="M107" s="178">
        <f t="shared" ref="M107:M119" si="60">H107/H$9</f>
        <v>4.8215916948788989E-2</v>
      </c>
    </row>
    <row r="108" spans="2:13" x14ac:dyDescent="0.25">
      <c r="B108" s="160" t="s">
        <v>99</v>
      </c>
      <c r="C108" s="161">
        <v>7208</v>
      </c>
      <c r="D108" s="161">
        <v>19665</v>
      </c>
      <c r="E108" s="161">
        <v>19181</v>
      </c>
      <c r="F108" s="161">
        <v>24592</v>
      </c>
      <c r="G108" s="161">
        <v>22839</v>
      </c>
      <c r="H108" s="161">
        <v>25193</v>
      </c>
      <c r="I108" s="179">
        <f>IFERROR(H108/G108-1,"-")</f>
        <v>0.1030693112658172</v>
      </c>
      <c r="J108" s="162">
        <f t="shared" ref="J108:J119" si="61">IFERROR(H108/D108-1,"-")</f>
        <v>0.28110856852275612</v>
      </c>
      <c r="K108" s="161">
        <f t="shared" ref="K108:K118" si="62">H108-G108</f>
        <v>2354</v>
      </c>
      <c r="L108" s="161">
        <f t="shared" ref="L108:L119" si="63">H108-D108</f>
        <v>5528</v>
      </c>
      <c r="M108" s="162">
        <f t="shared" si="60"/>
        <v>9.4472852507901176E-3</v>
      </c>
    </row>
    <row r="109" spans="2:13" x14ac:dyDescent="0.25">
      <c r="B109" s="164" t="s">
        <v>105</v>
      </c>
      <c r="C109" s="165">
        <v>1451</v>
      </c>
      <c r="D109" s="165">
        <v>14560</v>
      </c>
      <c r="E109" s="165">
        <v>7536</v>
      </c>
      <c r="F109" s="165">
        <v>9982</v>
      </c>
      <c r="G109" s="165">
        <v>6776</v>
      </c>
      <c r="H109" s="165">
        <v>8640</v>
      </c>
      <c r="I109" s="180">
        <f>IFERROR(H109/G109-1,"-")</f>
        <v>0.27508854781582048</v>
      </c>
      <c r="J109" s="166">
        <f t="shared" si="61"/>
        <v>-0.40659340659340659</v>
      </c>
      <c r="K109" s="165">
        <f t="shared" si="62"/>
        <v>1864</v>
      </c>
      <c r="L109" s="165">
        <f t="shared" si="63"/>
        <v>-5920</v>
      </c>
      <c r="M109" s="166">
        <f t="shared" si="60"/>
        <v>3.2399692202924072E-3</v>
      </c>
    </row>
    <row r="110" spans="2:13" x14ac:dyDescent="0.25">
      <c r="B110" s="164" t="s">
        <v>102</v>
      </c>
      <c r="C110" s="165">
        <v>5757</v>
      </c>
      <c r="D110" s="165">
        <v>5105</v>
      </c>
      <c r="E110" s="165">
        <v>11645</v>
      </c>
      <c r="F110" s="165">
        <v>14610</v>
      </c>
      <c r="G110" s="165">
        <v>16063</v>
      </c>
      <c r="H110" s="165">
        <v>16553</v>
      </c>
      <c r="I110" s="180">
        <f>IFERROR(H110/G110-1,"-")</f>
        <v>3.0504887007408277E-2</v>
      </c>
      <c r="J110" s="166">
        <f t="shared" si="61"/>
        <v>2.2425073457394711</v>
      </c>
      <c r="K110" s="165">
        <f t="shared" si="62"/>
        <v>490</v>
      </c>
      <c r="L110" s="165">
        <f t="shared" si="63"/>
        <v>11448</v>
      </c>
      <c r="M110" s="166">
        <f t="shared" si="60"/>
        <v>6.2073160304977103E-3</v>
      </c>
    </row>
    <row r="111" spans="2:13" x14ac:dyDescent="0.25">
      <c r="B111" s="160" t="s">
        <v>109</v>
      </c>
      <c r="C111" s="161">
        <v>28801</v>
      </c>
      <c r="D111" s="161">
        <v>13013</v>
      </c>
      <c r="E111" s="161">
        <v>72899</v>
      </c>
      <c r="F111" s="161">
        <v>102164</v>
      </c>
      <c r="G111" s="161">
        <v>95437</v>
      </c>
      <c r="H111" s="161">
        <v>103384</v>
      </c>
      <c r="I111" s="179">
        <f>IFERROR(H111/G111-1,"-")</f>
        <v>8.3269591458239534E-2</v>
      </c>
      <c r="J111" s="162">
        <f t="shared" si="61"/>
        <v>6.9446707139014832</v>
      </c>
      <c r="K111" s="161">
        <f t="shared" si="62"/>
        <v>7947</v>
      </c>
      <c r="L111" s="161">
        <f t="shared" si="63"/>
        <v>90371</v>
      </c>
      <c r="M111" s="162">
        <f t="shared" si="60"/>
        <v>3.8768631697998872E-2</v>
      </c>
    </row>
    <row r="112" spans="2:13" x14ac:dyDescent="0.25">
      <c r="B112" s="164" t="s">
        <v>112</v>
      </c>
      <c r="C112" s="165">
        <v>15739</v>
      </c>
      <c r="D112" s="165">
        <v>1478</v>
      </c>
      <c r="E112" s="165">
        <v>41971</v>
      </c>
      <c r="F112" s="165">
        <v>65849</v>
      </c>
      <c r="G112" s="165">
        <v>57884</v>
      </c>
      <c r="H112" s="165">
        <v>60238</v>
      </c>
      <c r="I112" s="180">
        <f t="shared" ref="I112:I119" si="64">IFERROR(H112/G112-1,"-")</f>
        <v>4.06675419805127E-2</v>
      </c>
      <c r="J112" s="166">
        <f t="shared" si="61"/>
        <v>39.756427604871448</v>
      </c>
      <c r="K112" s="165">
        <f t="shared" si="62"/>
        <v>2354</v>
      </c>
      <c r="L112" s="165">
        <f t="shared" si="63"/>
        <v>58760</v>
      </c>
      <c r="M112" s="166">
        <f t="shared" si="60"/>
        <v>2.2589035404163661E-2</v>
      </c>
    </row>
    <row r="113" spans="2:13" x14ac:dyDescent="0.25">
      <c r="B113" s="164" t="s">
        <v>115</v>
      </c>
      <c r="C113" s="165">
        <v>1827</v>
      </c>
      <c r="D113" s="165">
        <v>3751</v>
      </c>
      <c r="E113" s="165">
        <v>3633</v>
      </c>
      <c r="F113" s="165">
        <v>4995</v>
      </c>
      <c r="G113" s="165">
        <v>4429</v>
      </c>
      <c r="H113" s="165">
        <v>5263</v>
      </c>
      <c r="I113" s="180">
        <f t="shared" si="64"/>
        <v>0.18830435764280873</v>
      </c>
      <c r="J113" s="166">
        <f t="shared" si="61"/>
        <v>0.4030925086643562</v>
      </c>
      <c r="K113" s="165">
        <f t="shared" si="62"/>
        <v>834</v>
      </c>
      <c r="L113" s="165">
        <f t="shared" si="63"/>
        <v>1512</v>
      </c>
      <c r="M113" s="166">
        <f t="shared" si="60"/>
        <v>1.9736062507406181E-3</v>
      </c>
    </row>
    <row r="114" spans="2:13" x14ac:dyDescent="0.25">
      <c r="B114" s="164" t="s">
        <v>118</v>
      </c>
      <c r="C114" s="165">
        <v>1518</v>
      </c>
      <c r="D114" s="165">
        <v>2692</v>
      </c>
      <c r="E114" s="165">
        <v>4513</v>
      </c>
      <c r="F114" s="165">
        <v>8423</v>
      </c>
      <c r="G114" s="165">
        <v>6264</v>
      </c>
      <c r="H114" s="165">
        <v>7976</v>
      </c>
      <c r="I114" s="180">
        <f t="shared" si="64"/>
        <v>0.27330779054916987</v>
      </c>
      <c r="J114" s="166">
        <f t="shared" si="61"/>
        <v>1.9628528974739972</v>
      </c>
      <c r="K114" s="165">
        <f t="shared" si="62"/>
        <v>1712</v>
      </c>
      <c r="L114" s="165">
        <f t="shared" si="63"/>
        <v>5284</v>
      </c>
      <c r="M114" s="166">
        <f t="shared" si="60"/>
        <v>2.990971585769935E-3</v>
      </c>
    </row>
    <row r="115" spans="2:13" x14ac:dyDescent="0.25">
      <c r="B115" s="164" t="s">
        <v>125</v>
      </c>
      <c r="C115" s="165">
        <v>586</v>
      </c>
      <c r="D115" s="165">
        <v>755</v>
      </c>
      <c r="E115" s="165">
        <v>3676</v>
      </c>
      <c r="F115" s="165">
        <v>3101</v>
      </c>
      <c r="G115" s="165">
        <v>3519</v>
      </c>
      <c r="H115" s="165">
        <v>3554</v>
      </c>
      <c r="I115" s="180">
        <f t="shared" si="64"/>
        <v>9.9460073884627409E-3</v>
      </c>
      <c r="J115" s="166">
        <f t="shared" si="61"/>
        <v>3.7072847682119203</v>
      </c>
      <c r="K115" s="165">
        <f t="shared" si="62"/>
        <v>35</v>
      </c>
      <c r="L115" s="165">
        <f t="shared" si="63"/>
        <v>2799</v>
      </c>
      <c r="M115" s="166">
        <f t="shared" si="60"/>
        <v>1.3327373389952796E-3</v>
      </c>
    </row>
    <row r="116" spans="2:13" x14ac:dyDescent="0.25">
      <c r="B116" s="164" t="s">
        <v>121</v>
      </c>
      <c r="C116" s="165">
        <v>875</v>
      </c>
      <c r="D116" s="165">
        <v>995</v>
      </c>
      <c r="E116" s="165">
        <v>2405</v>
      </c>
      <c r="F116" s="165">
        <v>2335</v>
      </c>
      <c r="G116" s="165">
        <v>2642</v>
      </c>
      <c r="H116" s="165">
        <v>2479</v>
      </c>
      <c r="I116" s="180">
        <f t="shared" si="64"/>
        <v>-6.1695685087055252E-2</v>
      </c>
      <c r="J116" s="166">
        <f t="shared" si="61"/>
        <v>1.4914572864321607</v>
      </c>
      <c r="K116" s="165">
        <f t="shared" si="62"/>
        <v>-163</v>
      </c>
      <c r="L116" s="165">
        <f t="shared" si="63"/>
        <v>1484</v>
      </c>
      <c r="M116" s="166">
        <f t="shared" si="60"/>
        <v>9.2961616864639782E-4</v>
      </c>
    </row>
    <row r="117" spans="2:13" x14ac:dyDescent="0.25">
      <c r="B117" s="164" t="s">
        <v>130</v>
      </c>
      <c r="C117" s="165">
        <v>386</v>
      </c>
      <c r="D117" s="165">
        <v>14</v>
      </c>
      <c r="E117" s="165">
        <v>471</v>
      </c>
      <c r="F117" s="165">
        <v>700</v>
      </c>
      <c r="G117" s="165">
        <v>878</v>
      </c>
      <c r="H117" s="165">
        <v>838</v>
      </c>
      <c r="I117" s="180">
        <f t="shared" si="64"/>
        <v>-4.5558086560364419E-2</v>
      </c>
      <c r="J117" s="166">
        <f t="shared" si="61"/>
        <v>58.857142857142854</v>
      </c>
      <c r="K117" s="165">
        <f t="shared" si="62"/>
        <v>-40</v>
      </c>
      <c r="L117" s="165">
        <f t="shared" si="63"/>
        <v>824</v>
      </c>
      <c r="M117" s="166">
        <f t="shared" si="60"/>
        <v>3.142470146533608E-4</v>
      </c>
    </row>
    <row r="118" spans="2:13" x14ac:dyDescent="0.25">
      <c r="B118" s="164" t="s">
        <v>133</v>
      </c>
      <c r="C118" s="165">
        <v>909</v>
      </c>
      <c r="D118" s="165">
        <v>20</v>
      </c>
      <c r="E118" s="165">
        <v>701</v>
      </c>
      <c r="F118" s="165">
        <v>437</v>
      </c>
      <c r="G118" s="165">
        <v>1078</v>
      </c>
      <c r="H118" s="165">
        <v>719</v>
      </c>
      <c r="I118" s="180">
        <f t="shared" si="64"/>
        <v>-0.33302411873840443</v>
      </c>
      <c r="J118" s="166">
        <f t="shared" si="61"/>
        <v>34.950000000000003</v>
      </c>
      <c r="K118" s="165">
        <f t="shared" si="62"/>
        <v>-359</v>
      </c>
      <c r="L118" s="165">
        <f t="shared" si="63"/>
        <v>699</v>
      </c>
      <c r="M118" s="166">
        <f t="shared" si="60"/>
        <v>2.6962243858683342E-4</v>
      </c>
    </row>
    <row r="119" spans="2:13" x14ac:dyDescent="0.25">
      <c r="B119" s="169" t="s">
        <v>147</v>
      </c>
      <c r="C119" s="170">
        <f t="shared" ref="C119" si="65">C111-SUM(C112:C118)</f>
        <v>6961</v>
      </c>
      <c r="D119" s="170">
        <f t="shared" ref="D119:E119" si="66">D111-SUM(D112:D118)</f>
        <v>3308</v>
      </c>
      <c r="E119" s="170">
        <f t="shared" si="66"/>
        <v>15529</v>
      </c>
      <c r="F119" s="170">
        <f t="shared" ref="F119:H119" si="67">F111-SUM(F112:F118)</f>
        <v>16324</v>
      </c>
      <c r="G119" s="170">
        <f t="shared" si="67"/>
        <v>18743</v>
      </c>
      <c r="H119" s="170">
        <f t="shared" si="67"/>
        <v>22317</v>
      </c>
      <c r="I119" s="181">
        <f t="shared" si="64"/>
        <v>0.19068452222162935</v>
      </c>
      <c r="J119" s="171">
        <f t="shared" si="61"/>
        <v>5.7463724304715837</v>
      </c>
      <c r="K119" s="170">
        <f>H119-G119</f>
        <v>3574</v>
      </c>
      <c r="L119" s="170">
        <f t="shared" si="63"/>
        <v>19009</v>
      </c>
      <c r="M119" s="171">
        <f t="shared" si="60"/>
        <v>8.3687954964427845E-3</v>
      </c>
    </row>
    <row r="120" spans="2:13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5"/>
      <c r="L120" s="154"/>
      <c r="M120" s="154"/>
    </row>
    <row r="121" spans="2:13" x14ac:dyDescent="0.25">
      <c r="B121" s="157" t="s">
        <v>70</v>
      </c>
      <c r="C121" s="177">
        <v>52853</v>
      </c>
      <c r="D121" s="177">
        <v>58803</v>
      </c>
      <c r="E121" s="177">
        <v>104421</v>
      </c>
      <c r="F121" s="177">
        <v>126576</v>
      </c>
      <c r="G121" s="177">
        <v>125410</v>
      </c>
      <c r="H121" s="177">
        <v>140761</v>
      </c>
      <c r="I121" s="178">
        <f>IFERROR(H121/G121-1,"-")</f>
        <v>0.12240650665816122</v>
      </c>
      <c r="J121" s="178">
        <f>IFERROR(H121/D121-1,"-")</f>
        <v>1.3937724265768754</v>
      </c>
      <c r="K121" s="177">
        <f>H121-G121</f>
        <v>15351</v>
      </c>
      <c r="L121" s="177">
        <f>H121-D121</f>
        <v>81958</v>
      </c>
      <c r="M121" s="178">
        <f t="shared" ref="M121:M133" si="68">H121/H$9</f>
        <v>5.2784873543701337E-2</v>
      </c>
    </row>
    <row r="122" spans="2:13" x14ac:dyDescent="0.25">
      <c r="B122" s="160" t="s">
        <v>99</v>
      </c>
      <c r="C122" s="161">
        <v>26940</v>
      </c>
      <c r="D122" s="161">
        <v>38654</v>
      </c>
      <c r="E122" s="161">
        <v>62976</v>
      </c>
      <c r="F122" s="161">
        <v>76465</v>
      </c>
      <c r="G122" s="161">
        <v>75937</v>
      </c>
      <c r="H122" s="161">
        <v>87725</v>
      </c>
      <c r="I122" s="179">
        <f>IFERROR(H122/G122-1,"-")</f>
        <v>0.1552339439272028</v>
      </c>
      <c r="J122" s="162">
        <f t="shared" ref="J122:J133" si="69">IFERROR(H122/D122-1,"-")</f>
        <v>1.269493454752419</v>
      </c>
      <c r="K122" s="161">
        <f t="shared" ref="K122:K132" si="70">H122-G122</f>
        <v>11788</v>
      </c>
      <c r="L122" s="161">
        <f t="shared" ref="L122:L133" si="71">H122-D122</f>
        <v>49071</v>
      </c>
      <c r="M122" s="162">
        <f t="shared" si="68"/>
        <v>3.2896562482656412E-2</v>
      </c>
    </row>
    <row r="123" spans="2:13" x14ac:dyDescent="0.25">
      <c r="B123" s="164" t="s">
        <v>105</v>
      </c>
      <c r="C123" s="165">
        <v>13715</v>
      </c>
      <c r="D123" s="165">
        <v>20861</v>
      </c>
      <c r="E123" s="165">
        <v>31514</v>
      </c>
      <c r="F123" s="165">
        <v>35561</v>
      </c>
      <c r="G123" s="165">
        <v>34109</v>
      </c>
      <c r="H123" s="165">
        <v>44044</v>
      </c>
      <c r="I123" s="180">
        <f>IFERROR(H123/G123-1,"-")</f>
        <v>0.29127209827318312</v>
      </c>
      <c r="J123" s="166">
        <f t="shared" si="69"/>
        <v>1.11130818273333</v>
      </c>
      <c r="K123" s="165">
        <f t="shared" si="70"/>
        <v>9935</v>
      </c>
      <c r="L123" s="165">
        <f t="shared" si="71"/>
        <v>23183</v>
      </c>
      <c r="M123" s="166">
        <f t="shared" si="68"/>
        <v>1.65163430947406E-2</v>
      </c>
    </row>
    <row r="124" spans="2:13" x14ac:dyDescent="0.25">
      <c r="B124" s="164" t="s">
        <v>102</v>
      </c>
      <c r="C124" s="165">
        <v>13225</v>
      </c>
      <c r="D124" s="165">
        <v>17793</v>
      </c>
      <c r="E124" s="165">
        <v>31462</v>
      </c>
      <c r="F124" s="165">
        <v>40904</v>
      </c>
      <c r="G124" s="165">
        <v>41828</v>
      </c>
      <c r="H124" s="165">
        <v>43681</v>
      </c>
      <c r="I124" s="180">
        <f>IFERROR(H124/G124-1,"-")</f>
        <v>4.4300468585636521E-2</v>
      </c>
      <c r="J124" s="166">
        <f t="shared" si="69"/>
        <v>1.4549541954701288</v>
      </c>
      <c r="K124" s="165">
        <f t="shared" si="70"/>
        <v>1853</v>
      </c>
      <c r="L124" s="165">
        <f t="shared" si="71"/>
        <v>25888</v>
      </c>
      <c r="M124" s="166">
        <f t="shared" si="68"/>
        <v>1.6380219387915815E-2</v>
      </c>
    </row>
    <row r="125" spans="2:13" x14ac:dyDescent="0.25">
      <c r="B125" s="160" t="s">
        <v>109</v>
      </c>
      <c r="C125" s="161">
        <v>25913</v>
      </c>
      <c r="D125" s="161">
        <v>20149</v>
      </c>
      <c r="E125" s="161">
        <v>41445</v>
      </c>
      <c r="F125" s="161">
        <v>50111</v>
      </c>
      <c r="G125" s="161">
        <v>49473</v>
      </c>
      <c r="H125" s="161">
        <v>53036</v>
      </c>
      <c r="I125" s="179">
        <f>IFERROR(H125/G125-1,"-")</f>
        <v>7.20190811149517E-2</v>
      </c>
      <c r="J125" s="162">
        <f t="shared" si="69"/>
        <v>1.6321901831356396</v>
      </c>
      <c r="K125" s="161">
        <f t="shared" si="70"/>
        <v>3563</v>
      </c>
      <c r="L125" s="161">
        <f t="shared" si="71"/>
        <v>32887</v>
      </c>
      <c r="M125" s="162">
        <f t="shared" si="68"/>
        <v>1.9888311061044921E-2</v>
      </c>
    </row>
    <row r="126" spans="2:13" x14ac:dyDescent="0.25">
      <c r="B126" s="164" t="s">
        <v>112</v>
      </c>
      <c r="C126" s="165">
        <v>2810</v>
      </c>
      <c r="D126" s="165">
        <v>615</v>
      </c>
      <c r="E126" s="165">
        <v>4066</v>
      </c>
      <c r="F126" s="165">
        <v>6033</v>
      </c>
      <c r="G126" s="165">
        <v>6038</v>
      </c>
      <c r="H126" s="165">
        <v>5509</v>
      </c>
      <c r="I126" s="180">
        <f t="shared" ref="I126:I133" si="72">IFERROR(H126/G126-1,"-")</f>
        <v>-8.761179198410074E-2</v>
      </c>
      <c r="J126" s="166">
        <f t="shared" si="69"/>
        <v>7.9577235772357717</v>
      </c>
      <c r="K126" s="165">
        <f t="shared" si="70"/>
        <v>-529</v>
      </c>
      <c r="L126" s="165">
        <f t="shared" si="71"/>
        <v>4894</v>
      </c>
      <c r="M126" s="166">
        <f t="shared" si="68"/>
        <v>2.0658553743739434E-3</v>
      </c>
    </row>
    <row r="127" spans="2:13" x14ac:dyDescent="0.25">
      <c r="B127" s="164" t="s">
        <v>115</v>
      </c>
      <c r="C127" s="165">
        <v>2894</v>
      </c>
      <c r="D127" s="165">
        <v>2123</v>
      </c>
      <c r="E127" s="165">
        <v>4651</v>
      </c>
      <c r="F127" s="165">
        <v>7604</v>
      </c>
      <c r="G127" s="165">
        <v>7167</v>
      </c>
      <c r="H127" s="165">
        <v>8018</v>
      </c>
      <c r="I127" s="180">
        <f t="shared" si="72"/>
        <v>0.11873866331798522</v>
      </c>
      <c r="J127" s="166">
        <f t="shared" si="69"/>
        <v>2.7767310409797457</v>
      </c>
      <c r="K127" s="165">
        <f t="shared" si="70"/>
        <v>851</v>
      </c>
      <c r="L127" s="165">
        <f t="shared" si="71"/>
        <v>5895</v>
      </c>
      <c r="M127" s="166">
        <f t="shared" si="68"/>
        <v>3.0067214361463564E-3</v>
      </c>
    </row>
    <row r="128" spans="2:13" x14ac:dyDescent="0.25">
      <c r="B128" s="164" t="s">
        <v>118</v>
      </c>
      <c r="C128" s="165">
        <v>1950</v>
      </c>
      <c r="D128" s="165">
        <v>2898</v>
      </c>
      <c r="E128" s="165">
        <v>4036</v>
      </c>
      <c r="F128" s="165">
        <v>4476</v>
      </c>
      <c r="G128" s="165">
        <v>4146</v>
      </c>
      <c r="H128" s="165">
        <v>4275</v>
      </c>
      <c r="I128" s="180">
        <f t="shared" si="72"/>
        <v>3.1114327062228719E-2</v>
      </c>
      <c r="J128" s="166">
        <f t="shared" si="69"/>
        <v>0.47515527950310554</v>
      </c>
      <c r="K128" s="165">
        <f t="shared" si="70"/>
        <v>129</v>
      </c>
      <c r="L128" s="165">
        <f t="shared" si="71"/>
        <v>1377</v>
      </c>
      <c r="M128" s="166">
        <f t="shared" si="68"/>
        <v>1.6031097704571806E-3</v>
      </c>
    </row>
    <row r="129" spans="2:13" x14ac:dyDescent="0.25">
      <c r="B129" s="164" t="s">
        <v>125</v>
      </c>
      <c r="C129" s="165">
        <v>527</v>
      </c>
      <c r="D129" s="165">
        <v>311</v>
      </c>
      <c r="E129" s="165">
        <v>1177</v>
      </c>
      <c r="F129" s="165">
        <v>1213</v>
      </c>
      <c r="G129" s="165">
        <v>1249</v>
      </c>
      <c r="H129" s="165">
        <v>1298</v>
      </c>
      <c r="I129" s="180">
        <f t="shared" si="72"/>
        <v>3.9231385108086547E-2</v>
      </c>
      <c r="J129" s="166">
        <f t="shared" si="69"/>
        <v>3.1736334405144691</v>
      </c>
      <c r="K129" s="165">
        <f t="shared" si="70"/>
        <v>49</v>
      </c>
      <c r="L129" s="165">
        <f t="shared" si="71"/>
        <v>987</v>
      </c>
      <c r="M129" s="166">
        <f t="shared" si="68"/>
        <v>4.8674537591892876E-4</v>
      </c>
    </row>
    <row r="130" spans="2:13" x14ac:dyDescent="0.25">
      <c r="B130" s="164" t="s">
        <v>121</v>
      </c>
      <c r="C130" s="165">
        <v>455</v>
      </c>
      <c r="D130" s="165">
        <v>305</v>
      </c>
      <c r="E130" s="165">
        <v>877</v>
      </c>
      <c r="F130" s="165">
        <v>940</v>
      </c>
      <c r="G130" s="165">
        <v>1013</v>
      </c>
      <c r="H130" s="165">
        <v>1127</v>
      </c>
      <c r="I130" s="180">
        <f t="shared" si="72"/>
        <v>0.11253701875616984</v>
      </c>
      <c r="J130" s="166">
        <f t="shared" si="69"/>
        <v>2.6950819672131145</v>
      </c>
      <c r="K130" s="165">
        <f t="shared" si="70"/>
        <v>114</v>
      </c>
      <c r="L130" s="165">
        <f t="shared" si="71"/>
        <v>822</v>
      </c>
      <c r="M130" s="166">
        <f t="shared" si="68"/>
        <v>4.2262098510064154E-4</v>
      </c>
    </row>
    <row r="131" spans="2:13" x14ac:dyDescent="0.25">
      <c r="B131" s="164" t="s">
        <v>130</v>
      </c>
      <c r="C131" s="165">
        <v>630</v>
      </c>
      <c r="D131" s="165">
        <v>34</v>
      </c>
      <c r="E131" s="165">
        <v>572</v>
      </c>
      <c r="F131" s="165">
        <v>775</v>
      </c>
      <c r="G131" s="165">
        <v>858</v>
      </c>
      <c r="H131" s="165">
        <v>669</v>
      </c>
      <c r="I131" s="180">
        <f t="shared" si="72"/>
        <v>-0.22027972027972031</v>
      </c>
      <c r="J131" s="166">
        <f t="shared" si="69"/>
        <v>18.676470588235293</v>
      </c>
      <c r="K131" s="165">
        <f t="shared" si="70"/>
        <v>-189</v>
      </c>
      <c r="L131" s="165">
        <f t="shared" si="71"/>
        <v>635</v>
      </c>
      <c r="M131" s="166">
        <f t="shared" si="68"/>
        <v>2.5087261671014125E-4</v>
      </c>
    </row>
    <row r="132" spans="2:13" x14ac:dyDescent="0.25">
      <c r="B132" s="164" t="s">
        <v>133</v>
      </c>
      <c r="C132" s="165">
        <v>970</v>
      </c>
      <c r="D132" s="165">
        <v>141</v>
      </c>
      <c r="E132" s="165">
        <v>1030</v>
      </c>
      <c r="F132" s="165">
        <v>1454</v>
      </c>
      <c r="G132" s="165">
        <v>1318</v>
      </c>
      <c r="H132" s="165">
        <v>1364</v>
      </c>
      <c r="I132" s="180">
        <f t="shared" si="72"/>
        <v>3.4901365705614529E-2</v>
      </c>
      <c r="J132" s="166">
        <f t="shared" si="69"/>
        <v>8.6737588652482263</v>
      </c>
      <c r="K132" s="165">
        <f t="shared" si="70"/>
        <v>46</v>
      </c>
      <c r="L132" s="165">
        <f t="shared" si="71"/>
        <v>1223</v>
      </c>
      <c r="M132" s="166">
        <f t="shared" si="68"/>
        <v>5.1149514079616243E-4</v>
      </c>
    </row>
    <row r="133" spans="2:13" x14ac:dyDescent="0.25">
      <c r="B133" s="169" t="s">
        <v>147</v>
      </c>
      <c r="C133" s="170">
        <f t="shared" ref="C133" si="73">C125-SUM(C126:C132)</f>
        <v>15677</v>
      </c>
      <c r="D133" s="170">
        <f t="shared" ref="D133:E133" si="74">D125-SUM(D126:D132)</f>
        <v>13722</v>
      </c>
      <c r="E133" s="170">
        <f t="shared" si="74"/>
        <v>25036</v>
      </c>
      <c r="F133" s="170">
        <f t="shared" ref="F133:H133" si="75">F125-SUM(F126:F132)</f>
        <v>27616</v>
      </c>
      <c r="G133" s="170">
        <f t="shared" si="75"/>
        <v>27684</v>
      </c>
      <c r="H133" s="170">
        <f t="shared" si="75"/>
        <v>30776</v>
      </c>
      <c r="I133" s="181">
        <f t="shared" si="72"/>
        <v>0.11168906227423792</v>
      </c>
      <c r="J133" s="171">
        <f t="shared" si="69"/>
        <v>1.2428217461011513</v>
      </c>
      <c r="K133" s="170">
        <f>H133-G133</f>
        <v>3092</v>
      </c>
      <c r="L133" s="170">
        <f t="shared" si="71"/>
        <v>17054</v>
      </c>
      <c r="M133" s="171">
        <f t="shared" si="68"/>
        <v>1.1540890361541566E-2</v>
      </c>
    </row>
    <row r="134" spans="2:13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5"/>
      <c r="L134" s="154"/>
      <c r="M134" s="154"/>
    </row>
    <row r="135" spans="2:13" x14ac:dyDescent="0.25">
      <c r="B135" s="157" t="s">
        <v>70</v>
      </c>
      <c r="C135" s="177">
        <v>52299</v>
      </c>
      <c r="D135" s="177">
        <v>33859</v>
      </c>
      <c r="E135" s="177">
        <v>122526</v>
      </c>
      <c r="F135" s="177">
        <v>133361</v>
      </c>
      <c r="G135" s="177">
        <v>142422</v>
      </c>
      <c r="H135" s="177">
        <v>136065</v>
      </c>
      <c r="I135" s="178">
        <f>IFERROR(H135/G135-1,"-")</f>
        <v>-4.4634958082318765E-2</v>
      </c>
      <c r="J135" s="178">
        <f>IFERROR(H135/D135-1,"-")</f>
        <v>3.0185770400779708</v>
      </c>
      <c r="K135" s="177">
        <f>H135-G135</f>
        <v>-6357</v>
      </c>
      <c r="L135" s="177">
        <f>H135-D135</f>
        <v>102206</v>
      </c>
      <c r="M135" s="178">
        <f t="shared" ref="M135:M147" si="76">H135/H$9</f>
        <v>5.1023890273042403E-2</v>
      </c>
    </row>
    <row r="136" spans="2:13" x14ac:dyDescent="0.25">
      <c r="B136" s="160" t="s">
        <v>99</v>
      </c>
      <c r="C136" s="161">
        <v>2629</v>
      </c>
      <c r="D136" s="161">
        <v>19690</v>
      </c>
      <c r="E136" s="161">
        <v>11499</v>
      </c>
      <c r="F136" s="161">
        <v>14533</v>
      </c>
      <c r="G136" s="161">
        <v>11038</v>
      </c>
      <c r="H136" s="161">
        <v>9469</v>
      </c>
      <c r="I136" s="179">
        <f>IFERROR(H136/G136-1,"-")</f>
        <v>-0.14214531618046744</v>
      </c>
      <c r="J136" s="162">
        <f t="shared" ref="J136:J147" si="77">IFERROR(H136/D136-1,"-")</f>
        <v>-0.51909598781107169</v>
      </c>
      <c r="K136" s="161">
        <f t="shared" ref="K136:K146" si="78">H136-G136</f>
        <v>-1569</v>
      </c>
      <c r="L136" s="161">
        <f t="shared" ref="L136:L147" si="79">H136-D136</f>
        <v>-10221</v>
      </c>
      <c r="M136" s="162">
        <f t="shared" si="76"/>
        <v>3.5508412670079634E-3</v>
      </c>
    </row>
    <row r="137" spans="2:13" x14ac:dyDescent="0.25">
      <c r="B137" s="164" t="s">
        <v>105</v>
      </c>
      <c r="C137" s="165">
        <v>1763</v>
      </c>
      <c r="D137" s="165">
        <v>16632</v>
      </c>
      <c r="E137" s="165">
        <v>7875</v>
      </c>
      <c r="F137" s="165">
        <v>9587</v>
      </c>
      <c r="G137" s="165">
        <v>7128</v>
      </c>
      <c r="H137" s="165">
        <v>4681</v>
      </c>
      <c r="I137" s="180">
        <f>IFERROR(H137/G137-1,"-")</f>
        <v>-0.34329405162738491</v>
      </c>
      <c r="J137" s="166">
        <f t="shared" si="77"/>
        <v>-0.71855459355459361</v>
      </c>
      <c r="K137" s="165">
        <f t="shared" si="78"/>
        <v>-2447</v>
      </c>
      <c r="L137" s="165">
        <f t="shared" si="79"/>
        <v>-11951</v>
      </c>
      <c r="M137" s="166">
        <f t="shared" si="76"/>
        <v>1.7553583240959212E-3</v>
      </c>
    </row>
    <row r="138" spans="2:13" x14ac:dyDescent="0.25">
      <c r="B138" s="164" t="s">
        <v>102</v>
      </c>
      <c r="C138" s="165">
        <v>866</v>
      </c>
      <c r="D138" s="165">
        <v>3058</v>
      </c>
      <c r="E138" s="165">
        <v>3624</v>
      </c>
      <c r="F138" s="165">
        <v>4946</v>
      </c>
      <c r="G138" s="165">
        <v>3910</v>
      </c>
      <c r="H138" s="165">
        <v>4788</v>
      </c>
      <c r="I138" s="180">
        <f>IFERROR(H138/G138-1,"-")</f>
        <v>0.2245524296675192</v>
      </c>
      <c r="J138" s="166">
        <f t="shared" si="77"/>
        <v>0.56572923479398307</v>
      </c>
      <c r="K138" s="165">
        <f t="shared" si="78"/>
        <v>878</v>
      </c>
      <c r="L138" s="165">
        <f t="shared" si="79"/>
        <v>1730</v>
      </c>
      <c r="M138" s="166">
        <f t="shared" si="76"/>
        <v>1.7954829429120424E-3</v>
      </c>
    </row>
    <row r="139" spans="2:13" x14ac:dyDescent="0.25">
      <c r="B139" s="160" t="s">
        <v>109</v>
      </c>
      <c r="C139" s="161">
        <v>49670</v>
      </c>
      <c r="D139" s="161">
        <v>14169</v>
      </c>
      <c r="E139" s="161">
        <v>111027</v>
      </c>
      <c r="F139" s="161">
        <v>118828</v>
      </c>
      <c r="G139" s="161">
        <v>131384</v>
      </c>
      <c r="H139" s="161">
        <v>126596</v>
      </c>
      <c r="I139" s="179">
        <f>IFERROR(H139/G139-1,"-")</f>
        <v>-3.6442793643061577E-2</v>
      </c>
      <c r="J139" s="162">
        <f t="shared" si="77"/>
        <v>7.9347166349071916</v>
      </c>
      <c r="K139" s="161">
        <f t="shared" si="78"/>
        <v>-4788</v>
      </c>
      <c r="L139" s="161">
        <f t="shared" si="79"/>
        <v>112427</v>
      </c>
      <c r="M139" s="162">
        <f t="shared" si="76"/>
        <v>4.747304900603444E-2</v>
      </c>
    </row>
    <row r="140" spans="2:13" x14ac:dyDescent="0.25">
      <c r="B140" s="164" t="s">
        <v>112</v>
      </c>
      <c r="C140" s="165">
        <v>21732</v>
      </c>
      <c r="D140" s="165">
        <v>458</v>
      </c>
      <c r="E140" s="165">
        <v>45437</v>
      </c>
      <c r="F140" s="165">
        <v>47873</v>
      </c>
      <c r="G140" s="165">
        <v>56943</v>
      </c>
      <c r="H140" s="165">
        <v>56898</v>
      </c>
      <c r="I140" s="180">
        <f t="shared" ref="I140:I147" si="80">IFERROR(H140/G140-1,"-")</f>
        <v>-7.9026394815873147E-4</v>
      </c>
      <c r="J140" s="166">
        <f t="shared" si="77"/>
        <v>123.23144104803494</v>
      </c>
      <c r="K140" s="165">
        <f t="shared" si="78"/>
        <v>-45</v>
      </c>
      <c r="L140" s="165">
        <f t="shared" si="79"/>
        <v>56440</v>
      </c>
      <c r="M140" s="166">
        <f t="shared" si="76"/>
        <v>2.1336547302800622E-2</v>
      </c>
    </row>
    <row r="141" spans="2:13" x14ac:dyDescent="0.25">
      <c r="B141" s="164" t="s">
        <v>115</v>
      </c>
      <c r="C141" s="165">
        <v>3339</v>
      </c>
      <c r="D141" s="165">
        <v>1509</v>
      </c>
      <c r="E141" s="165">
        <v>7643</v>
      </c>
      <c r="F141" s="165">
        <v>10249</v>
      </c>
      <c r="G141" s="165">
        <v>11723</v>
      </c>
      <c r="H141" s="165">
        <v>10416</v>
      </c>
      <c r="I141" s="180">
        <f t="shared" si="80"/>
        <v>-0.11149023287554383</v>
      </c>
      <c r="J141" s="166">
        <f t="shared" si="77"/>
        <v>5.9025844930417497</v>
      </c>
      <c r="K141" s="165">
        <f t="shared" si="78"/>
        <v>-1307</v>
      </c>
      <c r="L141" s="165">
        <f t="shared" si="79"/>
        <v>8907</v>
      </c>
      <c r="M141" s="166">
        <f t="shared" si="76"/>
        <v>3.9059628933525133E-3</v>
      </c>
    </row>
    <row r="142" spans="2:13" x14ac:dyDescent="0.25">
      <c r="B142" s="164" t="s">
        <v>118</v>
      </c>
      <c r="C142" s="165">
        <v>3563</v>
      </c>
      <c r="D142" s="165">
        <v>4457</v>
      </c>
      <c r="E142" s="165">
        <v>13855</v>
      </c>
      <c r="F142" s="165">
        <v>12921</v>
      </c>
      <c r="G142" s="165">
        <v>13344</v>
      </c>
      <c r="H142" s="165">
        <v>11494</v>
      </c>
      <c r="I142" s="180">
        <f t="shared" si="80"/>
        <v>-0.13863908872901676</v>
      </c>
      <c r="J142" s="166">
        <f t="shared" si="77"/>
        <v>1.578864707202154</v>
      </c>
      <c r="K142" s="165">
        <f t="shared" si="78"/>
        <v>-1850</v>
      </c>
      <c r="L142" s="165">
        <f t="shared" si="79"/>
        <v>7037</v>
      </c>
      <c r="M142" s="166">
        <f t="shared" si="76"/>
        <v>4.3102090530139966E-3</v>
      </c>
    </row>
    <row r="143" spans="2:13" x14ac:dyDescent="0.25">
      <c r="B143" s="164" t="s">
        <v>125</v>
      </c>
      <c r="C143" s="165">
        <v>765</v>
      </c>
      <c r="D143" s="165">
        <v>204</v>
      </c>
      <c r="E143" s="165">
        <v>4824</v>
      </c>
      <c r="F143" s="165">
        <v>4085</v>
      </c>
      <c r="G143" s="165">
        <v>3245</v>
      </c>
      <c r="H143" s="165">
        <v>3004</v>
      </c>
      <c r="I143" s="180">
        <f t="shared" si="80"/>
        <v>-7.4268104776579302E-2</v>
      </c>
      <c r="J143" s="166">
        <f t="shared" si="77"/>
        <v>13.725490196078431</v>
      </c>
      <c r="K143" s="165">
        <f t="shared" si="78"/>
        <v>-241</v>
      </c>
      <c r="L143" s="165">
        <f t="shared" si="79"/>
        <v>2800</v>
      </c>
      <c r="M143" s="166">
        <f t="shared" si="76"/>
        <v>1.1264892983516657E-3</v>
      </c>
    </row>
    <row r="144" spans="2:13" x14ac:dyDescent="0.25">
      <c r="B144" s="164" t="s">
        <v>121</v>
      </c>
      <c r="C144" s="165">
        <v>861</v>
      </c>
      <c r="D144" s="165">
        <v>452</v>
      </c>
      <c r="E144" s="165">
        <v>2179</v>
      </c>
      <c r="F144" s="165">
        <v>2364</v>
      </c>
      <c r="G144" s="165">
        <v>2961</v>
      </c>
      <c r="H144" s="165">
        <v>2142</v>
      </c>
      <c r="I144" s="180">
        <f t="shared" si="80"/>
        <v>-0.27659574468085102</v>
      </c>
      <c r="J144" s="166">
        <f t="shared" si="77"/>
        <v>3.7389380530973453</v>
      </c>
      <c r="K144" s="165">
        <f t="shared" si="78"/>
        <v>-819</v>
      </c>
      <c r="L144" s="165">
        <f t="shared" si="79"/>
        <v>1690</v>
      </c>
      <c r="M144" s="166">
        <f t="shared" si="76"/>
        <v>8.0324236919749258E-4</v>
      </c>
    </row>
    <row r="145" spans="2:13" x14ac:dyDescent="0.25">
      <c r="B145" s="164" t="s">
        <v>130</v>
      </c>
      <c r="C145" s="165">
        <v>1961</v>
      </c>
      <c r="D145" s="165">
        <v>36</v>
      </c>
      <c r="E145" s="165">
        <v>1790</v>
      </c>
      <c r="F145" s="165">
        <v>2240</v>
      </c>
      <c r="G145" s="165">
        <v>1984</v>
      </c>
      <c r="H145" s="165">
        <v>2248</v>
      </c>
      <c r="I145" s="180">
        <f t="shared" si="80"/>
        <v>0.13306451612903225</v>
      </c>
      <c r="J145" s="166">
        <f t="shared" si="77"/>
        <v>61.444444444444443</v>
      </c>
      <c r="K145" s="165">
        <f t="shared" si="78"/>
        <v>264</v>
      </c>
      <c r="L145" s="165">
        <f t="shared" si="79"/>
        <v>2212</v>
      </c>
      <c r="M145" s="166">
        <f t="shared" si="76"/>
        <v>8.4299199157608E-4</v>
      </c>
    </row>
    <row r="146" spans="2:13" x14ac:dyDescent="0.25">
      <c r="B146" s="164" t="s">
        <v>133</v>
      </c>
      <c r="C146" s="165">
        <v>3933</v>
      </c>
      <c r="D146" s="165">
        <v>41</v>
      </c>
      <c r="E146" s="165">
        <v>888</v>
      </c>
      <c r="F146" s="165">
        <v>1585</v>
      </c>
      <c r="G146" s="165">
        <v>1459</v>
      </c>
      <c r="H146" s="165">
        <v>1093</v>
      </c>
      <c r="I146" s="180">
        <f t="shared" si="80"/>
        <v>-0.25085675119945172</v>
      </c>
      <c r="J146" s="166">
        <f t="shared" si="77"/>
        <v>25.658536585365855</v>
      </c>
      <c r="K146" s="165">
        <f t="shared" si="78"/>
        <v>-366</v>
      </c>
      <c r="L146" s="165">
        <f t="shared" si="79"/>
        <v>1052</v>
      </c>
      <c r="M146" s="166">
        <f t="shared" si="76"/>
        <v>4.0987110622449087E-4</v>
      </c>
    </row>
    <row r="147" spans="2:13" x14ac:dyDescent="0.25">
      <c r="B147" s="169" t="s">
        <v>147</v>
      </c>
      <c r="C147" s="170">
        <f t="shared" ref="C147" si="81">C139-SUM(C140:C146)</f>
        <v>13516</v>
      </c>
      <c r="D147" s="170">
        <f t="shared" ref="D147:E147" si="82">D139-SUM(D140:D146)</f>
        <v>7012</v>
      </c>
      <c r="E147" s="170">
        <f t="shared" si="82"/>
        <v>34411</v>
      </c>
      <c r="F147" s="170">
        <f t="shared" ref="F147:H147" si="83">F139-SUM(F140:F146)</f>
        <v>37511</v>
      </c>
      <c r="G147" s="170">
        <f t="shared" si="83"/>
        <v>39725</v>
      </c>
      <c r="H147" s="170">
        <f t="shared" si="83"/>
        <v>39301</v>
      </c>
      <c r="I147" s="181">
        <f t="shared" si="80"/>
        <v>-1.0673379483952194E-2</v>
      </c>
      <c r="J147" s="171">
        <f t="shared" si="77"/>
        <v>4.6048203080433545</v>
      </c>
      <c r="K147" s="170">
        <f>H147-G147</f>
        <v>-424</v>
      </c>
      <c r="L147" s="170">
        <f t="shared" si="79"/>
        <v>32289</v>
      </c>
      <c r="M147" s="171">
        <f t="shared" si="76"/>
        <v>1.473773499151758E-2</v>
      </c>
    </row>
    <row r="148" spans="2:13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5"/>
      <c r="L148" s="154"/>
      <c r="M148" s="154"/>
    </row>
    <row r="149" spans="2:13" x14ac:dyDescent="0.25">
      <c r="B149" s="157" t="s">
        <v>70</v>
      </c>
      <c r="C149" s="177">
        <v>23569</v>
      </c>
      <c r="D149" s="177">
        <v>22293</v>
      </c>
      <c r="E149" s="177">
        <v>52853</v>
      </c>
      <c r="F149" s="177">
        <v>59038</v>
      </c>
      <c r="G149" s="177">
        <v>61781</v>
      </c>
      <c r="H149" s="177">
        <v>59492</v>
      </c>
      <c r="I149" s="178">
        <f>IFERROR(H149/G149-1,"-")</f>
        <v>-3.7050225797575331E-2</v>
      </c>
      <c r="J149" s="178">
        <f>IFERROR(H149/D149-1,"-")</f>
        <v>1.6686403803884629</v>
      </c>
      <c r="K149" s="177">
        <f>H149-G149</f>
        <v>-2289</v>
      </c>
      <c r="L149" s="177">
        <f>H149-D149</f>
        <v>37199</v>
      </c>
      <c r="M149" s="178">
        <f t="shared" ref="M149:M161" si="84">H149/H$9</f>
        <v>2.2309288061763414E-2</v>
      </c>
    </row>
    <row r="150" spans="2:13" x14ac:dyDescent="0.25">
      <c r="B150" s="160" t="s">
        <v>99</v>
      </c>
      <c r="C150" s="161">
        <v>8081</v>
      </c>
      <c r="D150" s="161">
        <v>15529</v>
      </c>
      <c r="E150" s="161">
        <v>27902</v>
      </c>
      <c r="F150" s="161">
        <v>29120</v>
      </c>
      <c r="G150" s="161">
        <v>26478</v>
      </c>
      <c r="H150" s="161">
        <v>24222</v>
      </c>
      <c r="I150" s="179">
        <f>IFERROR(H150/G150-1,"-")</f>
        <v>-8.5202809879900254E-2</v>
      </c>
      <c r="J150" s="162">
        <f t="shared" ref="J150:J161" si="85">IFERROR(H150/D150-1,"-")</f>
        <v>0.55979135810419223</v>
      </c>
      <c r="K150" s="161">
        <f t="shared" ref="K150:K160" si="86">H150-G150</f>
        <v>-2256</v>
      </c>
      <c r="L150" s="161">
        <f t="shared" ref="L150:L161" si="87">H150-D150</f>
        <v>8693</v>
      </c>
      <c r="M150" s="162">
        <f t="shared" si="84"/>
        <v>9.0831637099447558E-3</v>
      </c>
    </row>
    <row r="151" spans="2:13" x14ac:dyDescent="0.25">
      <c r="B151" s="164" t="s">
        <v>105</v>
      </c>
      <c r="C151" s="165">
        <v>4041</v>
      </c>
      <c r="D151" s="165">
        <v>13585</v>
      </c>
      <c r="E151" s="165">
        <v>19346</v>
      </c>
      <c r="F151" s="165">
        <v>19932</v>
      </c>
      <c r="G151" s="165">
        <v>17598</v>
      </c>
      <c r="H151" s="165">
        <v>15211</v>
      </c>
      <c r="I151" s="180">
        <f>IFERROR(H151/G151-1,"-")</f>
        <v>-0.1356404136833731</v>
      </c>
      <c r="J151" s="166">
        <f t="shared" si="85"/>
        <v>0.11969083548030923</v>
      </c>
      <c r="K151" s="165">
        <f t="shared" si="86"/>
        <v>-2387</v>
      </c>
      <c r="L151" s="165">
        <f t="shared" si="87"/>
        <v>1626</v>
      </c>
      <c r="M151" s="166">
        <f t="shared" si="84"/>
        <v>5.7040708113272921E-3</v>
      </c>
    </row>
    <row r="152" spans="2:13" x14ac:dyDescent="0.25">
      <c r="B152" s="164" t="s">
        <v>102</v>
      </c>
      <c r="C152" s="165">
        <v>4040</v>
      </c>
      <c r="D152" s="165">
        <v>1944</v>
      </c>
      <c r="E152" s="165">
        <v>8556</v>
      </c>
      <c r="F152" s="165">
        <v>9188</v>
      </c>
      <c r="G152" s="165">
        <v>8880</v>
      </c>
      <c r="H152" s="165">
        <v>9011</v>
      </c>
      <c r="I152" s="180">
        <f>IFERROR(H152/G152-1,"-")</f>
        <v>1.4752252252252296E-2</v>
      </c>
      <c r="J152" s="166">
        <f t="shared" si="85"/>
        <v>3.6352880658436213</v>
      </c>
      <c r="K152" s="165">
        <f t="shared" si="86"/>
        <v>131</v>
      </c>
      <c r="L152" s="165">
        <f t="shared" si="87"/>
        <v>7067</v>
      </c>
      <c r="M152" s="166">
        <f t="shared" si="84"/>
        <v>3.3790928986174632E-3</v>
      </c>
    </row>
    <row r="153" spans="2:13" x14ac:dyDescent="0.25">
      <c r="B153" s="160" t="s">
        <v>109</v>
      </c>
      <c r="C153" s="161">
        <v>15488</v>
      </c>
      <c r="D153" s="161">
        <v>6764</v>
      </c>
      <c r="E153" s="161">
        <v>24951</v>
      </c>
      <c r="F153" s="161">
        <v>29918</v>
      </c>
      <c r="G153" s="161">
        <v>35303</v>
      </c>
      <c r="H153" s="161">
        <v>35270</v>
      </c>
      <c r="I153" s="179">
        <f>IFERROR(H153/G153-1,"-")</f>
        <v>-9.3476475087106436E-4</v>
      </c>
      <c r="J153" s="162">
        <f t="shared" si="85"/>
        <v>4.2143701951507984</v>
      </c>
      <c r="K153" s="161">
        <f t="shared" si="86"/>
        <v>-33</v>
      </c>
      <c r="L153" s="161">
        <f t="shared" si="87"/>
        <v>28506</v>
      </c>
      <c r="M153" s="162">
        <f t="shared" si="84"/>
        <v>1.3226124351818658E-2</v>
      </c>
    </row>
    <row r="154" spans="2:13" x14ac:dyDescent="0.25">
      <c r="B154" s="164" t="s">
        <v>112</v>
      </c>
      <c r="C154" s="165">
        <v>4925</v>
      </c>
      <c r="D154" s="165">
        <v>254</v>
      </c>
      <c r="E154" s="165">
        <v>8714</v>
      </c>
      <c r="F154" s="165">
        <v>9501</v>
      </c>
      <c r="G154" s="165">
        <v>10542</v>
      </c>
      <c r="H154" s="165">
        <v>8884</v>
      </c>
      <c r="I154" s="180">
        <f t="shared" ref="I154:I161" si="88">IFERROR(H154/G154-1,"-")</f>
        <v>-0.15727565926769116</v>
      </c>
      <c r="J154" s="166">
        <f t="shared" si="85"/>
        <v>33.976377952755904</v>
      </c>
      <c r="K154" s="165">
        <f t="shared" si="86"/>
        <v>-1658</v>
      </c>
      <c r="L154" s="165">
        <f t="shared" si="87"/>
        <v>8630</v>
      </c>
      <c r="M154" s="166">
        <f t="shared" si="84"/>
        <v>3.3314683510506649E-3</v>
      </c>
    </row>
    <row r="155" spans="2:13" x14ac:dyDescent="0.25">
      <c r="B155" s="164" t="s">
        <v>115</v>
      </c>
      <c r="C155" s="165">
        <v>4219</v>
      </c>
      <c r="D155" s="165">
        <v>1276</v>
      </c>
      <c r="E155" s="165">
        <v>5858</v>
      </c>
      <c r="F155" s="165">
        <v>6181</v>
      </c>
      <c r="G155" s="165">
        <v>6933</v>
      </c>
      <c r="H155" s="165">
        <v>6662</v>
      </c>
      <c r="I155" s="180">
        <f t="shared" si="88"/>
        <v>-3.9088417712390022E-2</v>
      </c>
      <c r="J155" s="166">
        <f t="shared" si="85"/>
        <v>4.2210031347962387</v>
      </c>
      <c r="K155" s="165">
        <f t="shared" si="86"/>
        <v>-271</v>
      </c>
      <c r="L155" s="165">
        <f t="shared" si="87"/>
        <v>5386</v>
      </c>
      <c r="M155" s="166">
        <f t="shared" si="84"/>
        <v>2.498226266850465E-3</v>
      </c>
    </row>
    <row r="156" spans="2:13" x14ac:dyDescent="0.25">
      <c r="B156" s="164" t="s">
        <v>118</v>
      </c>
      <c r="C156" s="165">
        <v>1723</v>
      </c>
      <c r="D156" s="165">
        <v>1993</v>
      </c>
      <c r="E156" s="165">
        <v>2816</v>
      </c>
      <c r="F156" s="165">
        <v>4482</v>
      </c>
      <c r="G156" s="165">
        <v>5547</v>
      </c>
      <c r="H156" s="165">
        <v>7871</v>
      </c>
      <c r="I156" s="180">
        <f t="shared" si="88"/>
        <v>0.41896520641788348</v>
      </c>
      <c r="J156" s="166">
        <f t="shared" si="85"/>
        <v>2.9493226292022077</v>
      </c>
      <c r="K156" s="165">
        <f t="shared" si="86"/>
        <v>2324</v>
      </c>
      <c r="L156" s="165">
        <f t="shared" si="87"/>
        <v>5878</v>
      </c>
      <c r="M156" s="166">
        <f t="shared" si="84"/>
        <v>2.9515969598288816E-3</v>
      </c>
    </row>
    <row r="157" spans="2:13" x14ac:dyDescent="0.25">
      <c r="B157" s="164" t="s">
        <v>125</v>
      </c>
      <c r="C157" s="165">
        <v>517</v>
      </c>
      <c r="D157" s="165">
        <v>237</v>
      </c>
      <c r="E157" s="165">
        <v>774</v>
      </c>
      <c r="F157" s="165">
        <v>963</v>
      </c>
      <c r="G157" s="165">
        <v>1457</v>
      </c>
      <c r="H157" s="165">
        <v>1391</v>
      </c>
      <c r="I157" s="180">
        <f t="shared" si="88"/>
        <v>-4.5298558682223766E-2</v>
      </c>
      <c r="J157" s="166">
        <f t="shared" si="85"/>
        <v>4.8691983122362865</v>
      </c>
      <c r="K157" s="165">
        <f t="shared" si="86"/>
        <v>-66</v>
      </c>
      <c r="L157" s="165">
        <f t="shared" si="87"/>
        <v>1154</v>
      </c>
      <c r="M157" s="166">
        <f t="shared" si="84"/>
        <v>5.2162004460957622E-4</v>
      </c>
    </row>
    <row r="158" spans="2:13" x14ac:dyDescent="0.25">
      <c r="B158" s="164" t="s">
        <v>121</v>
      </c>
      <c r="C158" s="165">
        <v>514</v>
      </c>
      <c r="D158" s="165">
        <v>284</v>
      </c>
      <c r="E158" s="165">
        <v>1111</v>
      </c>
      <c r="F158" s="165">
        <v>1411</v>
      </c>
      <c r="G158" s="165">
        <v>1376</v>
      </c>
      <c r="H158" s="165">
        <v>1214</v>
      </c>
      <c r="I158" s="180">
        <f t="shared" si="88"/>
        <v>-0.11773255813953487</v>
      </c>
      <c r="J158" s="166">
        <f t="shared" si="85"/>
        <v>3.274647887323944</v>
      </c>
      <c r="K158" s="165">
        <f t="shared" si="86"/>
        <v>-162</v>
      </c>
      <c r="L158" s="165">
        <f t="shared" si="87"/>
        <v>930</v>
      </c>
      <c r="M158" s="166">
        <f t="shared" si="84"/>
        <v>4.5524567516608592E-4</v>
      </c>
    </row>
    <row r="159" spans="2:13" x14ac:dyDescent="0.25">
      <c r="B159" s="164" t="s">
        <v>130</v>
      </c>
      <c r="C159" s="165">
        <v>331</v>
      </c>
      <c r="D159" s="165">
        <v>24</v>
      </c>
      <c r="E159" s="165">
        <v>251</v>
      </c>
      <c r="F159" s="165">
        <v>393</v>
      </c>
      <c r="G159" s="165">
        <v>278</v>
      </c>
      <c r="H159" s="165">
        <v>271</v>
      </c>
      <c r="I159" s="180">
        <f t="shared" si="88"/>
        <v>-2.5179856115107868E-2</v>
      </c>
      <c r="J159" s="166">
        <f t="shared" si="85"/>
        <v>10.291666666666666</v>
      </c>
      <c r="K159" s="165">
        <f t="shared" si="86"/>
        <v>-7</v>
      </c>
      <c r="L159" s="165">
        <f t="shared" si="87"/>
        <v>247</v>
      </c>
      <c r="M159" s="166">
        <f t="shared" si="84"/>
        <v>1.0162403457167156E-4</v>
      </c>
    </row>
    <row r="160" spans="2:13" x14ac:dyDescent="0.25">
      <c r="B160" s="164" t="s">
        <v>133</v>
      </c>
      <c r="C160" s="165">
        <v>420</v>
      </c>
      <c r="D160" s="165">
        <v>62</v>
      </c>
      <c r="E160" s="165">
        <v>382</v>
      </c>
      <c r="F160" s="165">
        <v>521</v>
      </c>
      <c r="G160" s="165">
        <v>475</v>
      </c>
      <c r="H160" s="165">
        <v>365</v>
      </c>
      <c r="I160" s="180">
        <f t="shared" si="88"/>
        <v>-0.23157894736842111</v>
      </c>
      <c r="J160" s="166">
        <f t="shared" si="85"/>
        <v>4.887096774193548</v>
      </c>
      <c r="K160" s="165">
        <f t="shared" si="86"/>
        <v>-110</v>
      </c>
      <c r="L160" s="165">
        <f t="shared" si="87"/>
        <v>303</v>
      </c>
      <c r="M160" s="166">
        <f t="shared" si="84"/>
        <v>1.3687369969985286E-4</v>
      </c>
    </row>
    <row r="161" spans="2:13" x14ac:dyDescent="0.25">
      <c r="B161" s="169" t="s">
        <v>147</v>
      </c>
      <c r="C161" s="170">
        <f t="shared" ref="C161" si="89">C153-SUM(C154:C160)</f>
        <v>2839</v>
      </c>
      <c r="D161" s="170">
        <f t="shared" ref="D161:E161" si="90">D153-SUM(D154:D160)</f>
        <v>2634</v>
      </c>
      <c r="E161" s="170">
        <f t="shared" si="90"/>
        <v>5045</v>
      </c>
      <c r="F161" s="170">
        <f t="shared" ref="F161:H161" si="91">F153-SUM(F154:F160)</f>
        <v>6466</v>
      </c>
      <c r="G161" s="170">
        <f t="shared" si="91"/>
        <v>8695</v>
      </c>
      <c r="H161" s="170">
        <f t="shared" si="91"/>
        <v>8612</v>
      </c>
      <c r="I161" s="181">
        <f t="shared" si="88"/>
        <v>-9.5457159286946869E-3</v>
      </c>
      <c r="J161" s="171">
        <f t="shared" si="85"/>
        <v>2.2695520121488233</v>
      </c>
      <c r="K161" s="170">
        <f>H161-G161</f>
        <v>-83</v>
      </c>
      <c r="L161" s="170">
        <f t="shared" si="87"/>
        <v>5978</v>
      </c>
      <c r="M161" s="171">
        <f t="shared" si="84"/>
        <v>3.2294693200414595E-3</v>
      </c>
    </row>
    <row r="162" spans="2:13" x14ac:dyDescent="0.25">
      <c r="C162" s="81"/>
      <c r="D162" s="81"/>
      <c r="E162" s="81"/>
      <c r="F162" s="81"/>
      <c r="G162" s="81"/>
      <c r="H162" s="81"/>
      <c r="I162" s="81"/>
    </row>
    <row r="163" spans="2:13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</sheetData>
  <mergeCells count="3">
    <mergeCell ref="B4:J4"/>
    <mergeCell ref="C6:M6"/>
    <mergeCell ref="Q6:Y6"/>
  </mergeCells>
  <pageMargins left="0.25" right="0.25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96AA7-FE87-4C1F-B613-857A12F770EF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  <col min="24" max="24" width="0" hidden="1" customWidth="1"/>
  </cols>
  <sheetData>
    <row r="1" spans="1:23" ht="42.75" customHeight="1" x14ac:dyDescent="0.25"/>
    <row r="4" spans="1:23" ht="42" customHeight="1" thickBot="1" x14ac:dyDescent="0.3">
      <c r="B4" s="278" t="str">
        <f>CONCATENATE("Viajeros entrados en los hoteles de Tenerife según lugar de residencia y municipio de alojamiento")</f>
        <v>Viajeros entrados en los hoteles de Tenerife según lugar de residencia y municipio de alojamiento</v>
      </c>
      <c r="C4" s="278"/>
      <c r="D4" s="278"/>
      <c r="E4" s="278"/>
      <c r="F4" s="278"/>
      <c r="G4" s="278"/>
      <c r="H4" s="278"/>
      <c r="I4" s="278"/>
      <c r="J4" s="145"/>
      <c r="K4" s="145"/>
      <c r="N4" s="144" t="s">
        <v>266</v>
      </c>
      <c r="O4" s="145"/>
      <c r="P4" s="145"/>
      <c r="Q4" s="145"/>
      <c r="R4" s="145"/>
      <c r="S4" s="145"/>
      <c r="T4" s="145"/>
      <c r="U4" s="145"/>
      <c r="V4" s="145"/>
      <c r="W4" s="145"/>
    </row>
    <row r="5" spans="1:23" ht="6" customHeight="1" x14ac:dyDescent="0.25"/>
    <row r="6" spans="1:23" ht="15.75" x14ac:dyDescent="0.25">
      <c r="B6" s="146"/>
      <c r="C6" s="311" t="s">
        <v>45</v>
      </c>
      <c r="D6" s="312"/>
      <c r="E6" s="312"/>
      <c r="F6" s="312"/>
      <c r="G6" s="312"/>
      <c r="H6" s="312"/>
      <c r="I6" s="312"/>
      <c r="J6" s="312"/>
      <c r="K6" s="312"/>
      <c r="N6" s="146"/>
      <c r="O6" s="311" t="s">
        <v>45</v>
      </c>
      <c r="P6" s="312"/>
      <c r="Q6" s="312"/>
      <c r="R6" s="312"/>
      <c r="S6" s="312"/>
      <c r="T6" s="312"/>
      <c r="U6" s="312"/>
      <c r="V6" s="312"/>
      <c r="W6" s="312"/>
    </row>
    <row r="7" spans="1:23" s="147" customFormat="1" ht="72" customHeight="1" x14ac:dyDescent="0.25">
      <c r="B7" s="148"/>
      <c r="C7" s="173" t="s">
        <v>260</v>
      </c>
      <c r="D7" s="173" t="s">
        <v>261</v>
      </c>
      <c r="E7" s="173" t="s">
        <v>262</v>
      </c>
      <c r="F7" s="173" t="s">
        <v>263</v>
      </c>
      <c r="G7" s="173" t="s">
        <v>264</v>
      </c>
      <c r="H7" s="173" t="s">
        <v>265</v>
      </c>
      <c r="I7" s="174" t="str">
        <f>CONCATENATE("var. ",RIGHT(H7,2),"/",RIGHT(G7,2))</f>
        <v>var. 25/24</v>
      </c>
      <c r="J7" s="173" t="str">
        <f>CONCATENATE("dif. ",RIGHT(H7,2),"/",RIGHT(G7,2))</f>
        <v>dif. 25/24</v>
      </c>
      <c r="K7" s="174" t="str">
        <f>CONCATENATE("Cuota s/ total lugares de residencia ",RIGHT(H7,4))</f>
        <v>Cuota s/ total lugares de residencia 2025</v>
      </c>
      <c r="N7" s="148"/>
      <c r="O7" s="173" t="s">
        <v>260</v>
      </c>
      <c r="P7" s="173" t="s">
        <v>261</v>
      </c>
      <c r="Q7" s="173" t="s">
        <v>262</v>
      </c>
      <c r="R7" s="173" t="s">
        <v>263</v>
      </c>
      <c r="S7" s="173" t="s">
        <v>264</v>
      </c>
      <c r="T7" s="173" t="s">
        <v>265</v>
      </c>
      <c r="U7" s="174" t="str">
        <f>CONCATENATE("var. ",RIGHT(T7,2),"/",RIGHT(S7,2))</f>
        <v>var. 25/24</v>
      </c>
      <c r="V7" s="173" t="str">
        <f>CONCATENATE("dif. ",RIGHT(T7,2),"/",RIGHT(S7,2))</f>
        <v>dif. 25/24</v>
      </c>
      <c r="W7" s="174" t="str">
        <f>CONCATENATE("Cuota s/ total lugares de residencia ",RIGHT(T7,4))</f>
        <v>Cuota s/ total lugares de residencia 2025</v>
      </c>
    </row>
    <row r="8" spans="1:23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4"/>
      <c r="N8" s="156" t="s">
        <v>51</v>
      </c>
      <c r="O8" s="154"/>
      <c r="P8" s="154"/>
      <c r="Q8" s="154"/>
      <c r="R8" s="154"/>
      <c r="S8" s="154"/>
      <c r="T8" s="155"/>
      <c r="U8" s="155"/>
      <c r="V8" s="155"/>
      <c r="W8" s="154"/>
    </row>
    <row r="9" spans="1:23" x14ac:dyDescent="0.25">
      <c r="A9" s="1" t="s">
        <v>98</v>
      </c>
      <c r="B9" s="157" t="s">
        <v>70</v>
      </c>
      <c r="C9" s="177">
        <f t="shared" ref="C9:H9" si="0">C10+C13</f>
        <v>724591</v>
      </c>
      <c r="D9" s="177">
        <f t="shared" si="0"/>
        <v>400632</v>
      </c>
      <c r="E9" s="177">
        <f t="shared" si="0"/>
        <v>1755213</v>
      </c>
      <c r="F9" s="177">
        <f t="shared" si="0"/>
        <v>1992209</v>
      </c>
      <c r="G9" s="177">
        <f t="shared" si="0"/>
        <v>2100816</v>
      </c>
      <c r="H9" s="177">
        <f t="shared" si="0"/>
        <v>2057357</v>
      </c>
      <c r="I9" s="178">
        <f>IFERROR(H9/G9-1,"-")</f>
        <v>-2.0686723635006565E-2</v>
      </c>
      <c r="J9" s="177">
        <f t="shared" ref="J9:J21" si="1">H9-G9</f>
        <v>-43459</v>
      </c>
      <c r="K9" s="178">
        <f t="shared" ref="K9:K21" si="2">H9/H$9</f>
        <v>1</v>
      </c>
      <c r="N9" s="157" t="s">
        <v>70</v>
      </c>
      <c r="O9" s="177">
        <f t="shared" ref="O9:T9" si="3">O10+O13</f>
        <v>12754</v>
      </c>
      <c r="P9" s="177">
        <f t="shared" si="3"/>
        <v>11802</v>
      </c>
      <c r="Q9" s="177">
        <f t="shared" si="3"/>
        <v>24671</v>
      </c>
      <c r="R9" s="177">
        <f t="shared" si="3"/>
        <v>30683</v>
      </c>
      <c r="S9" s="177">
        <f t="shared" si="3"/>
        <v>29198</v>
      </c>
      <c r="T9" s="177">
        <f t="shared" si="3"/>
        <v>28272</v>
      </c>
      <c r="U9" s="178">
        <f>IFERROR(T9/S9-1,"-")</f>
        <v>-3.1714500993218708E-2</v>
      </c>
      <c r="V9" s="177">
        <f>T9-S9</f>
        <v>-926</v>
      </c>
      <c r="W9" s="178">
        <f t="shared" ref="W9:W21" si="4">T9/T$9</f>
        <v>1</v>
      </c>
    </row>
    <row r="10" spans="1:23" x14ac:dyDescent="0.25">
      <c r="A10" s="163" t="s">
        <v>105</v>
      </c>
      <c r="B10" s="160" t="s">
        <v>99</v>
      </c>
      <c r="C10" s="161">
        <v>122859</v>
      </c>
      <c r="D10" s="161">
        <v>218700</v>
      </c>
      <c r="E10" s="161">
        <v>383220</v>
      </c>
      <c r="F10" s="161">
        <v>416807</v>
      </c>
      <c r="G10" s="161">
        <v>407282</v>
      </c>
      <c r="H10" s="161">
        <v>401585</v>
      </c>
      <c r="I10" s="179">
        <f>IFERROR(H10/G10-1,"-")</f>
        <v>-1.3987851169459997E-2</v>
      </c>
      <c r="J10" s="160">
        <f t="shared" si="1"/>
        <v>-5697</v>
      </c>
      <c r="K10" s="162">
        <f t="shared" si="2"/>
        <v>0.19519461133872246</v>
      </c>
      <c r="N10" s="160" t="s">
        <v>99</v>
      </c>
      <c r="O10" s="161">
        <v>7454</v>
      </c>
      <c r="P10" s="161">
        <v>7418</v>
      </c>
      <c r="Q10" s="161">
        <v>15383</v>
      </c>
      <c r="R10" s="161">
        <v>19920</v>
      </c>
      <c r="S10" s="161">
        <v>16896</v>
      </c>
      <c r="T10" s="161">
        <v>16644</v>
      </c>
      <c r="U10" s="179">
        <f>IFERROR(T10/S10-1,"-")</f>
        <v>-1.4914772727272707E-2</v>
      </c>
      <c r="V10" s="160">
        <f t="shared" ref="V10:V20" si="5">T10-S10</f>
        <v>-252</v>
      </c>
      <c r="W10" s="162">
        <f t="shared" si="4"/>
        <v>0.58870967741935487</v>
      </c>
    </row>
    <row r="11" spans="1:23" x14ac:dyDescent="0.25">
      <c r="A11" s="163" t="s">
        <v>102</v>
      </c>
      <c r="B11" s="164" t="s">
        <v>105</v>
      </c>
      <c r="C11" s="165">
        <v>41140</v>
      </c>
      <c r="D11" s="165">
        <v>135698</v>
      </c>
      <c r="E11" s="165">
        <v>151793</v>
      </c>
      <c r="F11" s="165">
        <v>158979</v>
      </c>
      <c r="G11" s="165">
        <v>152835</v>
      </c>
      <c r="H11" s="165">
        <v>146034</v>
      </c>
      <c r="I11" s="180">
        <f>IFERROR(H11/G11-1,"-")</f>
        <v>-4.4498969476886807E-2</v>
      </c>
      <c r="J11" s="164">
        <f t="shared" si="1"/>
        <v>-6801</v>
      </c>
      <c r="K11" s="166">
        <f t="shared" si="2"/>
        <v>7.0981361037486451E-2</v>
      </c>
      <c r="N11" s="164" t="s">
        <v>105</v>
      </c>
      <c r="O11" s="165">
        <v>4239</v>
      </c>
      <c r="P11" s="165">
        <v>4253</v>
      </c>
      <c r="Q11" s="165">
        <v>7500</v>
      </c>
      <c r="R11" s="165">
        <v>5955</v>
      </c>
      <c r="S11" s="165">
        <v>4664</v>
      </c>
      <c r="T11" s="165">
        <v>5394</v>
      </c>
      <c r="U11" s="180">
        <f>IFERROR(T11/S11-1,"-")</f>
        <v>0.15651801029159529</v>
      </c>
      <c r="V11" s="164">
        <f t="shared" si="5"/>
        <v>730</v>
      </c>
      <c r="W11" s="166">
        <f>T11/T$9</f>
        <v>0.19078947368421054</v>
      </c>
    </row>
    <row r="12" spans="1:23" x14ac:dyDescent="0.25">
      <c r="A12" s="1"/>
      <c r="B12" s="164" t="s">
        <v>102</v>
      </c>
      <c r="C12" s="165">
        <v>81719</v>
      </c>
      <c r="D12" s="165">
        <v>83002</v>
      </c>
      <c r="E12" s="165">
        <v>231427</v>
      </c>
      <c r="F12" s="165">
        <v>257828</v>
      </c>
      <c r="G12" s="165">
        <v>254447</v>
      </c>
      <c r="H12" s="165">
        <v>255551</v>
      </c>
      <c r="I12" s="180">
        <f>IFERROR(H12/G12-1,"-")</f>
        <v>4.3388210511423608E-3</v>
      </c>
      <c r="J12" s="164">
        <f t="shared" si="1"/>
        <v>1104</v>
      </c>
      <c r="K12" s="166">
        <f t="shared" si="2"/>
        <v>0.12421325030123601</v>
      </c>
      <c r="N12" s="164" t="s">
        <v>102</v>
      </c>
      <c r="O12" s="165">
        <v>3215</v>
      </c>
      <c r="P12" s="165">
        <v>3165</v>
      </c>
      <c r="Q12" s="165">
        <v>7883</v>
      </c>
      <c r="R12" s="165">
        <v>13965</v>
      </c>
      <c r="S12" s="165">
        <v>12232</v>
      </c>
      <c r="T12" s="165">
        <v>11250</v>
      </c>
      <c r="U12" s="180">
        <f>IFERROR(T12/S12-1,"-")</f>
        <v>-8.0281229561805056E-2</v>
      </c>
      <c r="V12" s="164">
        <f t="shared" si="5"/>
        <v>-982</v>
      </c>
      <c r="W12" s="166">
        <f t="shared" si="4"/>
        <v>0.39792020373514431</v>
      </c>
    </row>
    <row r="13" spans="1:23" s="57" customFormat="1" x14ac:dyDescent="0.25">
      <c r="B13" s="160" t="s">
        <v>109</v>
      </c>
      <c r="C13" s="161">
        <v>601732</v>
      </c>
      <c r="D13" s="161">
        <v>181932</v>
      </c>
      <c r="E13" s="161">
        <v>1371993</v>
      </c>
      <c r="F13" s="161">
        <v>1575402</v>
      </c>
      <c r="G13" s="161">
        <v>1693534</v>
      </c>
      <c r="H13" s="161">
        <v>1655772</v>
      </c>
      <c r="I13" s="179">
        <f>IFERROR(H13/G13-1,"-")</f>
        <v>-2.2297751329468429E-2</v>
      </c>
      <c r="J13" s="160">
        <f t="shared" si="1"/>
        <v>-37762</v>
      </c>
      <c r="K13" s="162">
        <f t="shared" si="2"/>
        <v>0.8048053886612776</v>
      </c>
      <c r="N13" s="160" t="s">
        <v>109</v>
      </c>
      <c r="O13" s="161">
        <v>5300</v>
      </c>
      <c r="P13" s="161">
        <v>4384</v>
      </c>
      <c r="Q13" s="161">
        <v>9288</v>
      </c>
      <c r="R13" s="161">
        <v>10763</v>
      </c>
      <c r="S13" s="161">
        <v>12302</v>
      </c>
      <c r="T13" s="161">
        <v>11628</v>
      </c>
      <c r="U13" s="179">
        <f>IFERROR(T13/S13-1,"-")</f>
        <v>-5.47878393757113E-2</v>
      </c>
      <c r="V13" s="160">
        <f t="shared" si="5"/>
        <v>-674</v>
      </c>
      <c r="W13" s="162">
        <f t="shared" si="4"/>
        <v>0.41129032258064518</v>
      </c>
    </row>
    <row r="14" spans="1:23" s="57" customFormat="1" x14ac:dyDescent="0.25">
      <c r="B14" s="164" t="s">
        <v>112</v>
      </c>
      <c r="C14" s="165">
        <v>240301</v>
      </c>
      <c r="D14" s="165">
        <v>9925</v>
      </c>
      <c r="E14" s="165">
        <v>603696</v>
      </c>
      <c r="F14" s="165">
        <v>699698</v>
      </c>
      <c r="G14" s="165">
        <v>748985</v>
      </c>
      <c r="H14" s="165">
        <v>738018</v>
      </c>
      <c r="I14" s="180">
        <f t="shared" ref="I14:I21" si="6">IFERROR(H14/G14-1,"-")</f>
        <v>-1.464248282675884E-2</v>
      </c>
      <c r="J14" s="164">
        <f t="shared" si="1"/>
        <v>-10967</v>
      </c>
      <c r="K14" s="166">
        <f t="shared" si="2"/>
        <v>0.35872140809786535</v>
      </c>
      <c r="N14" s="164" t="s">
        <v>112</v>
      </c>
      <c r="O14" s="165">
        <v>994</v>
      </c>
      <c r="P14" s="165">
        <v>145</v>
      </c>
      <c r="Q14" s="165">
        <v>1307</v>
      </c>
      <c r="R14" s="165">
        <v>1561</v>
      </c>
      <c r="S14" s="165">
        <v>1845</v>
      </c>
      <c r="T14" s="165">
        <v>1552</v>
      </c>
      <c r="U14" s="180">
        <f t="shared" ref="U14:U21" si="7">IFERROR(T14/S14-1,"-")</f>
        <v>-0.1588075880758808</v>
      </c>
      <c r="V14" s="164">
        <f t="shared" si="5"/>
        <v>-293</v>
      </c>
      <c r="W14" s="166">
        <f t="shared" si="4"/>
        <v>5.4895302773061684E-2</v>
      </c>
    </row>
    <row r="15" spans="1:23" x14ac:dyDescent="0.25">
      <c r="A15" s="1"/>
      <c r="B15" s="164" t="s">
        <v>115</v>
      </c>
      <c r="C15" s="165">
        <v>87097</v>
      </c>
      <c r="D15" s="165">
        <v>30722</v>
      </c>
      <c r="E15" s="165">
        <v>161778</v>
      </c>
      <c r="F15" s="165">
        <v>191822</v>
      </c>
      <c r="G15" s="165">
        <v>201370</v>
      </c>
      <c r="H15" s="165">
        <v>193248</v>
      </c>
      <c r="I15" s="180">
        <f t="shared" si="6"/>
        <v>-4.03337140586979E-2</v>
      </c>
      <c r="J15" s="164">
        <f t="shared" si="1"/>
        <v>-8122</v>
      </c>
      <c r="K15" s="166">
        <f t="shared" si="2"/>
        <v>9.3930222124794099E-2</v>
      </c>
      <c r="N15" s="164" t="s">
        <v>115</v>
      </c>
      <c r="O15" s="165">
        <v>1071</v>
      </c>
      <c r="P15" s="165">
        <v>659</v>
      </c>
      <c r="Q15" s="165">
        <v>1843</v>
      </c>
      <c r="R15" s="165">
        <v>2024</v>
      </c>
      <c r="S15" s="165">
        <v>2489</v>
      </c>
      <c r="T15" s="165">
        <v>2173</v>
      </c>
      <c r="U15" s="180">
        <f t="shared" si="7"/>
        <v>-0.12695861791884289</v>
      </c>
      <c r="V15" s="164">
        <f t="shared" si="5"/>
        <v>-316</v>
      </c>
      <c r="W15" s="166">
        <f t="shared" si="4"/>
        <v>7.6860498019241649E-2</v>
      </c>
    </row>
    <row r="16" spans="1:23" x14ac:dyDescent="0.25">
      <c r="A16" s="1"/>
      <c r="B16" s="164" t="s">
        <v>118</v>
      </c>
      <c r="C16" s="165">
        <v>31900</v>
      </c>
      <c r="D16" s="165">
        <v>34584</v>
      </c>
      <c r="E16" s="165">
        <v>80443</v>
      </c>
      <c r="F16" s="165">
        <v>91920</v>
      </c>
      <c r="G16" s="165">
        <v>98242</v>
      </c>
      <c r="H16" s="165">
        <v>90996</v>
      </c>
      <c r="I16" s="180">
        <f t="shared" si="6"/>
        <v>-7.3756641762179109E-2</v>
      </c>
      <c r="J16" s="164">
        <f t="shared" si="1"/>
        <v>-7246</v>
      </c>
      <c r="K16" s="166">
        <f t="shared" si="2"/>
        <v>4.4229562492071141E-2</v>
      </c>
      <c r="N16" s="164" t="s">
        <v>118</v>
      </c>
      <c r="O16" s="165">
        <v>1161</v>
      </c>
      <c r="P16" s="165">
        <v>1852</v>
      </c>
      <c r="Q16" s="165">
        <v>1779</v>
      </c>
      <c r="R16" s="165">
        <v>2117</v>
      </c>
      <c r="S16" s="165">
        <v>2082</v>
      </c>
      <c r="T16" s="165">
        <v>2030</v>
      </c>
      <c r="U16" s="180">
        <f t="shared" si="7"/>
        <v>-2.4975984630163262E-2</v>
      </c>
      <c r="V16" s="164">
        <f t="shared" si="5"/>
        <v>-52</v>
      </c>
      <c r="W16" s="166">
        <f t="shared" si="4"/>
        <v>7.180249009620826E-2</v>
      </c>
    </row>
    <row r="17" spans="1:23" x14ac:dyDescent="0.25">
      <c r="A17" s="1"/>
      <c r="B17" s="164" t="s">
        <v>125</v>
      </c>
      <c r="C17" s="165">
        <v>19336</v>
      </c>
      <c r="D17" s="165">
        <v>6311</v>
      </c>
      <c r="E17" s="165">
        <v>63615</v>
      </c>
      <c r="F17" s="165">
        <v>54916</v>
      </c>
      <c r="G17" s="165">
        <v>61481</v>
      </c>
      <c r="H17" s="165">
        <v>56115</v>
      </c>
      <c r="I17" s="180">
        <f t="shared" si="6"/>
        <v>-8.7278996763227701E-2</v>
      </c>
      <c r="J17" s="164">
        <f t="shared" si="1"/>
        <v>-5366</v>
      </c>
      <c r="K17" s="166">
        <f t="shared" si="2"/>
        <v>2.7275285718521385E-2</v>
      </c>
      <c r="N17" s="164" t="s">
        <v>125</v>
      </c>
      <c r="O17" s="165">
        <v>265</v>
      </c>
      <c r="P17" s="165">
        <v>84</v>
      </c>
      <c r="Q17" s="165">
        <v>672</v>
      </c>
      <c r="R17" s="165">
        <v>531</v>
      </c>
      <c r="S17" s="165">
        <v>598</v>
      </c>
      <c r="T17" s="165">
        <v>576</v>
      </c>
      <c r="U17" s="180">
        <f t="shared" si="7"/>
        <v>-3.6789297658862852E-2</v>
      </c>
      <c r="V17" s="164">
        <f t="shared" si="5"/>
        <v>-22</v>
      </c>
      <c r="W17" s="166">
        <f t="shared" si="4"/>
        <v>2.037351443123939E-2</v>
      </c>
    </row>
    <row r="18" spans="1:23" x14ac:dyDescent="0.25">
      <c r="A18" s="1"/>
      <c r="B18" s="164" t="s">
        <v>121</v>
      </c>
      <c r="C18" s="165">
        <v>26204</v>
      </c>
      <c r="D18" s="165">
        <v>11280</v>
      </c>
      <c r="E18" s="165">
        <v>64021</v>
      </c>
      <c r="F18" s="165">
        <v>62799</v>
      </c>
      <c r="G18" s="165">
        <v>67393</v>
      </c>
      <c r="H18" s="165">
        <v>61732</v>
      </c>
      <c r="I18" s="180">
        <f t="shared" si="6"/>
        <v>-8.3999821939964137E-2</v>
      </c>
      <c r="J18" s="164">
        <f t="shared" si="1"/>
        <v>-5661</v>
      </c>
      <c r="K18" s="166">
        <f t="shared" si="2"/>
        <v>3.0005487623198112E-2</v>
      </c>
      <c r="N18" s="164" t="s">
        <v>121</v>
      </c>
      <c r="O18" s="165">
        <v>132</v>
      </c>
      <c r="P18" s="165">
        <v>154</v>
      </c>
      <c r="Q18" s="165">
        <v>373</v>
      </c>
      <c r="R18" s="165">
        <v>293</v>
      </c>
      <c r="S18" s="165">
        <v>514</v>
      </c>
      <c r="T18" s="165">
        <v>484</v>
      </c>
      <c r="U18" s="180">
        <f t="shared" si="7"/>
        <v>-5.8365758754863828E-2</v>
      </c>
      <c r="V18" s="164">
        <f t="shared" si="5"/>
        <v>-30</v>
      </c>
      <c r="W18" s="166">
        <f t="shared" si="4"/>
        <v>1.7119411431805318E-2</v>
      </c>
    </row>
    <row r="19" spans="1:23" x14ac:dyDescent="0.25">
      <c r="A19" s="163" t="s">
        <v>146</v>
      </c>
      <c r="B19" s="164" t="s">
        <v>130</v>
      </c>
      <c r="C19" s="165">
        <v>17976</v>
      </c>
      <c r="D19" s="165">
        <v>433</v>
      </c>
      <c r="E19" s="165">
        <v>21629</v>
      </c>
      <c r="F19" s="165">
        <v>28226</v>
      </c>
      <c r="G19" s="165">
        <v>24816</v>
      </c>
      <c r="H19" s="165">
        <v>24048</v>
      </c>
      <c r="I19" s="180">
        <f t="shared" si="6"/>
        <v>-3.0947775628626717E-2</v>
      </c>
      <c r="J19" s="164">
        <f t="shared" si="1"/>
        <v>-768</v>
      </c>
      <c r="K19" s="166">
        <f t="shared" si="2"/>
        <v>1.1688783230134584E-2</v>
      </c>
      <c r="N19" s="164" t="s">
        <v>130</v>
      </c>
      <c r="O19" s="165">
        <v>112</v>
      </c>
      <c r="P19" s="165">
        <v>17</v>
      </c>
      <c r="Q19" s="165">
        <v>182</v>
      </c>
      <c r="R19" s="165">
        <v>87</v>
      </c>
      <c r="S19" s="165">
        <v>151</v>
      </c>
      <c r="T19" s="165">
        <v>128</v>
      </c>
      <c r="U19" s="180">
        <f t="shared" si="7"/>
        <v>-0.15231788079470199</v>
      </c>
      <c r="V19" s="164">
        <f t="shared" si="5"/>
        <v>-23</v>
      </c>
      <c r="W19" s="166">
        <f t="shared" si="4"/>
        <v>4.5274476513865311E-3</v>
      </c>
    </row>
    <row r="20" spans="1:23" x14ac:dyDescent="0.25">
      <c r="A20" s="168" t="s">
        <v>147</v>
      </c>
      <c r="B20" s="164" t="s">
        <v>133</v>
      </c>
      <c r="C20" s="165">
        <v>24079</v>
      </c>
      <c r="D20" s="165">
        <v>1339</v>
      </c>
      <c r="E20" s="165">
        <v>15548</v>
      </c>
      <c r="F20" s="165">
        <v>24740</v>
      </c>
      <c r="G20" s="165">
        <v>23852</v>
      </c>
      <c r="H20" s="165">
        <v>20433</v>
      </c>
      <c r="I20" s="180">
        <f t="shared" si="6"/>
        <v>-0.1433422773771591</v>
      </c>
      <c r="J20" s="164">
        <f t="shared" si="1"/>
        <v>-3419</v>
      </c>
      <c r="K20" s="166">
        <f t="shared" si="2"/>
        <v>9.9316744736086156E-3</v>
      </c>
      <c r="N20" s="164" t="s">
        <v>133</v>
      </c>
      <c r="O20" s="165">
        <v>61</v>
      </c>
      <c r="P20" s="165">
        <v>42</v>
      </c>
      <c r="Q20" s="165">
        <v>99</v>
      </c>
      <c r="R20" s="165">
        <v>155</v>
      </c>
      <c r="S20" s="165">
        <v>265</v>
      </c>
      <c r="T20" s="165">
        <v>143</v>
      </c>
      <c r="U20" s="180">
        <f t="shared" si="7"/>
        <v>-0.46037735849056605</v>
      </c>
      <c r="V20" s="164">
        <f t="shared" si="5"/>
        <v>-122</v>
      </c>
      <c r="W20" s="166">
        <f t="shared" si="4"/>
        <v>5.05800792303339E-3</v>
      </c>
    </row>
    <row r="21" spans="1:23" x14ac:dyDescent="0.25">
      <c r="B21" s="169" t="s">
        <v>147</v>
      </c>
      <c r="C21" s="170">
        <f t="shared" ref="C21" si="8">C13-SUM(C14:C20)</f>
        <v>154839</v>
      </c>
      <c r="D21" s="170">
        <f t="shared" ref="D21:H21" si="9">D13-SUM(D14:D20)</f>
        <v>87338</v>
      </c>
      <c r="E21" s="170">
        <f t="shared" si="9"/>
        <v>361263</v>
      </c>
      <c r="F21" s="170">
        <f t="shared" si="9"/>
        <v>421281</v>
      </c>
      <c r="G21" s="170">
        <f t="shared" si="9"/>
        <v>467395</v>
      </c>
      <c r="H21" s="170">
        <f t="shared" si="9"/>
        <v>471182</v>
      </c>
      <c r="I21" s="181">
        <f t="shared" si="6"/>
        <v>8.1023545395222385E-3</v>
      </c>
      <c r="J21" s="169">
        <f t="shared" si="1"/>
        <v>3787</v>
      </c>
      <c r="K21" s="171">
        <f t="shared" si="2"/>
        <v>0.22902296490108426</v>
      </c>
      <c r="N21" s="169" t="s">
        <v>147</v>
      </c>
      <c r="O21" s="170">
        <f t="shared" ref="O21:T21" si="10">O13-SUM(O14:O20)</f>
        <v>1504</v>
      </c>
      <c r="P21" s="170">
        <f t="shared" si="10"/>
        <v>1431</v>
      </c>
      <c r="Q21" s="170">
        <f t="shared" si="10"/>
        <v>3033</v>
      </c>
      <c r="R21" s="170">
        <f t="shared" si="10"/>
        <v>3995</v>
      </c>
      <c r="S21" s="170">
        <f t="shared" si="10"/>
        <v>4358</v>
      </c>
      <c r="T21" s="170">
        <f t="shared" si="10"/>
        <v>4542</v>
      </c>
      <c r="U21" s="181">
        <f t="shared" si="7"/>
        <v>4.222120238641569E-2</v>
      </c>
      <c r="V21" s="169">
        <f>T21-S21</f>
        <v>184</v>
      </c>
      <c r="W21" s="171">
        <f t="shared" si="4"/>
        <v>0.16065365025466893</v>
      </c>
    </row>
    <row r="22" spans="1:23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4"/>
    </row>
    <row r="23" spans="1:23" x14ac:dyDescent="0.25">
      <c r="B23" s="157" t="s">
        <v>70</v>
      </c>
      <c r="C23" s="177">
        <f t="shared" ref="C23:H23" si="11">C24+C27</f>
        <v>279824</v>
      </c>
      <c r="D23" s="177">
        <f t="shared" si="11"/>
        <v>151180</v>
      </c>
      <c r="E23" s="177">
        <f t="shared" si="11"/>
        <v>713676</v>
      </c>
      <c r="F23" s="177">
        <f t="shared" si="11"/>
        <v>751148</v>
      </c>
      <c r="G23" s="177">
        <f t="shared" si="11"/>
        <v>782016</v>
      </c>
      <c r="H23" s="177">
        <f t="shared" si="11"/>
        <v>735111</v>
      </c>
      <c r="I23" s="178">
        <f>IFERROR(H23/G23-1,"-")</f>
        <v>-5.9979591210409966E-2</v>
      </c>
      <c r="J23" s="177">
        <f>H23-G23</f>
        <v>-46905</v>
      </c>
      <c r="K23" s="178">
        <f t="shared" ref="K23:K35" si="12">H23/H$9</f>
        <v>0.35730843018494118</v>
      </c>
    </row>
    <row r="24" spans="1:23" x14ac:dyDescent="0.25">
      <c r="B24" s="160" t="s">
        <v>99</v>
      </c>
      <c r="C24" s="161">
        <v>16647</v>
      </c>
      <c r="D24" s="161">
        <v>75480</v>
      </c>
      <c r="E24" s="161">
        <v>74711</v>
      </c>
      <c r="F24" s="161">
        <v>63272</v>
      </c>
      <c r="G24" s="161">
        <v>54051</v>
      </c>
      <c r="H24" s="161">
        <v>48708</v>
      </c>
      <c r="I24" s="179">
        <f>IFERROR(H24/G24-1,"-")</f>
        <v>-9.8851085086307355E-2</v>
      </c>
      <c r="J24" s="160">
        <f t="shared" ref="J24:J34" si="13">H24-G24</f>
        <v>-5343</v>
      </c>
      <c r="K24" s="162">
        <f t="shared" si="12"/>
        <v>2.3675035494569004E-2</v>
      </c>
    </row>
    <row r="25" spans="1:23" x14ac:dyDescent="0.25">
      <c r="B25" s="164" t="s">
        <v>105</v>
      </c>
      <c r="C25" s="165">
        <v>6472</v>
      </c>
      <c r="D25" s="165">
        <v>44079</v>
      </c>
      <c r="E25" s="165">
        <v>31838</v>
      </c>
      <c r="F25" s="165">
        <v>25299</v>
      </c>
      <c r="G25" s="165">
        <v>18564</v>
      </c>
      <c r="H25" s="165">
        <v>21830</v>
      </c>
      <c r="I25" s="180">
        <f>IFERROR(H25/G25-1,"-")</f>
        <v>0.17593191122602891</v>
      </c>
      <c r="J25" s="164">
        <f t="shared" si="13"/>
        <v>3266</v>
      </c>
      <c r="K25" s="166">
        <f t="shared" si="12"/>
        <v>1.0610701011054473E-2</v>
      </c>
    </row>
    <row r="26" spans="1:23" x14ac:dyDescent="0.25">
      <c r="B26" s="164" t="s">
        <v>102</v>
      </c>
      <c r="C26" s="165">
        <v>10175</v>
      </c>
      <c r="D26" s="165">
        <v>31401</v>
      </c>
      <c r="E26" s="165">
        <v>42873</v>
      </c>
      <c r="F26" s="165">
        <v>37973</v>
      </c>
      <c r="G26" s="165">
        <v>35487</v>
      </c>
      <c r="H26" s="165">
        <v>26878</v>
      </c>
      <c r="I26" s="180">
        <f>IFERROR(H26/G26-1,"-")</f>
        <v>-0.24259588018147493</v>
      </c>
      <c r="J26" s="164">
        <f t="shared" si="13"/>
        <v>-8609</v>
      </c>
      <c r="K26" s="166">
        <f t="shared" si="12"/>
        <v>1.3064334483514529E-2</v>
      </c>
    </row>
    <row r="27" spans="1:23" x14ac:dyDescent="0.25">
      <c r="B27" s="160" t="s">
        <v>109</v>
      </c>
      <c r="C27" s="161">
        <v>263177</v>
      </c>
      <c r="D27" s="161">
        <v>75700</v>
      </c>
      <c r="E27" s="161">
        <v>638965</v>
      </c>
      <c r="F27" s="161">
        <v>687876</v>
      </c>
      <c r="G27" s="161">
        <v>727965</v>
      </c>
      <c r="H27" s="161">
        <v>686403</v>
      </c>
      <c r="I27" s="179">
        <f>IFERROR(H27/G27-1,"-")</f>
        <v>-5.7093404215862065E-2</v>
      </c>
      <c r="J27" s="160">
        <f t="shared" si="13"/>
        <v>-41562</v>
      </c>
      <c r="K27" s="162">
        <f t="shared" si="12"/>
        <v>0.33363339469037218</v>
      </c>
    </row>
    <row r="28" spans="1:23" x14ac:dyDescent="0.25">
      <c r="B28" s="164" t="s">
        <v>112</v>
      </c>
      <c r="C28" s="165">
        <v>115594</v>
      </c>
      <c r="D28" s="165">
        <v>3750</v>
      </c>
      <c r="E28" s="165">
        <v>311908</v>
      </c>
      <c r="F28" s="165">
        <v>341742</v>
      </c>
      <c r="G28" s="165">
        <v>364320</v>
      </c>
      <c r="H28" s="165">
        <v>347002</v>
      </c>
      <c r="I28" s="180">
        <f t="shared" ref="I28:I35" si="14">IFERROR(H28/G28-1,"-")</f>
        <v>-4.7535133948177433E-2</v>
      </c>
      <c r="J28" s="164">
        <f t="shared" si="13"/>
        <v>-17318</v>
      </c>
      <c r="K28" s="166">
        <f t="shared" si="12"/>
        <v>0.16866397032697777</v>
      </c>
    </row>
    <row r="29" spans="1:23" x14ac:dyDescent="0.25">
      <c r="B29" s="164" t="s">
        <v>115</v>
      </c>
      <c r="C29" s="165">
        <v>34149</v>
      </c>
      <c r="D29" s="165">
        <v>13191</v>
      </c>
      <c r="E29" s="165">
        <v>73995</v>
      </c>
      <c r="F29" s="165">
        <v>82578</v>
      </c>
      <c r="G29" s="165">
        <v>83516</v>
      </c>
      <c r="H29" s="165">
        <v>76918</v>
      </c>
      <c r="I29" s="180">
        <f t="shared" si="14"/>
        <v>-7.9002825805833621E-2</v>
      </c>
      <c r="J29" s="164">
        <f t="shared" si="13"/>
        <v>-6598</v>
      </c>
      <c r="K29" s="166">
        <f t="shared" si="12"/>
        <v>3.7386802582147875E-2</v>
      </c>
    </row>
    <row r="30" spans="1:23" x14ac:dyDescent="0.25">
      <c r="B30" s="164" t="s">
        <v>118</v>
      </c>
      <c r="C30" s="165">
        <v>11026</v>
      </c>
      <c r="D30" s="165">
        <v>12859</v>
      </c>
      <c r="E30" s="165">
        <v>26727</v>
      </c>
      <c r="F30" s="165">
        <v>25158</v>
      </c>
      <c r="G30" s="165">
        <v>22644</v>
      </c>
      <c r="H30" s="165">
        <v>20928</v>
      </c>
      <c r="I30" s="180">
        <f t="shared" si="14"/>
        <v>-7.5781664016958183E-2</v>
      </c>
      <c r="J30" s="164">
        <f t="shared" si="13"/>
        <v>-1716</v>
      </c>
      <c r="K30" s="166">
        <f t="shared" si="12"/>
        <v>1.0172274427821716E-2</v>
      </c>
    </row>
    <row r="31" spans="1:23" x14ac:dyDescent="0.25">
      <c r="B31" s="164" t="s">
        <v>125</v>
      </c>
      <c r="C31" s="165">
        <v>10228</v>
      </c>
      <c r="D31" s="165">
        <v>3095</v>
      </c>
      <c r="E31" s="165">
        <v>34610</v>
      </c>
      <c r="F31" s="165">
        <v>27539</v>
      </c>
      <c r="G31" s="165">
        <v>29757</v>
      </c>
      <c r="H31" s="165">
        <v>26878</v>
      </c>
      <c r="I31" s="180">
        <f t="shared" si="14"/>
        <v>-9.6750344456766446E-2</v>
      </c>
      <c r="J31" s="164">
        <f t="shared" si="13"/>
        <v>-2879</v>
      </c>
      <c r="K31" s="166">
        <f t="shared" si="12"/>
        <v>1.3064334483514529E-2</v>
      </c>
    </row>
    <row r="32" spans="1:23" x14ac:dyDescent="0.25">
      <c r="B32" s="164" t="s">
        <v>121</v>
      </c>
      <c r="C32" s="165">
        <v>14676</v>
      </c>
      <c r="D32" s="165">
        <v>6676</v>
      </c>
      <c r="E32" s="165">
        <v>39304</v>
      </c>
      <c r="F32" s="165">
        <v>35390</v>
      </c>
      <c r="G32" s="165">
        <v>36760</v>
      </c>
      <c r="H32" s="165">
        <v>35240</v>
      </c>
      <c r="I32" s="180">
        <f t="shared" si="14"/>
        <v>-4.1349292709466856E-2</v>
      </c>
      <c r="J32" s="164">
        <f t="shared" si="13"/>
        <v>-1520</v>
      </c>
      <c r="K32" s="166">
        <f t="shared" si="12"/>
        <v>1.7128772497918446E-2</v>
      </c>
    </row>
    <row r="33" spans="2:11" x14ac:dyDescent="0.25">
      <c r="B33" s="164" t="s">
        <v>130</v>
      </c>
      <c r="C33" s="165">
        <v>9525</v>
      </c>
      <c r="D33" s="165">
        <v>129</v>
      </c>
      <c r="E33" s="165">
        <v>11543</v>
      </c>
      <c r="F33" s="165">
        <v>12877</v>
      </c>
      <c r="G33" s="165">
        <v>11952</v>
      </c>
      <c r="H33" s="165">
        <v>10759</v>
      </c>
      <c r="I33" s="180">
        <f t="shared" si="14"/>
        <v>-9.9815930388219565E-2</v>
      </c>
      <c r="J33" s="164">
        <f t="shared" si="13"/>
        <v>-1193</v>
      </c>
      <c r="K33" s="166">
        <f t="shared" si="12"/>
        <v>5.2295250654115933E-3</v>
      </c>
    </row>
    <row r="34" spans="2:11" x14ac:dyDescent="0.25">
      <c r="B34" s="164" t="s">
        <v>133</v>
      </c>
      <c r="C34" s="165">
        <v>11099</v>
      </c>
      <c r="D34" s="165">
        <v>208</v>
      </c>
      <c r="E34" s="165">
        <v>7121</v>
      </c>
      <c r="F34" s="165">
        <v>11729</v>
      </c>
      <c r="G34" s="165">
        <v>11214</v>
      </c>
      <c r="H34" s="165">
        <v>9639</v>
      </c>
      <c r="I34" s="180">
        <f t="shared" si="14"/>
        <v>-0.1404494382022472</v>
      </c>
      <c r="J34" s="164">
        <f t="shared" si="13"/>
        <v>-1575</v>
      </c>
      <c r="K34" s="166">
        <f t="shared" si="12"/>
        <v>4.6851372902223581E-3</v>
      </c>
    </row>
    <row r="35" spans="2:11" x14ac:dyDescent="0.25">
      <c r="B35" s="169" t="s">
        <v>147</v>
      </c>
      <c r="C35" s="170">
        <f t="shared" ref="C35" si="15">C27-SUM(C28:C34)</f>
        <v>56880</v>
      </c>
      <c r="D35" s="170">
        <f t="shared" ref="D35:H35" si="16">D27-SUM(D28:D34)</f>
        <v>35792</v>
      </c>
      <c r="E35" s="170">
        <f t="shared" si="16"/>
        <v>133757</v>
      </c>
      <c r="F35" s="170">
        <f t="shared" si="16"/>
        <v>150863</v>
      </c>
      <c r="G35" s="170">
        <f t="shared" si="16"/>
        <v>167802</v>
      </c>
      <c r="H35" s="170">
        <f t="shared" si="16"/>
        <v>159039</v>
      </c>
      <c r="I35" s="181">
        <f t="shared" si="14"/>
        <v>-5.2222261951585747E-2</v>
      </c>
      <c r="J35" s="169">
        <f>H35-G35</f>
        <v>-8763</v>
      </c>
      <c r="K35" s="171">
        <f t="shared" si="12"/>
        <v>7.7302578016357884E-2</v>
      </c>
    </row>
    <row r="36" spans="2:11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4"/>
    </row>
    <row r="37" spans="2:11" x14ac:dyDescent="0.25">
      <c r="B37" s="157" t="s">
        <v>70</v>
      </c>
      <c r="C37" s="177">
        <f t="shared" ref="C37:H37" si="17">C38+C41</f>
        <v>147106</v>
      </c>
      <c r="D37" s="177">
        <f t="shared" si="17"/>
        <v>23957</v>
      </c>
      <c r="E37" s="177">
        <f t="shared" si="17"/>
        <v>339898</v>
      </c>
      <c r="F37" s="177">
        <f t="shared" si="17"/>
        <v>391097</v>
      </c>
      <c r="G37" s="177">
        <f t="shared" si="17"/>
        <v>412779</v>
      </c>
      <c r="H37" s="177">
        <f t="shared" si="17"/>
        <v>427725</v>
      </c>
      <c r="I37" s="178">
        <f>IFERROR(H37/G37-1,"-")</f>
        <v>3.6208237337655325E-2</v>
      </c>
      <c r="J37" s="177">
        <f>H37-G37</f>
        <v>14946</v>
      </c>
      <c r="K37" s="178">
        <f t="shared" ref="K37:K49" si="18">H37/H$9</f>
        <v>0.20790023316322837</v>
      </c>
    </row>
    <row r="38" spans="2:11" x14ac:dyDescent="0.25">
      <c r="B38" s="160" t="s">
        <v>99</v>
      </c>
      <c r="C38" s="161">
        <v>9666</v>
      </c>
      <c r="D38" s="161">
        <v>6560</v>
      </c>
      <c r="E38" s="161">
        <v>34393</v>
      </c>
      <c r="F38" s="161">
        <v>34527</v>
      </c>
      <c r="G38" s="161">
        <v>32776</v>
      </c>
      <c r="H38" s="161">
        <v>34151</v>
      </c>
      <c r="I38" s="179">
        <f>IFERROR(H38/G38-1,"-")</f>
        <v>4.1951427874054259E-2</v>
      </c>
      <c r="J38" s="160">
        <f t="shared" ref="J38:J48" si="19">H38-G38</f>
        <v>1375</v>
      </c>
      <c r="K38" s="162">
        <f t="shared" si="18"/>
        <v>1.6599452598649627E-2</v>
      </c>
    </row>
    <row r="39" spans="2:11" x14ac:dyDescent="0.25">
      <c r="B39" s="164" t="s">
        <v>105</v>
      </c>
      <c r="C39" s="165">
        <v>2065</v>
      </c>
      <c r="D39" s="165">
        <v>3118</v>
      </c>
      <c r="E39" s="165">
        <v>8971</v>
      </c>
      <c r="F39" s="165">
        <v>10643</v>
      </c>
      <c r="G39" s="165">
        <v>13026</v>
      </c>
      <c r="H39" s="165">
        <v>12373</v>
      </c>
      <c r="I39" s="180">
        <f>IFERROR(H39/G39-1,"-")</f>
        <v>-5.0130508214340508E-2</v>
      </c>
      <c r="J39" s="164">
        <f t="shared" si="19"/>
        <v>-653</v>
      </c>
      <c r="K39" s="166">
        <f t="shared" si="18"/>
        <v>6.0140267343003666E-3</v>
      </c>
    </row>
    <row r="40" spans="2:11" x14ac:dyDescent="0.25">
      <c r="B40" s="164" t="s">
        <v>102</v>
      </c>
      <c r="C40" s="165">
        <v>7601</v>
      </c>
      <c r="D40" s="165">
        <v>3442</v>
      </c>
      <c r="E40" s="165">
        <v>25422</v>
      </c>
      <c r="F40" s="165">
        <v>23884</v>
      </c>
      <c r="G40" s="165">
        <v>19750</v>
      </c>
      <c r="H40" s="165">
        <v>21778</v>
      </c>
      <c r="I40" s="180">
        <f>IFERROR(H40/G40-1,"-")</f>
        <v>0.10268354430379745</v>
      </c>
      <c r="J40" s="164">
        <f t="shared" si="19"/>
        <v>2028</v>
      </c>
      <c r="K40" s="166">
        <f t="shared" si="18"/>
        <v>1.058542586434926E-2</v>
      </c>
    </row>
    <row r="41" spans="2:11" x14ac:dyDescent="0.25">
      <c r="B41" s="160" t="s">
        <v>109</v>
      </c>
      <c r="C41" s="161">
        <v>137440</v>
      </c>
      <c r="D41" s="161">
        <v>17397</v>
      </c>
      <c r="E41" s="161">
        <v>305505</v>
      </c>
      <c r="F41" s="161">
        <v>356570</v>
      </c>
      <c r="G41" s="161">
        <v>380003</v>
      </c>
      <c r="H41" s="161">
        <v>393574</v>
      </c>
      <c r="I41" s="179">
        <f>IFERROR(H41/G41-1,"-")</f>
        <v>3.5712875950979273E-2</v>
      </c>
      <c r="J41" s="160">
        <f t="shared" si="19"/>
        <v>13571</v>
      </c>
      <c r="K41" s="162">
        <f t="shared" si="18"/>
        <v>0.19130078056457872</v>
      </c>
    </row>
    <row r="42" spans="2:11" x14ac:dyDescent="0.25">
      <c r="B42" s="164" t="s">
        <v>112</v>
      </c>
      <c r="C42" s="165">
        <v>66259</v>
      </c>
      <c r="D42" s="165">
        <v>681</v>
      </c>
      <c r="E42" s="165">
        <v>152833</v>
      </c>
      <c r="F42" s="165">
        <v>178011</v>
      </c>
      <c r="G42" s="165">
        <v>195709</v>
      </c>
      <c r="H42" s="165">
        <v>199446</v>
      </c>
      <c r="I42" s="180">
        <f t="shared" ref="I42:I49" si="20">IFERROR(H42/G42-1,"-")</f>
        <v>1.9094676279578282E-2</v>
      </c>
      <c r="J42" s="164">
        <f t="shared" si="19"/>
        <v>3737</v>
      </c>
      <c r="K42" s="166">
        <f t="shared" si="18"/>
        <v>9.6942825187850232E-2</v>
      </c>
    </row>
    <row r="43" spans="2:11" x14ac:dyDescent="0.25">
      <c r="B43" s="164" t="s">
        <v>115</v>
      </c>
      <c r="C43" s="165">
        <v>8479</v>
      </c>
      <c r="D43" s="165">
        <v>1451</v>
      </c>
      <c r="E43" s="165">
        <v>12524</v>
      </c>
      <c r="F43" s="165">
        <v>17276</v>
      </c>
      <c r="G43" s="165">
        <v>16039</v>
      </c>
      <c r="H43" s="165">
        <v>16535</v>
      </c>
      <c r="I43" s="180">
        <f t="shared" si="20"/>
        <v>3.0924621235737915E-2</v>
      </c>
      <c r="J43" s="164">
        <f t="shared" si="19"/>
        <v>496</v>
      </c>
      <c r="K43" s="166">
        <f t="shared" si="18"/>
        <v>8.0370105917446505E-3</v>
      </c>
    </row>
    <row r="44" spans="2:11" x14ac:dyDescent="0.25">
      <c r="B44" s="164" t="s">
        <v>118</v>
      </c>
      <c r="C44" s="165">
        <v>4192</v>
      </c>
      <c r="D44" s="165">
        <v>2356</v>
      </c>
      <c r="E44" s="165">
        <v>8287</v>
      </c>
      <c r="F44" s="165">
        <v>10240</v>
      </c>
      <c r="G44" s="165">
        <v>9690</v>
      </c>
      <c r="H44" s="165">
        <v>10394</v>
      </c>
      <c r="I44" s="180">
        <f t="shared" si="20"/>
        <v>7.2652218782249811E-2</v>
      </c>
      <c r="J44" s="164">
        <f t="shared" si="19"/>
        <v>704</v>
      </c>
      <c r="K44" s="166">
        <f t="shared" si="18"/>
        <v>5.0521129779615304E-3</v>
      </c>
    </row>
    <row r="45" spans="2:11" x14ac:dyDescent="0.25">
      <c r="B45" s="164" t="s">
        <v>125</v>
      </c>
      <c r="C45" s="165">
        <v>5403</v>
      </c>
      <c r="D45" s="165">
        <v>904</v>
      </c>
      <c r="E45" s="165">
        <v>14984</v>
      </c>
      <c r="F45" s="165">
        <v>13823</v>
      </c>
      <c r="G45" s="165">
        <v>15055</v>
      </c>
      <c r="H45" s="165">
        <v>13257</v>
      </c>
      <c r="I45" s="180">
        <f t="shared" si="20"/>
        <v>-0.11942876120890067</v>
      </c>
      <c r="J45" s="164">
        <f t="shared" si="19"/>
        <v>-1798</v>
      </c>
      <c r="K45" s="166">
        <f t="shared" si="18"/>
        <v>6.4437042282890133E-3</v>
      </c>
    </row>
    <row r="46" spans="2:11" x14ac:dyDescent="0.25">
      <c r="B46" s="164" t="s">
        <v>121</v>
      </c>
      <c r="C46" s="165">
        <v>7570</v>
      </c>
      <c r="D46" s="165">
        <v>1373</v>
      </c>
      <c r="E46" s="165">
        <v>14223</v>
      </c>
      <c r="F46" s="165">
        <v>16709</v>
      </c>
      <c r="G46" s="165">
        <v>17530</v>
      </c>
      <c r="H46" s="165">
        <v>14341</v>
      </c>
      <c r="I46" s="180">
        <f t="shared" si="20"/>
        <v>-0.18191671420422129</v>
      </c>
      <c r="J46" s="164">
        <f t="shared" si="19"/>
        <v>-3189</v>
      </c>
      <c r="K46" s="166">
        <f t="shared" si="18"/>
        <v>6.970593824990024E-3</v>
      </c>
    </row>
    <row r="47" spans="2:11" x14ac:dyDescent="0.25">
      <c r="B47" s="164" t="s">
        <v>130</v>
      </c>
      <c r="C47" s="165">
        <v>3315</v>
      </c>
      <c r="D47" s="165">
        <v>120</v>
      </c>
      <c r="E47" s="165">
        <v>4507</v>
      </c>
      <c r="F47" s="165">
        <v>5953</v>
      </c>
      <c r="G47" s="165">
        <v>4878</v>
      </c>
      <c r="H47" s="165">
        <v>6067</v>
      </c>
      <c r="I47" s="180">
        <f t="shared" si="20"/>
        <v>0.24374743747437466</v>
      </c>
      <c r="J47" s="164">
        <f t="shared" si="19"/>
        <v>1189</v>
      </c>
      <c r="K47" s="166">
        <f t="shared" si="18"/>
        <v>2.9489291357795463E-3</v>
      </c>
    </row>
    <row r="48" spans="2:11" x14ac:dyDescent="0.25">
      <c r="B48" s="164" t="s">
        <v>133</v>
      </c>
      <c r="C48" s="165">
        <v>4738</v>
      </c>
      <c r="D48" s="165">
        <v>619</v>
      </c>
      <c r="E48" s="165">
        <v>3786</v>
      </c>
      <c r="F48" s="165">
        <v>5748</v>
      </c>
      <c r="G48" s="165">
        <v>5325</v>
      </c>
      <c r="H48" s="165">
        <v>4572</v>
      </c>
      <c r="I48" s="180">
        <f t="shared" si="20"/>
        <v>-0.14140845070422536</v>
      </c>
      <c r="J48" s="164">
        <f t="shared" si="19"/>
        <v>-753</v>
      </c>
      <c r="K48" s="166">
        <f t="shared" si="18"/>
        <v>2.2222686680046294E-3</v>
      </c>
    </row>
    <row r="49" spans="2:11" x14ac:dyDescent="0.25">
      <c r="B49" s="169" t="s">
        <v>147</v>
      </c>
      <c r="C49" s="170">
        <f t="shared" ref="C49" si="21">C41-SUM(C42:C48)</f>
        <v>37484</v>
      </c>
      <c r="D49" s="170">
        <f t="shared" ref="D49:H49" si="22">D41-SUM(D42:D48)</f>
        <v>9893</v>
      </c>
      <c r="E49" s="170">
        <f t="shared" si="22"/>
        <v>94361</v>
      </c>
      <c r="F49" s="170">
        <f t="shared" si="22"/>
        <v>108810</v>
      </c>
      <c r="G49" s="170">
        <f t="shared" si="22"/>
        <v>115777</v>
      </c>
      <c r="H49" s="170">
        <f t="shared" si="22"/>
        <v>128962</v>
      </c>
      <c r="I49" s="181">
        <f t="shared" si="20"/>
        <v>0.11388272282059475</v>
      </c>
      <c r="J49" s="169">
        <f>H49-G49</f>
        <v>13185</v>
      </c>
      <c r="K49" s="171">
        <f t="shared" si="18"/>
        <v>6.2683335949959104E-2</v>
      </c>
    </row>
    <row r="50" spans="2:11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4"/>
    </row>
    <row r="51" spans="2:11" x14ac:dyDescent="0.25">
      <c r="B51" s="157" t="s">
        <v>70</v>
      </c>
      <c r="C51" s="177">
        <f t="shared" ref="C51:H51" si="23">C52+C55</f>
        <v>8192</v>
      </c>
      <c r="D51" s="177">
        <f t="shared" si="23"/>
        <v>5058</v>
      </c>
      <c r="E51" s="177">
        <f t="shared" si="23"/>
        <v>16823</v>
      </c>
      <c r="F51" s="177">
        <f t="shared" si="23"/>
        <v>27125</v>
      </c>
      <c r="G51" s="177">
        <f t="shared" si="23"/>
        <v>22938</v>
      </c>
      <c r="H51" s="177">
        <f t="shared" si="23"/>
        <v>21490</v>
      </c>
      <c r="I51" s="178">
        <f>IFERROR(H51/G51-1,"-")</f>
        <v>-6.3126689336472253E-2</v>
      </c>
      <c r="J51" s="177">
        <f>H51-G51</f>
        <v>-1448</v>
      </c>
      <c r="K51" s="178">
        <f t="shared" ref="K51:K63" si="24">H51/H$9</f>
        <v>1.0445440436443456E-2</v>
      </c>
    </row>
    <row r="52" spans="2:11" x14ac:dyDescent="0.25">
      <c r="B52" s="160" t="s">
        <v>99</v>
      </c>
      <c r="C52" s="161">
        <v>773</v>
      </c>
      <c r="D52" s="161">
        <v>1502</v>
      </c>
      <c r="E52" s="161">
        <v>2015</v>
      </c>
      <c r="F52" s="161">
        <v>11992</v>
      </c>
      <c r="G52" s="161">
        <v>6278</v>
      </c>
      <c r="H52" s="161">
        <v>4341</v>
      </c>
      <c r="I52" s="179">
        <f>IFERROR(H52/G52-1,"-")</f>
        <v>-0.30853775087607516</v>
      </c>
      <c r="J52" s="160">
        <f t="shared" ref="J52:J62" si="25">H52-G52</f>
        <v>-1937</v>
      </c>
      <c r="K52" s="162">
        <f t="shared" si="24"/>
        <v>2.1099886893718492E-3</v>
      </c>
    </row>
    <row r="53" spans="2:11" x14ac:dyDescent="0.25">
      <c r="B53" s="164" t="s">
        <v>105</v>
      </c>
      <c r="C53" s="165">
        <v>367</v>
      </c>
      <c r="D53" s="165">
        <v>685</v>
      </c>
      <c r="E53" s="165">
        <v>774</v>
      </c>
      <c r="F53" s="165">
        <v>8931</v>
      </c>
      <c r="G53" s="165">
        <v>4223</v>
      </c>
      <c r="H53" s="165">
        <v>2810</v>
      </c>
      <c r="I53" s="180">
        <f>IFERROR(H53/G53-1,"-")</f>
        <v>-0.33459625858394504</v>
      </c>
      <c r="J53" s="164">
        <f t="shared" si="25"/>
        <v>-1413</v>
      </c>
      <c r="K53" s="166">
        <f t="shared" si="24"/>
        <v>1.3658300431087069E-3</v>
      </c>
    </row>
    <row r="54" spans="2:11" x14ac:dyDescent="0.25">
      <c r="B54" s="164" t="s">
        <v>102</v>
      </c>
      <c r="C54" s="165">
        <v>406</v>
      </c>
      <c r="D54" s="165">
        <v>817</v>
      </c>
      <c r="E54" s="165">
        <v>1241</v>
      </c>
      <c r="F54" s="165">
        <v>3061</v>
      </c>
      <c r="G54" s="165">
        <v>2055</v>
      </c>
      <c r="H54" s="165">
        <v>1531</v>
      </c>
      <c r="I54" s="180">
        <f>IFERROR(H54/G54-1,"-")</f>
        <v>-0.25498783454987839</v>
      </c>
      <c r="J54" s="164">
        <f t="shared" si="25"/>
        <v>-524</v>
      </c>
      <c r="K54" s="166">
        <f t="shared" si="24"/>
        <v>7.4415864626314247E-4</v>
      </c>
    </row>
    <row r="55" spans="2:11" x14ac:dyDescent="0.25">
      <c r="B55" s="160" t="s">
        <v>109</v>
      </c>
      <c r="C55" s="161">
        <v>7419</v>
      </c>
      <c r="D55" s="161">
        <v>3556</v>
      </c>
      <c r="E55" s="161">
        <v>14808</v>
      </c>
      <c r="F55" s="161">
        <v>15133</v>
      </c>
      <c r="G55" s="161">
        <v>16660</v>
      </c>
      <c r="H55" s="161">
        <v>17149</v>
      </c>
      <c r="I55" s="179">
        <f>IFERROR(H55/G55-1,"-")</f>
        <v>2.9351740696278439E-2</v>
      </c>
      <c r="J55" s="160">
        <f t="shared" si="25"/>
        <v>489</v>
      </c>
      <c r="K55" s="162">
        <f t="shared" si="24"/>
        <v>8.3354517470716066E-3</v>
      </c>
    </row>
    <row r="56" spans="2:11" x14ac:dyDescent="0.25">
      <c r="B56" s="164" t="s">
        <v>112</v>
      </c>
      <c r="C56" s="165">
        <v>2301</v>
      </c>
      <c r="D56" s="165">
        <v>93</v>
      </c>
      <c r="E56" s="165">
        <v>5195</v>
      </c>
      <c r="F56" s="165">
        <v>4693</v>
      </c>
      <c r="G56" s="165">
        <v>5678</v>
      </c>
      <c r="H56" s="165">
        <v>6076</v>
      </c>
      <c r="I56" s="180">
        <f t="shared" ref="I56:I63" si="26">IFERROR(H56/G56-1,"-")</f>
        <v>7.0095103909827428E-2</v>
      </c>
      <c r="J56" s="164">
        <f t="shared" si="25"/>
        <v>398</v>
      </c>
      <c r="K56" s="166">
        <f t="shared" si="24"/>
        <v>2.9533036804016027E-3</v>
      </c>
    </row>
    <row r="57" spans="2:11" x14ac:dyDescent="0.25">
      <c r="B57" s="164" t="s">
        <v>115</v>
      </c>
      <c r="C57" s="165">
        <v>2164</v>
      </c>
      <c r="D57" s="165">
        <v>1309</v>
      </c>
      <c r="E57" s="165">
        <v>3627</v>
      </c>
      <c r="F57" s="165">
        <v>2689</v>
      </c>
      <c r="G57" s="165">
        <v>3388</v>
      </c>
      <c r="H57" s="165">
        <v>3491</v>
      </c>
      <c r="I57" s="180">
        <f t="shared" si="26"/>
        <v>3.0401416765053035E-2</v>
      </c>
      <c r="J57" s="164">
        <f t="shared" si="25"/>
        <v>103</v>
      </c>
      <c r="K57" s="166">
        <f t="shared" si="24"/>
        <v>1.6968372528443046E-3</v>
      </c>
    </row>
    <row r="58" spans="2:11" x14ac:dyDescent="0.25">
      <c r="B58" s="164" t="s">
        <v>118</v>
      </c>
      <c r="C58" s="165">
        <v>393</v>
      </c>
      <c r="D58" s="165">
        <v>618</v>
      </c>
      <c r="E58" s="165">
        <v>1130</v>
      </c>
      <c r="F58" s="165">
        <v>1547</v>
      </c>
      <c r="G58" s="165">
        <v>1228</v>
      </c>
      <c r="H58" s="165">
        <v>1091</v>
      </c>
      <c r="I58" s="180">
        <f t="shared" si="26"/>
        <v>-0.1115635179153095</v>
      </c>
      <c r="J58" s="164">
        <f t="shared" si="25"/>
        <v>-137</v>
      </c>
      <c r="K58" s="166">
        <f t="shared" si="24"/>
        <v>5.3029202029594279E-4</v>
      </c>
    </row>
    <row r="59" spans="2:11" x14ac:dyDescent="0.25">
      <c r="B59" s="164" t="s">
        <v>125</v>
      </c>
      <c r="C59" s="165">
        <v>205</v>
      </c>
      <c r="D59" s="165">
        <v>79</v>
      </c>
      <c r="E59" s="165">
        <v>420</v>
      </c>
      <c r="F59" s="165">
        <v>349</v>
      </c>
      <c r="G59" s="165">
        <v>535</v>
      </c>
      <c r="H59" s="165">
        <v>519</v>
      </c>
      <c r="I59" s="180">
        <f t="shared" si="26"/>
        <v>-2.9906542056074792E-2</v>
      </c>
      <c r="J59" s="164">
        <f t="shared" si="25"/>
        <v>-16</v>
      </c>
      <c r="K59" s="166">
        <f t="shared" si="24"/>
        <v>2.5226540653858323E-4</v>
      </c>
    </row>
    <row r="60" spans="2:11" x14ac:dyDescent="0.25">
      <c r="B60" s="164" t="s">
        <v>121</v>
      </c>
      <c r="C60" s="165">
        <v>135</v>
      </c>
      <c r="D60" s="165">
        <v>107</v>
      </c>
      <c r="E60" s="165">
        <v>385</v>
      </c>
      <c r="F60" s="165">
        <v>348</v>
      </c>
      <c r="G60" s="165">
        <v>390</v>
      </c>
      <c r="H60" s="165">
        <v>475</v>
      </c>
      <c r="I60" s="180">
        <f t="shared" si="26"/>
        <v>0.21794871794871784</v>
      </c>
      <c r="J60" s="164">
        <f t="shared" si="25"/>
        <v>85</v>
      </c>
      <c r="K60" s="166">
        <f t="shared" si="24"/>
        <v>2.3087874394186328E-4</v>
      </c>
    </row>
    <row r="61" spans="2:11" x14ac:dyDescent="0.25">
      <c r="B61" s="164" t="s">
        <v>130</v>
      </c>
      <c r="C61" s="165">
        <v>76</v>
      </c>
      <c r="D61" s="165">
        <v>29</v>
      </c>
      <c r="E61" s="165">
        <v>44</v>
      </c>
      <c r="F61" s="165">
        <v>151</v>
      </c>
      <c r="G61" s="165">
        <v>78</v>
      </c>
      <c r="H61" s="165">
        <v>164</v>
      </c>
      <c r="I61" s="180">
        <f t="shared" si="26"/>
        <v>1.1025641025641026</v>
      </c>
      <c r="J61" s="164">
        <f t="shared" si="25"/>
        <v>86</v>
      </c>
      <c r="K61" s="166">
        <f t="shared" si="24"/>
        <v>7.9713924224138059E-5</v>
      </c>
    </row>
    <row r="62" spans="2:11" x14ac:dyDescent="0.25">
      <c r="B62" s="164" t="s">
        <v>133</v>
      </c>
      <c r="C62" s="165">
        <v>105</v>
      </c>
      <c r="D62" s="165">
        <v>14</v>
      </c>
      <c r="E62" s="165">
        <v>89</v>
      </c>
      <c r="F62" s="165">
        <v>138</v>
      </c>
      <c r="G62" s="165">
        <v>84</v>
      </c>
      <c r="H62" s="165">
        <v>405</v>
      </c>
      <c r="I62" s="180">
        <f t="shared" si="26"/>
        <v>3.8214285714285712</v>
      </c>
      <c r="J62" s="164">
        <f t="shared" si="25"/>
        <v>321</v>
      </c>
      <c r="K62" s="166">
        <f t="shared" si="24"/>
        <v>1.9685450799253605E-4</v>
      </c>
    </row>
    <row r="63" spans="2:11" x14ac:dyDescent="0.25">
      <c r="B63" s="169" t="s">
        <v>147</v>
      </c>
      <c r="C63" s="170">
        <f t="shared" ref="C63" si="27">C55-SUM(C56:C62)</f>
        <v>2040</v>
      </c>
      <c r="D63" s="170">
        <f t="shared" ref="D63:H63" si="28">D55-SUM(D56:D62)</f>
        <v>1307</v>
      </c>
      <c r="E63" s="170">
        <f t="shared" si="28"/>
        <v>3918</v>
      </c>
      <c r="F63" s="170">
        <f t="shared" si="28"/>
        <v>5218</v>
      </c>
      <c r="G63" s="170">
        <f t="shared" si="28"/>
        <v>5279</v>
      </c>
      <c r="H63" s="170">
        <f t="shared" si="28"/>
        <v>4928</v>
      </c>
      <c r="I63" s="181">
        <f t="shared" si="26"/>
        <v>-6.6489865504830492E-2</v>
      </c>
      <c r="J63" s="169">
        <f>H63-G63</f>
        <v>-351</v>
      </c>
      <c r="K63" s="171">
        <f t="shared" si="24"/>
        <v>2.3953062108326363E-3</v>
      </c>
    </row>
    <row r="64" spans="2:11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4"/>
    </row>
    <row r="65" spans="2:11" x14ac:dyDescent="0.25">
      <c r="B65" s="157" t="s">
        <v>70</v>
      </c>
      <c r="C65" s="177">
        <f t="shared" ref="C65:H65" si="29">C66+C69</f>
        <v>23335</v>
      </c>
      <c r="D65" s="177">
        <f t="shared" si="29"/>
        <v>16603</v>
      </c>
      <c r="E65" s="177">
        <f t="shared" si="29"/>
        <v>62155</v>
      </c>
      <c r="F65" s="177">
        <f t="shared" si="29"/>
        <v>82441</v>
      </c>
      <c r="G65" s="177">
        <f t="shared" si="29"/>
        <v>96861</v>
      </c>
      <c r="H65" s="177">
        <f t="shared" si="29"/>
        <v>75400</v>
      </c>
      <c r="I65" s="178">
        <f>IFERROR(H65/G65-1,"-")</f>
        <v>-0.22156492293079777</v>
      </c>
      <c r="J65" s="177">
        <f>H65-G65</f>
        <v>-21461</v>
      </c>
      <c r="K65" s="178">
        <f t="shared" ref="K65:K77" si="30">H65/H$9</f>
        <v>3.6648962722561032E-2</v>
      </c>
    </row>
    <row r="66" spans="2:11" x14ac:dyDescent="0.25">
      <c r="B66" s="160" t="s">
        <v>99</v>
      </c>
      <c r="C66" s="161">
        <v>5481</v>
      </c>
      <c r="D66" s="161">
        <v>8791</v>
      </c>
      <c r="E66" s="161">
        <v>14618</v>
      </c>
      <c r="F66" s="161">
        <v>14854</v>
      </c>
      <c r="G66" s="161">
        <v>27285</v>
      </c>
      <c r="H66" s="161">
        <v>18281</v>
      </c>
      <c r="I66" s="179">
        <f>IFERROR(H66/G66-1,"-")</f>
        <v>-0.32999816749129562</v>
      </c>
      <c r="J66" s="160">
        <f t="shared" ref="J66:J76" si="31">H66-G66</f>
        <v>-9004</v>
      </c>
      <c r="K66" s="162">
        <f t="shared" si="30"/>
        <v>8.8856722484235845E-3</v>
      </c>
    </row>
    <row r="67" spans="2:11" x14ac:dyDescent="0.25">
      <c r="B67" s="164" t="s">
        <v>105</v>
      </c>
      <c r="C67" s="165">
        <v>2199</v>
      </c>
      <c r="D67" s="165">
        <v>8533</v>
      </c>
      <c r="E67" s="165">
        <v>10990</v>
      </c>
      <c r="F67" s="165">
        <v>11125</v>
      </c>
      <c r="G67" s="165">
        <v>16363</v>
      </c>
      <c r="H67" s="165">
        <v>6550</v>
      </c>
      <c r="I67" s="180">
        <f>IFERROR(H67/G67-1,"-")</f>
        <v>-0.59970665525881561</v>
      </c>
      <c r="J67" s="164">
        <f t="shared" si="31"/>
        <v>-9813</v>
      </c>
      <c r="K67" s="166">
        <f t="shared" si="30"/>
        <v>3.1836963638299039E-3</v>
      </c>
    </row>
    <row r="68" spans="2:11" x14ac:dyDescent="0.25">
      <c r="B68" s="164" t="s">
        <v>102</v>
      </c>
      <c r="C68" s="165">
        <v>3282</v>
      </c>
      <c r="D68" s="165">
        <v>258</v>
      </c>
      <c r="E68" s="165">
        <v>3628</v>
      </c>
      <c r="F68" s="165">
        <v>3729</v>
      </c>
      <c r="G68" s="165">
        <v>10922</v>
      </c>
      <c r="H68" s="165">
        <v>11731</v>
      </c>
      <c r="I68" s="180">
        <f>IFERROR(H68/G68-1,"-")</f>
        <v>7.4070683025087014E-2</v>
      </c>
      <c r="J68" s="164">
        <f t="shared" si="31"/>
        <v>809</v>
      </c>
      <c r="K68" s="166">
        <f t="shared" si="30"/>
        <v>5.7019758845936802E-3</v>
      </c>
    </row>
    <row r="69" spans="2:11" x14ac:dyDescent="0.25">
      <c r="B69" s="160" t="s">
        <v>109</v>
      </c>
      <c r="C69" s="161">
        <v>17854</v>
      </c>
      <c r="D69" s="161">
        <v>7812</v>
      </c>
      <c r="E69" s="161">
        <v>47537</v>
      </c>
      <c r="F69" s="161">
        <v>67587</v>
      </c>
      <c r="G69" s="161">
        <v>69576</v>
      </c>
      <c r="H69" s="161">
        <v>57119</v>
      </c>
      <c r="I69" s="179">
        <f>IFERROR(H69/G69-1,"-")</f>
        <v>-0.17904162354834996</v>
      </c>
      <c r="J69" s="160">
        <f t="shared" si="31"/>
        <v>-12457</v>
      </c>
      <c r="K69" s="162">
        <f t="shared" si="30"/>
        <v>2.7763290474137448E-2</v>
      </c>
    </row>
    <row r="70" spans="2:11" x14ac:dyDescent="0.25">
      <c r="B70" s="164" t="s">
        <v>112</v>
      </c>
      <c r="C70" s="165">
        <v>7112</v>
      </c>
      <c r="D70" s="165">
        <v>869</v>
      </c>
      <c r="E70" s="165">
        <v>18994</v>
      </c>
      <c r="F70" s="165">
        <v>23900</v>
      </c>
      <c r="G70" s="165">
        <v>21936</v>
      </c>
      <c r="H70" s="165">
        <v>24121</v>
      </c>
      <c r="I70" s="180">
        <f t="shared" ref="I70:I77" si="32">IFERROR(H70/G70-1,"-")</f>
        <v>9.96079504011671E-2</v>
      </c>
      <c r="J70" s="164">
        <f t="shared" si="31"/>
        <v>2185</v>
      </c>
      <c r="K70" s="166">
        <f t="shared" si="30"/>
        <v>1.1724265647624597E-2</v>
      </c>
    </row>
    <row r="71" spans="2:11" x14ac:dyDescent="0.25">
      <c r="B71" s="164" t="s">
        <v>115</v>
      </c>
      <c r="C71" s="165">
        <v>2067</v>
      </c>
      <c r="D71" s="165">
        <v>1195</v>
      </c>
      <c r="E71" s="165">
        <v>5107</v>
      </c>
      <c r="F71" s="165">
        <v>5122</v>
      </c>
      <c r="G71" s="165">
        <v>5111</v>
      </c>
      <c r="H71" s="165">
        <v>5483</v>
      </c>
      <c r="I71" s="180">
        <f t="shared" si="32"/>
        <v>7.2784190960673012E-2</v>
      </c>
      <c r="J71" s="164">
        <f t="shared" si="31"/>
        <v>372</v>
      </c>
      <c r="K71" s="166">
        <f t="shared" si="30"/>
        <v>2.6650697958594447E-3</v>
      </c>
    </row>
    <row r="72" spans="2:11" x14ac:dyDescent="0.25">
      <c r="B72" s="164" t="s">
        <v>118</v>
      </c>
      <c r="C72" s="165">
        <v>2431</v>
      </c>
      <c r="D72" s="165">
        <v>1158</v>
      </c>
      <c r="E72" s="165">
        <v>6745</v>
      </c>
      <c r="F72" s="165">
        <v>8527</v>
      </c>
      <c r="G72" s="165">
        <v>10065</v>
      </c>
      <c r="H72" s="165">
        <v>5029</v>
      </c>
      <c r="I72" s="180">
        <f t="shared" si="32"/>
        <v>-0.50034773969200197</v>
      </c>
      <c r="J72" s="164">
        <f t="shared" si="31"/>
        <v>-5036</v>
      </c>
      <c r="K72" s="166">
        <f t="shared" si="30"/>
        <v>2.44439832270238E-3</v>
      </c>
    </row>
    <row r="73" spans="2:11" x14ac:dyDescent="0.25">
      <c r="B73" s="164" t="s">
        <v>125</v>
      </c>
      <c r="C73" s="165">
        <v>204</v>
      </c>
      <c r="D73" s="165">
        <v>415</v>
      </c>
      <c r="E73" s="165">
        <v>787</v>
      </c>
      <c r="F73" s="165">
        <v>1669</v>
      </c>
      <c r="G73" s="165">
        <v>2367</v>
      </c>
      <c r="H73" s="165">
        <v>1356</v>
      </c>
      <c r="I73" s="180">
        <f t="shared" si="32"/>
        <v>-0.42712294043092525</v>
      </c>
      <c r="J73" s="164">
        <f t="shared" si="31"/>
        <v>-1011</v>
      </c>
      <c r="K73" s="166">
        <f t="shared" si="30"/>
        <v>6.5909805638982445E-4</v>
      </c>
    </row>
    <row r="74" spans="2:11" x14ac:dyDescent="0.25">
      <c r="B74" s="164" t="s">
        <v>121</v>
      </c>
      <c r="C74" s="165">
        <v>442</v>
      </c>
      <c r="D74" s="165">
        <v>413</v>
      </c>
      <c r="E74" s="165">
        <v>1343</v>
      </c>
      <c r="F74" s="165">
        <v>1273</v>
      </c>
      <c r="G74" s="165">
        <v>1710</v>
      </c>
      <c r="H74" s="165">
        <v>1550</v>
      </c>
      <c r="I74" s="180">
        <f t="shared" si="32"/>
        <v>-9.3567251461988299E-2</v>
      </c>
      <c r="J74" s="164">
        <f t="shared" si="31"/>
        <v>-160</v>
      </c>
      <c r="K74" s="166">
        <f t="shared" si="30"/>
        <v>7.5339379602081696E-4</v>
      </c>
    </row>
    <row r="75" spans="2:11" x14ac:dyDescent="0.25">
      <c r="B75" s="164" t="s">
        <v>130</v>
      </c>
      <c r="C75" s="165">
        <v>634</v>
      </c>
      <c r="D75" s="165">
        <v>0</v>
      </c>
      <c r="E75" s="165">
        <v>878</v>
      </c>
      <c r="F75" s="165">
        <v>3180</v>
      </c>
      <c r="G75" s="165">
        <v>1641</v>
      </c>
      <c r="H75" s="165">
        <v>810</v>
      </c>
      <c r="I75" s="180">
        <f t="shared" si="32"/>
        <v>-0.50639853747714803</v>
      </c>
      <c r="J75" s="164">
        <f t="shared" si="31"/>
        <v>-831</v>
      </c>
      <c r="K75" s="166">
        <f t="shared" si="30"/>
        <v>3.9370901598507211E-4</v>
      </c>
    </row>
    <row r="76" spans="2:11" x14ac:dyDescent="0.25">
      <c r="B76" s="164" t="s">
        <v>133</v>
      </c>
      <c r="C76" s="165">
        <v>773</v>
      </c>
      <c r="D76" s="165">
        <v>0</v>
      </c>
      <c r="E76" s="165">
        <v>278</v>
      </c>
      <c r="F76" s="165">
        <v>906</v>
      </c>
      <c r="G76" s="165">
        <v>203</v>
      </c>
      <c r="H76" s="165">
        <v>521</v>
      </c>
      <c r="I76" s="180">
        <f t="shared" si="32"/>
        <v>1.5665024630541873</v>
      </c>
      <c r="J76" s="164">
        <f t="shared" si="31"/>
        <v>318</v>
      </c>
      <c r="K76" s="166">
        <f t="shared" si="30"/>
        <v>2.532375275657069E-4</v>
      </c>
    </row>
    <row r="77" spans="2:11" x14ac:dyDescent="0.25">
      <c r="B77" s="169" t="s">
        <v>147</v>
      </c>
      <c r="C77" s="170">
        <f t="shared" ref="C77" si="33">C69-SUM(C70:C76)</f>
        <v>4191</v>
      </c>
      <c r="D77" s="170">
        <f t="shared" ref="D77:H77" si="34">D69-SUM(D70:D76)</f>
        <v>3762</v>
      </c>
      <c r="E77" s="170">
        <f t="shared" si="34"/>
        <v>13405</v>
      </c>
      <c r="F77" s="170">
        <f t="shared" si="34"/>
        <v>23010</v>
      </c>
      <c r="G77" s="170">
        <f t="shared" si="34"/>
        <v>26543</v>
      </c>
      <c r="H77" s="170">
        <f t="shared" si="34"/>
        <v>18249</v>
      </c>
      <c r="I77" s="181">
        <f t="shared" si="32"/>
        <v>-0.31247409863240783</v>
      </c>
      <c r="J77" s="169">
        <f>H77-G77</f>
        <v>-8294</v>
      </c>
      <c r="K77" s="171">
        <f t="shared" si="30"/>
        <v>8.8701183119896058E-3</v>
      </c>
    </row>
    <row r="78" spans="2:11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4"/>
    </row>
    <row r="79" spans="2:11" x14ac:dyDescent="0.25">
      <c r="B79" s="157" t="s">
        <v>70</v>
      </c>
      <c r="C79" s="177">
        <f t="shared" ref="C79:H79" si="35">C80+C83</f>
        <v>116219</v>
      </c>
      <c r="D79" s="177">
        <f t="shared" si="35"/>
        <v>51204</v>
      </c>
      <c r="E79" s="177">
        <f t="shared" si="35"/>
        <v>261325</v>
      </c>
      <c r="F79" s="177">
        <f t="shared" si="35"/>
        <v>306518</v>
      </c>
      <c r="G79" s="177">
        <f t="shared" si="35"/>
        <v>353422</v>
      </c>
      <c r="H79" s="177">
        <f t="shared" si="35"/>
        <v>351603</v>
      </c>
      <c r="I79" s="178">
        <f>IFERROR(H79/G79-1,"-")</f>
        <v>-5.1468216466433736E-3</v>
      </c>
      <c r="J79" s="177">
        <f>H79-G79</f>
        <v>-1819</v>
      </c>
      <c r="K79" s="178">
        <f t="shared" ref="K79:K91" si="36">H79/H$9</f>
        <v>0.17090033474987568</v>
      </c>
    </row>
    <row r="80" spans="2:11" x14ac:dyDescent="0.25">
      <c r="B80" s="160" t="s">
        <v>99</v>
      </c>
      <c r="C80" s="161">
        <v>40712</v>
      </c>
      <c r="D80" s="161">
        <v>28768</v>
      </c>
      <c r="E80" s="161">
        <v>126313</v>
      </c>
      <c r="F80" s="161">
        <v>135317</v>
      </c>
      <c r="G80" s="161">
        <v>140222</v>
      </c>
      <c r="H80" s="161">
        <v>140453</v>
      </c>
      <c r="I80" s="179">
        <f>IFERROR(H80/G80-1,"-")</f>
        <v>1.6473877137681558E-3</v>
      </c>
      <c r="J80" s="160">
        <f t="shared" ref="J80:J90" si="37">H80-G80</f>
        <v>231</v>
      </c>
      <c r="K80" s="162">
        <f t="shared" si="36"/>
        <v>6.8268657311297942E-2</v>
      </c>
    </row>
    <row r="81" spans="2:11" x14ac:dyDescent="0.25">
      <c r="B81" s="164" t="s">
        <v>105</v>
      </c>
      <c r="C81" s="165">
        <v>6804</v>
      </c>
      <c r="D81" s="165">
        <v>11711</v>
      </c>
      <c r="E81" s="165">
        <v>29255</v>
      </c>
      <c r="F81" s="165">
        <v>26951</v>
      </c>
      <c r="G81" s="165">
        <v>34210</v>
      </c>
      <c r="H81" s="165">
        <v>28649</v>
      </c>
      <c r="I81" s="180">
        <f>IFERROR(H81/G81-1,"-")</f>
        <v>-0.16255480853551596</v>
      </c>
      <c r="J81" s="164">
        <f t="shared" si="37"/>
        <v>-5561</v>
      </c>
      <c r="K81" s="166">
        <f t="shared" si="36"/>
        <v>1.3925147653032507E-2</v>
      </c>
    </row>
    <row r="82" spans="2:11" x14ac:dyDescent="0.25">
      <c r="B82" s="164" t="s">
        <v>102</v>
      </c>
      <c r="C82" s="165">
        <v>33908</v>
      </c>
      <c r="D82" s="165">
        <v>17057</v>
      </c>
      <c r="E82" s="165">
        <v>97058</v>
      </c>
      <c r="F82" s="165">
        <v>108366</v>
      </c>
      <c r="G82" s="165">
        <v>106012</v>
      </c>
      <c r="H82" s="165">
        <v>111804</v>
      </c>
      <c r="I82" s="180">
        <f>IFERROR(H82/G82-1,"-")</f>
        <v>5.4635324302909183E-2</v>
      </c>
      <c r="J82" s="164">
        <f t="shared" si="37"/>
        <v>5792</v>
      </c>
      <c r="K82" s="166">
        <f t="shared" si="36"/>
        <v>5.4343509658265433E-2</v>
      </c>
    </row>
    <row r="83" spans="2:11" x14ac:dyDescent="0.25">
      <c r="B83" s="160" t="s">
        <v>109</v>
      </c>
      <c r="C83" s="161">
        <v>75507</v>
      </c>
      <c r="D83" s="161">
        <v>22436</v>
      </c>
      <c r="E83" s="161">
        <v>135012</v>
      </c>
      <c r="F83" s="161">
        <v>171201</v>
      </c>
      <c r="G83" s="161">
        <v>213200</v>
      </c>
      <c r="H83" s="161">
        <v>211150</v>
      </c>
      <c r="I83" s="179">
        <f>IFERROR(H83/G83-1,"-")</f>
        <v>-9.6153846153845812E-3</v>
      </c>
      <c r="J83" s="160">
        <f t="shared" si="37"/>
        <v>-2050</v>
      </c>
      <c r="K83" s="162">
        <f t="shared" si="36"/>
        <v>0.10263167743857775</v>
      </c>
    </row>
    <row r="84" spans="2:11" x14ac:dyDescent="0.25">
      <c r="B84" s="164" t="s">
        <v>112</v>
      </c>
      <c r="C84" s="165">
        <v>14988</v>
      </c>
      <c r="D84" s="165">
        <v>1739</v>
      </c>
      <c r="E84" s="165">
        <v>25869</v>
      </c>
      <c r="F84" s="165">
        <v>35236</v>
      </c>
      <c r="G84" s="165">
        <v>44273</v>
      </c>
      <c r="H84" s="165">
        <v>45270</v>
      </c>
      <c r="I84" s="180">
        <f t="shared" ref="I84:I91" si="38">IFERROR(H84/G84-1,"-")</f>
        <v>2.2519368463849387E-2</v>
      </c>
      <c r="J84" s="164">
        <f t="shared" si="37"/>
        <v>997</v>
      </c>
      <c r="K84" s="166">
        <f t="shared" si="36"/>
        <v>2.2003959448943476E-2</v>
      </c>
    </row>
    <row r="85" spans="2:11" x14ac:dyDescent="0.25">
      <c r="B85" s="164" t="s">
        <v>115</v>
      </c>
      <c r="C85" s="165">
        <v>28410</v>
      </c>
      <c r="D85" s="165">
        <v>4591</v>
      </c>
      <c r="E85" s="165">
        <v>45618</v>
      </c>
      <c r="F85" s="165">
        <v>56194</v>
      </c>
      <c r="G85" s="165">
        <v>64305</v>
      </c>
      <c r="H85" s="165">
        <v>61882</v>
      </c>
      <c r="I85" s="180">
        <f t="shared" si="38"/>
        <v>-3.7679807168960466E-2</v>
      </c>
      <c r="J85" s="164">
        <f t="shared" si="37"/>
        <v>-2423</v>
      </c>
      <c r="K85" s="166">
        <f t="shared" si="36"/>
        <v>3.0078396700232386E-2</v>
      </c>
    </row>
    <row r="86" spans="2:11" x14ac:dyDescent="0.25">
      <c r="B86" s="164" t="s">
        <v>118</v>
      </c>
      <c r="C86" s="165">
        <v>5054</v>
      </c>
      <c r="D86" s="165">
        <v>4527</v>
      </c>
      <c r="E86" s="165">
        <v>13053</v>
      </c>
      <c r="F86" s="165">
        <v>17101</v>
      </c>
      <c r="G86" s="165">
        <v>26155</v>
      </c>
      <c r="H86" s="165">
        <v>23341</v>
      </c>
      <c r="I86" s="180">
        <f t="shared" si="38"/>
        <v>-0.10758937105715927</v>
      </c>
      <c r="J86" s="164">
        <f t="shared" si="37"/>
        <v>-2814</v>
      </c>
      <c r="K86" s="166">
        <f t="shared" si="36"/>
        <v>1.134513844704638E-2</v>
      </c>
    </row>
    <row r="87" spans="2:11" x14ac:dyDescent="0.25">
      <c r="B87" s="164" t="s">
        <v>125</v>
      </c>
      <c r="C87" s="165">
        <v>1174</v>
      </c>
      <c r="D87" s="165">
        <v>317</v>
      </c>
      <c r="E87" s="165">
        <v>2872</v>
      </c>
      <c r="F87" s="165">
        <v>2743</v>
      </c>
      <c r="G87" s="165">
        <v>4984</v>
      </c>
      <c r="H87" s="165">
        <v>5561</v>
      </c>
      <c r="I87" s="180">
        <f t="shared" si="38"/>
        <v>0.1157704654895666</v>
      </c>
      <c r="J87" s="164">
        <f t="shared" si="37"/>
        <v>577</v>
      </c>
      <c r="K87" s="166">
        <f t="shared" si="36"/>
        <v>2.7029825159172668E-3</v>
      </c>
    </row>
    <row r="88" spans="2:11" x14ac:dyDescent="0.25">
      <c r="B88" s="164" t="s">
        <v>121</v>
      </c>
      <c r="C88" s="165">
        <v>993</v>
      </c>
      <c r="D88" s="165">
        <v>578</v>
      </c>
      <c r="E88" s="165">
        <v>2521</v>
      </c>
      <c r="F88" s="165">
        <v>2444</v>
      </c>
      <c r="G88" s="165">
        <v>3231</v>
      </c>
      <c r="H88" s="165">
        <v>3401</v>
      </c>
      <c r="I88" s="180">
        <f t="shared" si="38"/>
        <v>5.2615289384091657E-2</v>
      </c>
      <c r="J88" s="164">
        <f t="shared" si="37"/>
        <v>170</v>
      </c>
      <c r="K88" s="166">
        <f t="shared" si="36"/>
        <v>1.6530918066237411E-3</v>
      </c>
    </row>
    <row r="89" spans="2:11" x14ac:dyDescent="0.25">
      <c r="B89" s="164" t="s">
        <v>130</v>
      </c>
      <c r="C89" s="165">
        <v>1688</v>
      </c>
      <c r="D89" s="165">
        <v>51</v>
      </c>
      <c r="E89" s="165">
        <v>1683</v>
      </c>
      <c r="F89" s="165">
        <v>2431</v>
      </c>
      <c r="G89" s="165">
        <v>2391</v>
      </c>
      <c r="H89" s="165">
        <v>2487</v>
      </c>
      <c r="I89" s="180">
        <f t="shared" si="38"/>
        <v>4.0150564617315032E-2</v>
      </c>
      <c r="J89" s="164">
        <f t="shared" si="37"/>
        <v>96</v>
      </c>
      <c r="K89" s="166">
        <f t="shared" si="36"/>
        <v>1.2088324972282399E-3</v>
      </c>
    </row>
    <row r="90" spans="2:11" x14ac:dyDescent="0.25">
      <c r="B90" s="164" t="s">
        <v>133</v>
      </c>
      <c r="C90" s="165">
        <v>2253</v>
      </c>
      <c r="D90" s="165">
        <v>200</v>
      </c>
      <c r="E90" s="165">
        <v>1415</v>
      </c>
      <c r="F90" s="165">
        <v>2449</v>
      </c>
      <c r="G90" s="165">
        <v>2913</v>
      </c>
      <c r="H90" s="165">
        <v>2058</v>
      </c>
      <c r="I90" s="180">
        <f t="shared" si="38"/>
        <v>-0.2935118434603502</v>
      </c>
      <c r="J90" s="164">
        <f t="shared" si="37"/>
        <v>-855</v>
      </c>
      <c r="K90" s="166">
        <f t="shared" si="36"/>
        <v>1.0003125369102202E-3</v>
      </c>
    </row>
    <row r="91" spans="2:11" x14ac:dyDescent="0.25">
      <c r="B91" s="169" t="s">
        <v>147</v>
      </c>
      <c r="C91" s="170">
        <f t="shared" ref="C91" si="39">C83-SUM(C84:C90)</f>
        <v>20947</v>
      </c>
      <c r="D91" s="170">
        <f t="shared" ref="D91:H91" si="40">D83-SUM(D84:D90)</f>
        <v>10433</v>
      </c>
      <c r="E91" s="170">
        <f t="shared" si="40"/>
        <v>41981</v>
      </c>
      <c r="F91" s="170">
        <f t="shared" si="40"/>
        <v>52603</v>
      </c>
      <c r="G91" s="170">
        <f t="shared" si="40"/>
        <v>64948</v>
      </c>
      <c r="H91" s="170">
        <f t="shared" si="40"/>
        <v>67150</v>
      </c>
      <c r="I91" s="181">
        <f t="shared" si="38"/>
        <v>3.3904046313974145E-2</v>
      </c>
      <c r="J91" s="169">
        <f>H91-G91</f>
        <v>2202</v>
      </c>
      <c r="K91" s="171">
        <f t="shared" si="36"/>
        <v>3.2638963485676041E-2</v>
      </c>
    </row>
    <row r="92" spans="2:11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4"/>
    </row>
    <row r="93" spans="2:11" x14ac:dyDescent="0.25">
      <c r="B93" s="157" t="s">
        <v>70</v>
      </c>
      <c r="C93" s="177">
        <f t="shared" ref="C93:H93" si="41">C94+C97</f>
        <v>12754</v>
      </c>
      <c r="D93" s="177">
        <f t="shared" si="41"/>
        <v>11802</v>
      </c>
      <c r="E93" s="177">
        <f t="shared" si="41"/>
        <v>24671</v>
      </c>
      <c r="F93" s="177">
        <f t="shared" si="41"/>
        <v>30683</v>
      </c>
      <c r="G93" s="177">
        <f t="shared" si="41"/>
        <v>29198</v>
      </c>
      <c r="H93" s="177">
        <f t="shared" si="41"/>
        <v>28272</v>
      </c>
      <c r="I93" s="178">
        <f>IFERROR(H93/G93-1,"-")</f>
        <v>-3.1714500993218708E-2</v>
      </c>
      <c r="J93" s="177">
        <f>H93-G93</f>
        <v>-926</v>
      </c>
      <c r="K93" s="178">
        <f t="shared" ref="K93:K105" si="42">H93/H$9</f>
        <v>1.3741902839419702E-2</v>
      </c>
    </row>
    <row r="94" spans="2:11" x14ac:dyDescent="0.25">
      <c r="B94" s="160" t="s">
        <v>99</v>
      </c>
      <c r="C94" s="161">
        <v>7454</v>
      </c>
      <c r="D94" s="161">
        <v>7418</v>
      </c>
      <c r="E94" s="161">
        <v>15383</v>
      </c>
      <c r="F94" s="161">
        <v>19920</v>
      </c>
      <c r="G94" s="161">
        <v>16896</v>
      </c>
      <c r="H94" s="161">
        <v>16644</v>
      </c>
      <c r="I94" s="179">
        <f>IFERROR(H94/G94-1,"-")</f>
        <v>-1.4914772727272707E-2</v>
      </c>
      <c r="J94" s="160">
        <f t="shared" ref="J94:J104" si="43">H94-G94</f>
        <v>-252</v>
      </c>
      <c r="K94" s="162">
        <f t="shared" si="42"/>
        <v>8.0899911877228888E-3</v>
      </c>
    </row>
    <row r="95" spans="2:11" x14ac:dyDescent="0.25">
      <c r="B95" s="164" t="s">
        <v>105</v>
      </c>
      <c r="C95" s="165">
        <v>4239</v>
      </c>
      <c r="D95" s="165">
        <v>4253</v>
      </c>
      <c r="E95" s="165">
        <v>7500</v>
      </c>
      <c r="F95" s="165">
        <v>5955</v>
      </c>
      <c r="G95" s="165">
        <v>4664</v>
      </c>
      <c r="H95" s="165">
        <v>5394</v>
      </c>
      <c r="I95" s="180">
        <f>IFERROR(H95/G95-1,"-")</f>
        <v>0.15651801029159529</v>
      </c>
      <c r="J95" s="164">
        <f t="shared" si="43"/>
        <v>730</v>
      </c>
      <c r="K95" s="166">
        <f t="shared" si="42"/>
        <v>2.6218104101524433E-3</v>
      </c>
    </row>
    <row r="96" spans="2:11" x14ac:dyDescent="0.25">
      <c r="B96" s="164" t="s">
        <v>102</v>
      </c>
      <c r="C96" s="165">
        <v>3215</v>
      </c>
      <c r="D96" s="165">
        <v>3165</v>
      </c>
      <c r="E96" s="165">
        <v>7883</v>
      </c>
      <c r="F96" s="165">
        <v>13965</v>
      </c>
      <c r="G96" s="165">
        <v>12232</v>
      </c>
      <c r="H96" s="165">
        <v>11250</v>
      </c>
      <c r="I96" s="180">
        <f>IFERROR(H96/G96-1,"-")</f>
        <v>-8.0281229561805056E-2</v>
      </c>
      <c r="J96" s="164">
        <f t="shared" si="43"/>
        <v>-982</v>
      </c>
      <c r="K96" s="166">
        <f t="shared" si="42"/>
        <v>5.468180777570446E-3</v>
      </c>
    </row>
    <row r="97" spans="2:11" x14ac:dyDescent="0.25">
      <c r="B97" s="160" t="s">
        <v>109</v>
      </c>
      <c r="C97" s="161">
        <v>5300</v>
      </c>
      <c r="D97" s="161">
        <v>4384</v>
      </c>
      <c r="E97" s="161">
        <v>9288</v>
      </c>
      <c r="F97" s="161">
        <v>10763</v>
      </c>
      <c r="G97" s="161">
        <v>12302</v>
      </c>
      <c r="H97" s="161">
        <v>11628</v>
      </c>
      <c r="I97" s="179">
        <f>IFERROR(H97/G97-1,"-")</f>
        <v>-5.47878393757113E-2</v>
      </c>
      <c r="J97" s="160">
        <f t="shared" si="43"/>
        <v>-674</v>
      </c>
      <c r="K97" s="162">
        <f t="shared" si="42"/>
        <v>5.6519116516968127E-3</v>
      </c>
    </row>
    <row r="98" spans="2:11" x14ac:dyDescent="0.25">
      <c r="B98" s="164" t="s">
        <v>112</v>
      </c>
      <c r="C98" s="165">
        <v>994</v>
      </c>
      <c r="D98" s="165">
        <v>145</v>
      </c>
      <c r="E98" s="165">
        <v>1307</v>
      </c>
      <c r="F98" s="165">
        <v>1561</v>
      </c>
      <c r="G98" s="165">
        <v>1845</v>
      </c>
      <c r="H98" s="165">
        <v>1552</v>
      </c>
      <c r="I98" s="180">
        <f t="shared" ref="I98:I105" si="44">IFERROR(H98/G98-1,"-")</f>
        <v>-0.1588075880758808</v>
      </c>
      <c r="J98" s="164">
        <f t="shared" si="43"/>
        <v>-293</v>
      </c>
      <c r="K98" s="166">
        <f t="shared" si="42"/>
        <v>7.5436591704794063E-4</v>
      </c>
    </row>
    <row r="99" spans="2:11" x14ac:dyDescent="0.25">
      <c r="B99" s="164" t="s">
        <v>115</v>
      </c>
      <c r="C99" s="165">
        <v>1071</v>
      </c>
      <c r="D99" s="165">
        <v>659</v>
      </c>
      <c r="E99" s="165">
        <v>1843</v>
      </c>
      <c r="F99" s="165">
        <v>2024</v>
      </c>
      <c r="G99" s="165">
        <v>2489</v>
      </c>
      <c r="H99" s="165">
        <v>2173</v>
      </c>
      <c r="I99" s="180">
        <f t="shared" si="44"/>
        <v>-0.12695861791884289</v>
      </c>
      <c r="J99" s="164">
        <f t="shared" si="43"/>
        <v>-316</v>
      </c>
      <c r="K99" s="166">
        <f t="shared" si="42"/>
        <v>1.0562094959698292E-3</v>
      </c>
    </row>
    <row r="100" spans="2:11" x14ac:dyDescent="0.25">
      <c r="B100" s="164" t="s">
        <v>118</v>
      </c>
      <c r="C100" s="165">
        <v>1161</v>
      </c>
      <c r="D100" s="165">
        <v>1852</v>
      </c>
      <c r="E100" s="165">
        <v>1779</v>
      </c>
      <c r="F100" s="165">
        <v>2117</v>
      </c>
      <c r="G100" s="165">
        <v>2082</v>
      </c>
      <c r="H100" s="165">
        <v>2030</v>
      </c>
      <c r="I100" s="180">
        <f t="shared" si="44"/>
        <v>-2.4975984630163262E-2</v>
      </c>
      <c r="J100" s="164">
        <f t="shared" si="43"/>
        <v>-52</v>
      </c>
      <c r="K100" s="166">
        <f t="shared" si="42"/>
        <v>9.8670284253048928E-4</v>
      </c>
    </row>
    <row r="101" spans="2:11" x14ac:dyDescent="0.25">
      <c r="B101" s="164" t="s">
        <v>125</v>
      </c>
      <c r="C101" s="165">
        <v>265</v>
      </c>
      <c r="D101" s="165">
        <v>84</v>
      </c>
      <c r="E101" s="165">
        <v>672</v>
      </c>
      <c r="F101" s="165">
        <v>531</v>
      </c>
      <c r="G101" s="165">
        <v>598</v>
      </c>
      <c r="H101" s="165">
        <v>576</v>
      </c>
      <c r="I101" s="180">
        <f t="shared" si="44"/>
        <v>-3.6789297658862852E-2</v>
      </c>
      <c r="J101" s="164">
        <f t="shared" si="43"/>
        <v>-22</v>
      </c>
      <c r="K101" s="166">
        <f t="shared" si="42"/>
        <v>2.7997085581160685E-4</v>
      </c>
    </row>
    <row r="102" spans="2:11" x14ac:dyDescent="0.25">
      <c r="B102" s="164" t="s">
        <v>121</v>
      </c>
      <c r="C102" s="165">
        <v>132</v>
      </c>
      <c r="D102" s="165">
        <v>154</v>
      </c>
      <c r="E102" s="165">
        <v>373</v>
      </c>
      <c r="F102" s="165">
        <v>293</v>
      </c>
      <c r="G102" s="165">
        <v>514</v>
      </c>
      <c r="H102" s="165">
        <v>484</v>
      </c>
      <c r="I102" s="180">
        <f t="shared" si="44"/>
        <v>-5.8365758754863828E-2</v>
      </c>
      <c r="J102" s="164">
        <f t="shared" si="43"/>
        <v>-30</v>
      </c>
      <c r="K102" s="166">
        <f t="shared" si="42"/>
        <v>2.3525328856391963E-4</v>
      </c>
    </row>
    <row r="103" spans="2:11" x14ac:dyDescent="0.25">
      <c r="B103" s="164" t="s">
        <v>130</v>
      </c>
      <c r="C103" s="165">
        <v>112</v>
      </c>
      <c r="D103" s="165">
        <v>17</v>
      </c>
      <c r="E103" s="165">
        <v>182</v>
      </c>
      <c r="F103" s="165">
        <v>87</v>
      </c>
      <c r="G103" s="165">
        <v>151</v>
      </c>
      <c r="H103" s="165">
        <v>128</v>
      </c>
      <c r="I103" s="180">
        <f t="shared" si="44"/>
        <v>-0.15231788079470199</v>
      </c>
      <c r="J103" s="164">
        <f t="shared" si="43"/>
        <v>-23</v>
      </c>
      <c r="K103" s="166">
        <f t="shared" si="42"/>
        <v>6.2215745735912624E-5</v>
      </c>
    </row>
    <row r="104" spans="2:11" x14ac:dyDescent="0.25">
      <c r="B104" s="164" t="s">
        <v>133</v>
      </c>
      <c r="C104" s="165">
        <v>61</v>
      </c>
      <c r="D104" s="165">
        <v>42</v>
      </c>
      <c r="E104" s="165">
        <v>99</v>
      </c>
      <c r="F104" s="165">
        <v>155</v>
      </c>
      <c r="G104" s="165">
        <v>265</v>
      </c>
      <c r="H104" s="165">
        <v>143</v>
      </c>
      <c r="I104" s="180">
        <f t="shared" si="44"/>
        <v>-0.46037735849056605</v>
      </c>
      <c r="J104" s="164">
        <f t="shared" si="43"/>
        <v>-122</v>
      </c>
      <c r="K104" s="166">
        <f t="shared" si="42"/>
        <v>6.9506653439339891E-5</v>
      </c>
    </row>
    <row r="105" spans="2:11" x14ac:dyDescent="0.25">
      <c r="B105" s="169" t="s">
        <v>147</v>
      </c>
      <c r="C105" s="170">
        <f t="shared" ref="C105" si="45">C97-SUM(C98:C104)</f>
        <v>1504</v>
      </c>
      <c r="D105" s="170">
        <f t="shared" ref="D105:H105" si="46">D97-SUM(D98:D104)</f>
        <v>1431</v>
      </c>
      <c r="E105" s="170">
        <f t="shared" si="46"/>
        <v>3033</v>
      </c>
      <c r="F105" s="170">
        <f t="shared" si="46"/>
        <v>3995</v>
      </c>
      <c r="G105" s="170">
        <f t="shared" si="46"/>
        <v>4358</v>
      </c>
      <c r="H105" s="170">
        <f t="shared" si="46"/>
        <v>4542</v>
      </c>
      <c r="I105" s="181">
        <f t="shared" si="44"/>
        <v>4.222120238641569E-2</v>
      </c>
      <c r="J105" s="169">
        <f>H105-G105</f>
        <v>184</v>
      </c>
      <c r="K105" s="171">
        <f t="shared" si="42"/>
        <v>2.2076868525977749E-3</v>
      </c>
    </row>
    <row r="106" spans="2:11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4"/>
    </row>
    <row r="107" spans="2:11" x14ac:dyDescent="0.25">
      <c r="B107" s="157" t="s">
        <v>70</v>
      </c>
      <c r="C107" s="177">
        <f t="shared" ref="C107:H107" si="47">C108+C111</f>
        <v>22627</v>
      </c>
      <c r="D107" s="177">
        <f t="shared" si="47"/>
        <v>30374</v>
      </c>
      <c r="E107" s="177">
        <f t="shared" si="47"/>
        <v>79606</v>
      </c>
      <c r="F107" s="177">
        <f t="shared" si="47"/>
        <v>111862</v>
      </c>
      <c r="G107" s="177">
        <f t="shared" si="47"/>
        <v>103725</v>
      </c>
      <c r="H107" s="177">
        <f t="shared" si="47"/>
        <v>112596</v>
      </c>
      <c r="I107" s="178">
        <f>IFERROR(H107/G107-1,"-")</f>
        <v>8.5524222704266073E-2</v>
      </c>
      <c r="J107" s="177">
        <f>H107-G107</f>
        <v>8871</v>
      </c>
      <c r="K107" s="178">
        <f t="shared" ref="K107:K119" si="48">H107/H$9</f>
        <v>5.4728469585006392E-2</v>
      </c>
    </row>
    <row r="108" spans="2:11" x14ac:dyDescent="0.25">
      <c r="B108" s="160" t="s">
        <v>99</v>
      </c>
      <c r="C108" s="161">
        <v>5441</v>
      </c>
      <c r="D108" s="161">
        <v>18405</v>
      </c>
      <c r="E108" s="161">
        <v>16402</v>
      </c>
      <c r="F108" s="161">
        <v>21854</v>
      </c>
      <c r="G108" s="161">
        <v>20614</v>
      </c>
      <c r="H108" s="161">
        <v>22311</v>
      </c>
      <c r="I108" s="179">
        <f>IFERROR(H108/G108-1,"-")</f>
        <v>8.2322693315222573E-2</v>
      </c>
      <c r="J108" s="160">
        <f t="shared" ref="J108:J118" si="49">H108-G108</f>
        <v>1697</v>
      </c>
      <c r="K108" s="162">
        <f t="shared" si="48"/>
        <v>1.0844496118077708E-2</v>
      </c>
    </row>
    <row r="109" spans="2:11" x14ac:dyDescent="0.25">
      <c r="B109" s="164" t="s">
        <v>105</v>
      </c>
      <c r="C109" s="165">
        <v>273</v>
      </c>
      <c r="D109" s="165">
        <v>13340</v>
      </c>
      <c r="E109" s="165">
        <v>5588</v>
      </c>
      <c r="F109" s="165">
        <v>8088</v>
      </c>
      <c r="G109" s="165">
        <v>5528</v>
      </c>
      <c r="H109" s="165">
        <v>6995</v>
      </c>
      <c r="I109" s="180">
        <f>IFERROR(H109/G109-1,"-")</f>
        <v>0.26537626628075262</v>
      </c>
      <c r="J109" s="164">
        <f t="shared" si="49"/>
        <v>1467</v>
      </c>
      <c r="K109" s="166">
        <f t="shared" si="48"/>
        <v>3.3999932923649127E-3</v>
      </c>
    </row>
    <row r="110" spans="2:11" x14ac:dyDescent="0.25">
      <c r="B110" s="164" t="s">
        <v>102</v>
      </c>
      <c r="C110" s="165">
        <v>5168</v>
      </c>
      <c r="D110" s="165">
        <v>5065</v>
      </c>
      <c r="E110" s="165">
        <v>10814</v>
      </c>
      <c r="F110" s="165">
        <v>13766</v>
      </c>
      <c r="G110" s="165">
        <v>15086</v>
      </c>
      <c r="H110" s="165">
        <v>15316</v>
      </c>
      <c r="I110" s="180">
        <f>IFERROR(H110/G110-1,"-")</f>
        <v>1.5245923372663395E-2</v>
      </c>
      <c r="J110" s="164">
        <f t="shared" si="49"/>
        <v>230</v>
      </c>
      <c r="K110" s="166">
        <f t="shared" si="48"/>
        <v>7.4445028257127954E-3</v>
      </c>
    </row>
    <row r="111" spans="2:11" x14ac:dyDescent="0.25">
      <c r="B111" s="160" t="s">
        <v>109</v>
      </c>
      <c r="C111" s="161">
        <v>17186</v>
      </c>
      <c r="D111" s="161">
        <v>11969</v>
      </c>
      <c r="E111" s="161">
        <v>63204</v>
      </c>
      <c r="F111" s="161">
        <v>90008</v>
      </c>
      <c r="G111" s="161">
        <v>83111</v>
      </c>
      <c r="H111" s="161">
        <v>90285</v>
      </c>
      <c r="I111" s="179">
        <f>IFERROR(H111/G111-1,"-")</f>
        <v>8.6318297216974926E-2</v>
      </c>
      <c r="J111" s="160">
        <f t="shared" si="49"/>
        <v>7174</v>
      </c>
      <c r="K111" s="162">
        <f t="shared" si="48"/>
        <v>4.3883973466928683E-2</v>
      </c>
    </row>
    <row r="112" spans="2:11" x14ac:dyDescent="0.25">
      <c r="B112" s="164" t="s">
        <v>112</v>
      </c>
      <c r="C112" s="165">
        <v>9701</v>
      </c>
      <c r="D112" s="165">
        <v>1375</v>
      </c>
      <c r="E112" s="165">
        <v>36083</v>
      </c>
      <c r="F112" s="165">
        <v>58680</v>
      </c>
      <c r="G112" s="165">
        <v>50875</v>
      </c>
      <c r="H112" s="165">
        <v>53064</v>
      </c>
      <c r="I112" s="180">
        <f t="shared" ref="I112:I119" si="50">IFERROR(H112/G112-1,"-")</f>
        <v>4.3027027027026987E-2</v>
      </c>
      <c r="J112" s="164">
        <f t="shared" si="49"/>
        <v>2189</v>
      </c>
      <c r="K112" s="166">
        <f t="shared" si="48"/>
        <v>2.5792315091644279E-2</v>
      </c>
    </row>
    <row r="113" spans="2:11" x14ac:dyDescent="0.25">
      <c r="B113" s="164" t="s">
        <v>115</v>
      </c>
      <c r="C113" s="165">
        <v>1353</v>
      </c>
      <c r="D113" s="165">
        <v>3614</v>
      </c>
      <c r="E113" s="165">
        <v>3239</v>
      </c>
      <c r="F113" s="165">
        <v>4324</v>
      </c>
      <c r="G113" s="165">
        <v>3803</v>
      </c>
      <c r="H113" s="165">
        <v>4507</v>
      </c>
      <c r="I113" s="180">
        <f t="shared" si="50"/>
        <v>0.18511701288456472</v>
      </c>
      <c r="J113" s="164">
        <f t="shared" si="49"/>
        <v>704</v>
      </c>
      <c r="K113" s="166">
        <f t="shared" si="48"/>
        <v>2.1906747346231111E-3</v>
      </c>
    </row>
    <row r="114" spans="2:11" x14ac:dyDescent="0.25">
      <c r="B114" s="164" t="s">
        <v>118</v>
      </c>
      <c r="C114" s="165">
        <v>895</v>
      </c>
      <c r="D114" s="165">
        <v>2386</v>
      </c>
      <c r="E114" s="165">
        <v>4047</v>
      </c>
      <c r="F114" s="165">
        <v>7774</v>
      </c>
      <c r="G114" s="165">
        <v>5668</v>
      </c>
      <c r="H114" s="165">
        <v>7265</v>
      </c>
      <c r="I114" s="180">
        <f t="shared" si="50"/>
        <v>0.28175723359209592</v>
      </c>
      <c r="J114" s="164">
        <f t="shared" si="49"/>
        <v>1597</v>
      </c>
      <c r="K114" s="166">
        <f t="shared" si="48"/>
        <v>3.5312296310266037E-3</v>
      </c>
    </row>
    <row r="115" spans="2:11" x14ac:dyDescent="0.25">
      <c r="B115" s="164" t="s">
        <v>125</v>
      </c>
      <c r="C115" s="165">
        <v>429</v>
      </c>
      <c r="D115" s="165">
        <v>718</v>
      </c>
      <c r="E115" s="165">
        <v>3460</v>
      </c>
      <c r="F115" s="165">
        <v>2844</v>
      </c>
      <c r="G115" s="165">
        <v>3264</v>
      </c>
      <c r="H115" s="165">
        <v>3266</v>
      </c>
      <c r="I115" s="180">
        <f t="shared" si="50"/>
        <v>6.1274509803932453E-4</v>
      </c>
      <c r="J115" s="164">
        <f t="shared" si="49"/>
        <v>2</v>
      </c>
      <c r="K115" s="166">
        <f t="shared" si="48"/>
        <v>1.5874736372928956E-3</v>
      </c>
    </row>
    <row r="116" spans="2:11" x14ac:dyDescent="0.25">
      <c r="B116" s="164" t="s">
        <v>121</v>
      </c>
      <c r="C116" s="165">
        <v>623</v>
      </c>
      <c r="D116" s="165">
        <v>963</v>
      </c>
      <c r="E116" s="165">
        <v>2207</v>
      </c>
      <c r="F116" s="165">
        <v>2103</v>
      </c>
      <c r="G116" s="165">
        <v>2457</v>
      </c>
      <c r="H116" s="165">
        <v>2247</v>
      </c>
      <c r="I116" s="180">
        <f t="shared" si="50"/>
        <v>-8.54700854700855E-2</v>
      </c>
      <c r="J116" s="164">
        <f t="shared" si="49"/>
        <v>-210</v>
      </c>
      <c r="K116" s="166">
        <f t="shared" si="48"/>
        <v>1.0921779739734038E-3</v>
      </c>
    </row>
    <row r="117" spans="2:11" x14ac:dyDescent="0.25">
      <c r="B117" s="164" t="s">
        <v>130</v>
      </c>
      <c r="C117" s="165">
        <v>206</v>
      </c>
      <c r="D117" s="165">
        <v>10</v>
      </c>
      <c r="E117" s="165">
        <v>419</v>
      </c>
      <c r="F117" s="165">
        <v>590</v>
      </c>
      <c r="G117" s="165">
        <v>813</v>
      </c>
      <c r="H117" s="165">
        <v>783</v>
      </c>
      <c r="I117" s="180">
        <f t="shared" si="50"/>
        <v>-3.6900369003690092E-2</v>
      </c>
      <c r="J117" s="164">
        <f t="shared" si="49"/>
        <v>-30</v>
      </c>
      <c r="K117" s="166">
        <f t="shared" si="48"/>
        <v>3.8058538211890305E-4</v>
      </c>
    </row>
    <row r="118" spans="2:11" x14ac:dyDescent="0.25">
      <c r="B118" s="164" t="s">
        <v>133</v>
      </c>
      <c r="C118" s="165">
        <v>526</v>
      </c>
      <c r="D118" s="165">
        <v>16</v>
      </c>
      <c r="E118" s="165">
        <v>623</v>
      </c>
      <c r="F118" s="165">
        <v>373</v>
      </c>
      <c r="G118" s="165">
        <v>1010</v>
      </c>
      <c r="H118" s="165">
        <v>661</v>
      </c>
      <c r="I118" s="180">
        <f t="shared" si="50"/>
        <v>-0.34554455445544552</v>
      </c>
      <c r="J118" s="164">
        <f t="shared" si="49"/>
        <v>-349</v>
      </c>
      <c r="K118" s="166">
        <f t="shared" si="48"/>
        <v>3.212859994643613E-4</v>
      </c>
    </row>
    <row r="119" spans="2:11" x14ac:dyDescent="0.25">
      <c r="B119" s="169" t="s">
        <v>147</v>
      </c>
      <c r="C119" s="170">
        <f t="shared" ref="C119" si="51">C111-SUM(C112:C118)</f>
        <v>3453</v>
      </c>
      <c r="D119" s="170">
        <f t="shared" ref="D119:H119" si="52">D111-SUM(D112:D118)</f>
        <v>2887</v>
      </c>
      <c r="E119" s="170">
        <f t="shared" si="52"/>
        <v>13126</v>
      </c>
      <c r="F119" s="170">
        <f t="shared" si="52"/>
        <v>13320</v>
      </c>
      <c r="G119" s="170">
        <f t="shared" si="52"/>
        <v>15221</v>
      </c>
      <c r="H119" s="170">
        <f t="shared" si="52"/>
        <v>18492</v>
      </c>
      <c r="I119" s="181">
        <f t="shared" si="50"/>
        <v>0.21490046646081074</v>
      </c>
      <c r="J119" s="169">
        <f>H119-G119</f>
        <v>3271</v>
      </c>
      <c r="K119" s="171">
        <f t="shared" si="48"/>
        <v>8.9882310167851281E-3</v>
      </c>
    </row>
    <row r="120" spans="2:11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4"/>
    </row>
    <row r="121" spans="2:11" x14ac:dyDescent="0.25">
      <c r="B121" s="157" t="s">
        <v>70</v>
      </c>
      <c r="C121" s="177">
        <f t="shared" ref="C121:H121" si="53">C122+C125</f>
        <v>52853</v>
      </c>
      <c r="D121" s="177">
        <f t="shared" si="53"/>
        <v>58803</v>
      </c>
      <c r="E121" s="177">
        <f t="shared" si="53"/>
        <v>104421</v>
      </c>
      <c r="F121" s="177">
        <f t="shared" si="53"/>
        <v>126576</v>
      </c>
      <c r="G121" s="177">
        <f t="shared" si="53"/>
        <v>125410</v>
      </c>
      <c r="H121" s="177">
        <f t="shared" si="53"/>
        <v>140761</v>
      </c>
      <c r="I121" s="178">
        <f>IFERROR(H121/G121-1,"-")</f>
        <v>0.12240650665816122</v>
      </c>
      <c r="J121" s="177">
        <f>H121-G121</f>
        <v>15351</v>
      </c>
      <c r="K121" s="178">
        <f t="shared" ref="K121:K133" si="54">H121/H$9</f>
        <v>6.8418363949474981E-2</v>
      </c>
    </row>
    <row r="122" spans="2:11" x14ac:dyDescent="0.25">
      <c r="B122" s="160" t="s">
        <v>99</v>
      </c>
      <c r="C122" s="161">
        <v>26940</v>
      </c>
      <c r="D122" s="161">
        <v>38654</v>
      </c>
      <c r="E122" s="161">
        <v>62976</v>
      </c>
      <c r="F122" s="161">
        <v>76465</v>
      </c>
      <c r="G122" s="161">
        <v>75937</v>
      </c>
      <c r="H122" s="161">
        <v>87725</v>
      </c>
      <c r="I122" s="179">
        <f>IFERROR(H122/G122-1,"-")</f>
        <v>0.1552339439272028</v>
      </c>
      <c r="J122" s="160">
        <f t="shared" ref="J122:J132" si="55">H122-G122</f>
        <v>11788</v>
      </c>
      <c r="K122" s="162">
        <f t="shared" si="54"/>
        <v>4.2639658552210434E-2</v>
      </c>
    </row>
    <row r="123" spans="2:11" x14ac:dyDescent="0.25">
      <c r="B123" s="164" t="s">
        <v>105</v>
      </c>
      <c r="C123" s="165">
        <v>13715</v>
      </c>
      <c r="D123" s="165">
        <v>20861</v>
      </c>
      <c r="E123" s="165">
        <v>31514</v>
      </c>
      <c r="F123" s="165">
        <v>35561</v>
      </c>
      <c r="G123" s="165">
        <v>34109</v>
      </c>
      <c r="H123" s="165">
        <v>44044</v>
      </c>
      <c r="I123" s="180">
        <f>IFERROR(H123/G123-1,"-")</f>
        <v>0.29127209827318312</v>
      </c>
      <c r="J123" s="164">
        <f t="shared" si="55"/>
        <v>9935</v>
      </c>
      <c r="K123" s="166">
        <f t="shared" si="54"/>
        <v>2.1408049259316688E-2</v>
      </c>
    </row>
    <row r="124" spans="2:11" x14ac:dyDescent="0.25">
      <c r="B124" s="164" t="s">
        <v>102</v>
      </c>
      <c r="C124" s="165">
        <v>13225</v>
      </c>
      <c r="D124" s="165">
        <v>17793</v>
      </c>
      <c r="E124" s="165">
        <v>31462</v>
      </c>
      <c r="F124" s="165">
        <v>40904</v>
      </c>
      <c r="G124" s="165">
        <v>41828</v>
      </c>
      <c r="H124" s="165">
        <v>43681</v>
      </c>
      <c r="I124" s="180">
        <f>IFERROR(H124/G124-1,"-")</f>
        <v>4.4300468585636521E-2</v>
      </c>
      <c r="J124" s="164">
        <f t="shared" si="55"/>
        <v>1853</v>
      </c>
      <c r="K124" s="166">
        <f t="shared" si="54"/>
        <v>2.1231609292893746E-2</v>
      </c>
    </row>
    <row r="125" spans="2:11" x14ac:dyDescent="0.25">
      <c r="B125" s="160" t="s">
        <v>109</v>
      </c>
      <c r="C125" s="161">
        <v>25913</v>
      </c>
      <c r="D125" s="161">
        <v>20149</v>
      </c>
      <c r="E125" s="161">
        <v>41445</v>
      </c>
      <c r="F125" s="161">
        <v>50111</v>
      </c>
      <c r="G125" s="161">
        <v>49473</v>
      </c>
      <c r="H125" s="161">
        <v>53036</v>
      </c>
      <c r="I125" s="179">
        <f>IFERROR(H125/G125-1,"-")</f>
        <v>7.20190811149517E-2</v>
      </c>
      <c r="J125" s="160">
        <f t="shared" si="55"/>
        <v>3563</v>
      </c>
      <c r="K125" s="162">
        <f t="shared" si="54"/>
        <v>2.577870539726455E-2</v>
      </c>
    </row>
    <row r="126" spans="2:11" x14ac:dyDescent="0.25">
      <c r="B126" s="164" t="s">
        <v>112</v>
      </c>
      <c r="C126" s="165">
        <v>2810</v>
      </c>
      <c r="D126" s="165">
        <v>615</v>
      </c>
      <c r="E126" s="165">
        <v>4066</v>
      </c>
      <c r="F126" s="165">
        <v>6033</v>
      </c>
      <c r="G126" s="165">
        <v>6038</v>
      </c>
      <c r="H126" s="165">
        <v>5509</v>
      </c>
      <c r="I126" s="180">
        <f t="shared" ref="I126:I133" si="56">IFERROR(H126/G126-1,"-")</f>
        <v>-8.761179198410074E-2</v>
      </c>
      <c r="J126" s="164">
        <f t="shared" si="55"/>
        <v>-529</v>
      </c>
      <c r="K126" s="166">
        <f t="shared" si="54"/>
        <v>2.6777073692120521E-3</v>
      </c>
    </row>
    <row r="127" spans="2:11" x14ac:dyDescent="0.25">
      <c r="B127" s="164" t="s">
        <v>115</v>
      </c>
      <c r="C127" s="165">
        <v>2894</v>
      </c>
      <c r="D127" s="165">
        <v>2123</v>
      </c>
      <c r="E127" s="165">
        <v>4651</v>
      </c>
      <c r="F127" s="165">
        <v>7604</v>
      </c>
      <c r="G127" s="165">
        <v>7167</v>
      </c>
      <c r="H127" s="165">
        <v>8018</v>
      </c>
      <c r="I127" s="180">
        <f t="shared" si="56"/>
        <v>0.11873866331798522</v>
      </c>
      <c r="J127" s="164">
        <f t="shared" si="55"/>
        <v>851</v>
      </c>
      <c r="K127" s="166">
        <f t="shared" si="54"/>
        <v>3.8972331977386522E-3</v>
      </c>
    </row>
    <row r="128" spans="2:11" x14ac:dyDescent="0.25">
      <c r="B128" s="164" t="s">
        <v>118</v>
      </c>
      <c r="C128" s="165">
        <v>1950</v>
      </c>
      <c r="D128" s="165">
        <v>2898</v>
      </c>
      <c r="E128" s="165">
        <v>4036</v>
      </c>
      <c r="F128" s="165">
        <v>4476</v>
      </c>
      <c r="G128" s="165">
        <v>4146</v>
      </c>
      <c r="H128" s="165">
        <v>4275</v>
      </c>
      <c r="I128" s="180">
        <f t="shared" si="56"/>
        <v>3.1114327062228719E-2</v>
      </c>
      <c r="J128" s="164">
        <f t="shared" si="55"/>
        <v>129</v>
      </c>
      <c r="K128" s="166">
        <f t="shared" si="54"/>
        <v>2.0779086954767693E-3</v>
      </c>
    </row>
    <row r="129" spans="2:11" x14ac:dyDescent="0.25">
      <c r="B129" s="164" t="s">
        <v>125</v>
      </c>
      <c r="C129" s="165">
        <v>527</v>
      </c>
      <c r="D129" s="165">
        <v>311</v>
      </c>
      <c r="E129" s="165">
        <v>1177</v>
      </c>
      <c r="F129" s="165">
        <v>1213</v>
      </c>
      <c r="G129" s="165">
        <v>1249</v>
      </c>
      <c r="H129" s="165">
        <v>1298</v>
      </c>
      <c r="I129" s="180">
        <f t="shared" si="56"/>
        <v>3.9231385108086547E-2</v>
      </c>
      <c r="J129" s="164">
        <f t="shared" si="55"/>
        <v>49</v>
      </c>
      <c r="K129" s="166">
        <f t="shared" si="54"/>
        <v>6.30906546603239E-4</v>
      </c>
    </row>
    <row r="130" spans="2:11" x14ac:dyDescent="0.25">
      <c r="B130" s="164" t="s">
        <v>121</v>
      </c>
      <c r="C130" s="165">
        <v>455</v>
      </c>
      <c r="D130" s="165">
        <v>305</v>
      </c>
      <c r="E130" s="165">
        <v>877</v>
      </c>
      <c r="F130" s="165">
        <v>940</v>
      </c>
      <c r="G130" s="165">
        <v>1013</v>
      </c>
      <c r="H130" s="165">
        <v>1127</v>
      </c>
      <c r="I130" s="180">
        <f t="shared" si="56"/>
        <v>0.11253701875616984</v>
      </c>
      <c r="J130" s="164">
        <f t="shared" si="55"/>
        <v>114</v>
      </c>
      <c r="K130" s="166">
        <f t="shared" si="54"/>
        <v>5.477901987841682E-4</v>
      </c>
    </row>
    <row r="131" spans="2:11" x14ac:dyDescent="0.25">
      <c r="B131" s="164" t="s">
        <v>130</v>
      </c>
      <c r="C131" s="165">
        <v>630</v>
      </c>
      <c r="D131" s="165">
        <v>34</v>
      </c>
      <c r="E131" s="165">
        <v>572</v>
      </c>
      <c r="F131" s="165">
        <v>775</v>
      </c>
      <c r="G131" s="165">
        <v>858</v>
      </c>
      <c r="H131" s="165">
        <v>669</v>
      </c>
      <c r="I131" s="180">
        <f t="shared" si="56"/>
        <v>-0.22027972027972031</v>
      </c>
      <c r="J131" s="164">
        <f t="shared" si="55"/>
        <v>-189</v>
      </c>
      <c r="K131" s="166">
        <f t="shared" si="54"/>
        <v>3.2517448357285587E-4</v>
      </c>
    </row>
    <row r="132" spans="2:11" x14ac:dyDescent="0.25">
      <c r="B132" s="164" t="s">
        <v>133</v>
      </c>
      <c r="C132" s="165">
        <v>970</v>
      </c>
      <c r="D132" s="165">
        <v>141</v>
      </c>
      <c r="E132" s="165">
        <v>1030</v>
      </c>
      <c r="F132" s="165">
        <v>1454</v>
      </c>
      <c r="G132" s="165">
        <v>1318</v>
      </c>
      <c r="H132" s="165">
        <v>1364</v>
      </c>
      <c r="I132" s="180">
        <f t="shared" si="56"/>
        <v>3.4901365705614529E-2</v>
      </c>
      <c r="J132" s="164">
        <f t="shared" si="55"/>
        <v>46</v>
      </c>
      <c r="K132" s="166">
        <f t="shared" si="54"/>
        <v>6.6298654049831891E-4</v>
      </c>
    </row>
    <row r="133" spans="2:11" x14ac:dyDescent="0.25">
      <c r="B133" s="169" t="s">
        <v>147</v>
      </c>
      <c r="C133" s="170">
        <f t="shared" ref="C133" si="57">C125-SUM(C126:C132)</f>
        <v>15677</v>
      </c>
      <c r="D133" s="170">
        <f t="shared" ref="D133:H133" si="58">D125-SUM(D126:D132)</f>
        <v>13722</v>
      </c>
      <c r="E133" s="170">
        <f t="shared" si="58"/>
        <v>25036</v>
      </c>
      <c r="F133" s="170">
        <f t="shared" si="58"/>
        <v>27616</v>
      </c>
      <c r="G133" s="170">
        <f t="shared" si="58"/>
        <v>27684</v>
      </c>
      <c r="H133" s="170">
        <f t="shared" si="58"/>
        <v>30776</v>
      </c>
      <c r="I133" s="181">
        <f t="shared" si="56"/>
        <v>0.11168906227423792</v>
      </c>
      <c r="J133" s="169">
        <f>H133-G133</f>
        <v>3092</v>
      </c>
      <c r="K133" s="171">
        <f t="shared" si="54"/>
        <v>1.4958998365378492E-2</v>
      </c>
    </row>
    <row r="134" spans="2:11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4"/>
    </row>
    <row r="135" spans="2:11" x14ac:dyDescent="0.25">
      <c r="B135" s="157" t="s">
        <v>70</v>
      </c>
      <c r="C135" s="177">
        <f t="shared" ref="C135:H135" si="59">C136+C139</f>
        <v>39287</v>
      </c>
      <c r="D135" s="177">
        <f t="shared" si="59"/>
        <v>27596</v>
      </c>
      <c r="E135" s="177">
        <f t="shared" si="59"/>
        <v>101147</v>
      </c>
      <c r="F135" s="177">
        <f t="shared" si="59"/>
        <v>110205</v>
      </c>
      <c r="G135" s="177">
        <f t="shared" si="59"/>
        <v>117985</v>
      </c>
      <c r="H135" s="177">
        <f t="shared" si="59"/>
        <v>110668</v>
      </c>
      <c r="I135" s="178">
        <f>IFERROR(H135/G135-1,"-")</f>
        <v>-6.201635801161165E-2</v>
      </c>
      <c r="J135" s="177">
        <f>H135-G135</f>
        <v>-7317</v>
      </c>
      <c r="K135" s="178">
        <f t="shared" ref="K135:K147" si="60">H135/H$9</f>
        <v>5.3791344914859207E-2</v>
      </c>
    </row>
    <row r="136" spans="2:11" x14ac:dyDescent="0.25">
      <c r="B136" s="160" t="s">
        <v>99</v>
      </c>
      <c r="C136" s="161">
        <v>1887</v>
      </c>
      <c r="D136" s="161">
        <v>16639</v>
      </c>
      <c r="E136" s="161">
        <v>8843</v>
      </c>
      <c r="F136" s="161">
        <v>10689</v>
      </c>
      <c r="G136" s="161">
        <v>8050</v>
      </c>
      <c r="H136" s="161">
        <v>6445</v>
      </c>
      <c r="I136" s="179">
        <f>IFERROR(H136/G136-1,"-")</f>
        <v>-0.19937888198757769</v>
      </c>
      <c r="J136" s="160">
        <f t="shared" ref="J136:J146" si="61">H136-G136</f>
        <v>-1605</v>
      </c>
      <c r="K136" s="162">
        <f t="shared" si="60"/>
        <v>3.1326600099059131E-3</v>
      </c>
    </row>
    <row r="137" spans="2:11" x14ac:dyDescent="0.25">
      <c r="B137" s="164" t="s">
        <v>105</v>
      </c>
      <c r="C137" s="165">
        <v>1146</v>
      </c>
      <c r="D137" s="165">
        <v>14544</v>
      </c>
      <c r="E137" s="165">
        <v>6143</v>
      </c>
      <c r="F137" s="165">
        <v>6988</v>
      </c>
      <c r="G137" s="165">
        <v>5049</v>
      </c>
      <c r="H137" s="165">
        <v>2828</v>
      </c>
      <c r="I137" s="180">
        <f>IFERROR(H137/G137-1,"-")</f>
        <v>-0.43988908694791051</v>
      </c>
      <c r="J137" s="164">
        <f t="shared" si="61"/>
        <v>-2221</v>
      </c>
      <c r="K137" s="166">
        <f t="shared" si="60"/>
        <v>1.3745791323528196E-3</v>
      </c>
    </row>
    <row r="138" spans="2:11" x14ac:dyDescent="0.25">
      <c r="B138" s="164" t="s">
        <v>102</v>
      </c>
      <c r="C138" s="165">
        <v>741</v>
      </c>
      <c r="D138" s="165">
        <v>2095</v>
      </c>
      <c r="E138" s="165">
        <v>2700</v>
      </c>
      <c r="F138" s="165">
        <v>3701</v>
      </c>
      <c r="G138" s="165">
        <v>3001</v>
      </c>
      <c r="H138" s="165">
        <v>3617</v>
      </c>
      <c r="I138" s="180">
        <f>IFERROR(H138/G138-1,"-")</f>
        <v>0.20526491169610139</v>
      </c>
      <c r="J138" s="164">
        <f t="shared" si="61"/>
        <v>616</v>
      </c>
      <c r="K138" s="166">
        <f t="shared" si="60"/>
        <v>1.7580808775530935E-3</v>
      </c>
    </row>
    <row r="139" spans="2:11" x14ac:dyDescent="0.25">
      <c r="B139" s="160" t="s">
        <v>109</v>
      </c>
      <c r="C139" s="161">
        <v>37400</v>
      </c>
      <c r="D139" s="161">
        <v>10957</v>
      </c>
      <c r="E139" s="161">
        <v>92304</v>
      </c>
      <c r="F139" s="161">
        <v>99516</v>
      </c>
      <c r="G139" s="161">
        <v>109935</v>
      </c>
      <c r="H139" s="161">
        <v>104223</v>
      </c>
      <c r="I139" s="179">
        <f>IFERROR(H139/G139-1,"-")</f>
        <v>-5.1957975167144177E-2</v>
      </c>
      <c r="J139" s="160">
        <f t="shared" si="61"/>
        <v>-5712</v>
      </c>
      <c r="K139" s="162">
        <f t="shared" si="60"/>
        <v>5.0658684904953295E-2</v>
      </c>
    </row>
    <row r="140" spans="2:11" x14ac:dyDescent="0.25">
      <c r="B140" s="164" t="s">
        <v>112</v>
      </c>
      <c r="C140" s="165">
        <v>15636</v>
      </c>
      <c r="D140" s="165">
        <v>332</v>
      </c>
      <c r="E140" s="165">
        <v>38761</v>
      </c>
      <c r="F140" s="165">
        <v>40477</v>
      </c>
      <c r="G140" s="165">
        <v>47891</v>
      </c>
      <c r="H140" s="165">
        <v>47287</v>
      </c>
      <c r="I140" s="180">
        <f t="shared" ref="I140:I147" si="62">IFERROR(H140/G140-1,"-")</f>
        <v>-1.2611973022070955E-2</v>
      </c>
      <c r="J140" s="164">
        <f t="shared" si="61"/>
        <v>-604</v>
      </c>
      <c r="K140" s="166">
        <f t="shared" si="60"/>
        <v>2.2984343504797659E-2</v>
      </c>
    </row>
    <row r="141" spans="2:11" x14ac:dyDescent="0.25">
      <c r="B141" s="164" t="s">
        <v>115</v>
      </c>
      <c r="C141" s="165">
        <v>2675</v>
      </c>
      <c r="D141" s="165">
        <v>1231</v>
      </c>
      <c r="E141" s="165">
        <v>5966</v>
      </c>
      <c r="F141" s="165">
        <v>8947</v>
      </c>
      <c r="G141" s="165">
        <v>10243</v>
      </c>
      <c r="H141" s="165">
        <v>9003</v>
      </c>
      <c r="I141" s="180">
        <f t="shared" si="62"/>
        <v>-0.12105828370594551</v>
      </c>
      <c r="J141" s="164">
        <f t="shared" si="61"/>
        <v>-1240</v>
      </c>
      <c r="K141" s="166">
        <f t="shared" si="60"/>
        <v>4.3760028035970426E-3</v>
      </c>
    </row>
    <row r="142" spans="2:11" x14ac:dyDescent="0.25">
      <c r="B142" s="164" t="s">
        <v>118</v>
      </c>
      <c r="C142" s="165">
        <v>3097</v>
      </c>
      <c r="D142" s="165">
        <v>3669</v>
      </c>
      <c r="E142" s="165">
        <v>11878</v>
      </c>
      <c r="F142" s="165">
        <v>10955</v>
      </c>
      <c r="G142" s="165">
        <v>11500</v>
      </c>
      <c r="H142" s="165">
        <v>9439</v>
      </c>
      <c r="I142" s="180">
        <f t="shared" si="62"/>
        <v>-0.17921739130434777</v>
      </c>
      <c r="J142" s="164">
        <f t="shared" si="61"/>
        <v>-2061</v>
      </c>
      <c r="K142" s="166">
        <f t="shared" si="60"/>
        <v>4.587925187509995E-3</v>
      </c>
    </row>
    <row r="143" spans="2:11" x14ac:dyDescent="0.25">
      <c r="B143" s="164" t="s">
        <v>125</v>
      </c>
      <c r="C143" s="165">
        <v>406</v>
      </c>
      <c r="D143" s="165">
        <v>115</v>
      </c>
      <c r="E143" s="165">
        <v>3886</v>
      </c>
      <c r="F143" s="165">
        <v>3467</v>
      </c>
      <c r="G143" s="165">
        <v>2610</v>
      </c>
      <c r="H143" s="165">
        <v>2312</v>
      </c>
      <c r="I143" s="180">
        <f t="shared" si="62"/>
        <v>-0.114176245210728</v>
      </c>
      <c r="J143" s="164">
        <f t="shared" si="61"/>
        <v>-298</v>
      </c>
      <c r="K143" s="166">
        <f t="shared" si="60"/>
        <v>1.1237719073549219E-3</v>
      </c>
    </row>
    <row r="144" spans="2:11" x14ac:dyDescent="0.25">
      <c r="B144" s="164" t="s">
        <v>121</v>
      </c>
      <c r="C144" s="165">
        <v>671</v>
      </c>
      <c r="D144" s="165">
        <v>404</v>
      </c>
      <c r="E144" s="165">
        <v>1687</v>
      </c>
      <c r="F144" s="165">
        <v>2040</v>
      </c>
      <c r="G144" s="165">
        <v>2512</v>
      </c>
      <c r="H144" s="165">
        <v>1714</v>
      </c>
      <c r="I144" s="180">
        <f t="shared" si="62"/>
        <v>-0.3176751592356688</v>
      </c>
      <c r="J144" s="164">
        <f t="shared" si="61"/>
        <v>-798</v>
      </c>
      <c r="K144" s="166">
        <f t="shared" si="60"/>
        <v>8.3310772024495507E-4</v>
      </c>
    </row>
    <row r="145" spans="2:11" x14ac:dyDescent="0.25">
      <c r="B145" s="164" t="s">
        <v>130</v>
      </c>
      <c r="C145" s="165">
        <v>1581</v>
      </c>
      <c r="D145" s="165">
        <v>19</v>
      </c>
      <c r="E145" s="165">
        <v>1560</v>
      </c>
      <c r="F145" s="165">
        <v>1946</v>
      </c>
      <c r="G145" s="165">
        <v>1796</v>
      </c>
      <c r="H145" s="165">
        <v>1993</v>
      </c>
      <c r="I145" s="180">
        <f t="shared" si="62"/>
        <v>0.10968819599109136</v>
      </c>
      <c r="J145" s="164">
        <f t="shared" si="61"/>
        <v>197</v>
      </c>
      <c r="K145" s="166">
        <f t="shared" si="60"/>
        <v>9.6871860352870209E-4</v>
      </c>
    </row>
    <row r="146" spans="2:11" x14ac:dyDescent="0.25">
      <c r="B146" s="164" t="s">
        <v>133</v>
      </c>
      <c r="C146" s="165">
        <v>3277</v>
      </c>
      <c r="D146" s="165">
        <v>37</v>
      </c>
      <c r="E146" s="165">
        <v>725</v>
      </c>
      <c r="F146" s="165">
        <v>1292</v>
      </c>
      <c r="G146" s="165">
        <v>1153</v>
      </c>
      <c r="H146" s="165">
        <v>806</v>
      </c>
      <c r="I146" s="180">
        <f t="shared" si="62"/>
        <v>-0.30095403295750212</v>
      </c>
      <c r="J146" s="164">
        <f t="shared" si="61"/>
        <v>-347</v>
      </c>
      <c r="K146" s="166">
        <f t="shared" si="60"/>
        <v>3.9176477393082482E-4</v>
      </c>
    </row>
    <row r="147" spans="2:11" x14ac:dyDescent="0.25">
      <c r="B147" s="169" t="s">
        <v>147</v>
      </c>
      <c r="C147" s="170">
        <f t="shared" ref="C147" si="63">C139-SUM(C140:C146)</f>
        <v>10057</v>
      </c>
      <c r="D147" s="170">
        <f t="shared" ref="D147:H147" si="64">D139-SUM(D140:D146)</f>
        <v>5150</v>
      </c>
      <c r="E147" s="170">
        <f t="shared" si="64"/>
        <v>27841</v>
      </c>
      <c r="F147" s="170">
        <f t="shared" si="64"/>
        <v>30392</v>
      </c>
      <c r="G147" s="170">
        <f t="shared" si="64"/>
        <v>32230</v>
      </c>
      <c r="H147" s="170">
        <f t="shared" si="64"/>
        <v>31669</v>
      </c>
      <c r="I147" s="181">
        <f t="shared" si="62"/>
        <v>-1.7406143344709912E-2</v>
      </c>
      <c r="J147" s="169">
        <f>H147-G147</f>
        <v>-561</v>
      </c>
      <c r="K147" s="171">
        <f t="shared" si="60"/>
        <v>1.5393050403989196E-2</v>
      </c>
    </row>
    <row r="148" spans="2:11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4"/>
    </row>
    <row r="149" spans="2:11" x14ac:dyDescent="0.25">
      <c r="B149" s="157" t="s">
        <v>70</v>
      </c>
      <c r="C149" s="177">
        <f t="shared" ref="C149:H149" si="65">C150+C153</f>
        <v>22394</v>
      </c>
      <c r="D149" s="177">
        <f t="shared" si="65"/>
        <v>22130</v>
      </c>
      <c r="E149" s="177">
        <f t="shared" si="65"/>
        <v>51491</v>
      </c>
      <c r="F149" s="177">
        <f t="shared" si="65"/>
        <v>54554</v>
      </c>
      <c r="G149" s="177">
        <f t="shared" si="65"/>
        <v>56482</v>
      </c>
      <c r="H149" s="177">
        <f t="shared" si="65"/>
        <v>53731</v>
      </c>
      <c r="I149" s="178">
        <f>IFERROR(H149/G149-1,"-")</f>
        <v>-4.8705782373145379E-2</v>
      </c>
      <c r="J149" s="177">
        <f>H149-G149</f>
        <v>-2751</v>
      </c>
      <c r="K149" s="178">
        <f t="shared" ref="K149:K161" si="66">H149/H$9</f>
        <v>2.6116517454190011E-2</v>
      </c>
    </row>
    <row r="150" spans="2:11" x14ac:dyDescent="0.25">
      <c r="B150" s="160" t="s">
        <v>99</v>
      </c>
      <c r="C150" s="161">
        <v>7858</v>
      </c>
      <c r="D150" s="161">
        <v>15491</v>
      </c>
      <c r="E150" s="161">
        <v>27566</v>
      </c>
      <c r="F150" s="161">
        <v>27917</v>
      </c>
      <c r="G150" s="161">
        <v>25173</v>
      </c>
      <c r="H150" s="161">
        <v>22526</v>
      </c>
      <c r="I150" s="179">
        <f>IFERROR(H150/G150-1,"-")</f>
        <v>-0.10515234576729038</v>
      </c>
      <c r="J150" s="160">
        <f t="shared" ref="J150:J160" si="67">H150-G150</f>
        <v>-2647</v>
      </c>
      <c r="K150" s="162">
        <f t="shared" si="66"/>
        <v>1.09489991284935E-2</v>
      </c>
    </row>
    <row r="151" spans="2:11" x14ac:dyDescent="0.25">
      <c r="B151" s="164" t="s">
        <v>105</v>
      </c>
      <c r="C151" s="165">
        <v>3860</v>
      </c>
      <c r="D151" s="165">
        <v>13582</v>
      </c>
      <c r="E151" s="165">
        <v>19220</v>
      </c>
      <c r="F151" s="165">
        <v>19438</v>
      </c>
      <c r="G151" s="165">
        <v>17099</v>
      </c>
      <c r="H151" s="165">
        <v>14561</v>
      </c>
      <c r="I151" s="180">
        <f>IFERROR(H151/G151-1,"-")</f>
        <v>-0.14842973273290838</v>
      </c>
      <c r="J151" s="164">
        <f t="shared" si="67"/>
        <v>-2538</v>
      </c>
      <c r="K151" s="166">
        <f t="shared" si="66"/>
        <v>7.0775271379736231E-3</v>
      </c>
    </row>
    <row r="152" spans="2:11" x14ac:dyDescent="0.25">
      <c r="B152" s="164" t="s">
        <v>102</v>
      </c>
      <c r="C152" s="165">
        <v>3998</v>
      </c>
      <c r="D152" s="165">
        <v>1909</v>
      </c>
      <c r="E152" s="165">
        <v>8346</v>
      </c>
      <c r="F152" s="165">
        <v>8479</v>
      </c>
      <c r="G152" s="165">
        <v>8074</v>
      </c>
      <c r="H152" s="165">
        <v>7965</v>
      </c>
      <c r="I152" s="180">
        <f>IFERROR(H152/G152-1,"-")</f>
        <v>-1.350012385434729E-2</v>
      </c>
      <c r="J152" s="164">
        <f t="shared" si="67"/>
        <v>-109</v>
      </c>
      <c r="K152" s="166">
        <f t="shared" si="66"/>
        <v>3.8714719905198758E-3</v>
      </c>
    </row>
    <row r="153" spans="2:11" x14ac:dyDescent="0.25">
      <c r="B153" s="160" t="s">
        <v>109</v>
      </c>
      <c r="C153" s="161">
        <v>14536</v>
      </c>
      <c r="D153" s="161">
        <v>6639</v>
      </c>
      <c r="E153" s="161">
        <v>23925</v>
      </c>
      <c r="F153" s="161">
        <v>26637</v>
      </c>
      <c r="G153" s="161">
        <v>31309</v>
      </c>
      <c r="H153" s="161">
        <v>31205</v>
      </c>
      <c r="I153" s="179">
        <f>IFERROR(H153/G153-1,"-")</f>
        <v>-3.3217285764476356E-3</v>
      </c>
      <c r="J153" s="160">
        <f t="shared" si="67"/>
        <v>-104</v>
      </c>
      <c r="K153" s="162">
        <f t="shared" si="66"/>
        <v>1.5167518325696513E-2</v>
      </c>
    </row>
    <row r="154" spans="2:11" x14ac:dyDescent="0.25">
      <c r="B154" s="164" t="s">
        <v>112</v>
      </c>
      <c r="C154" s="165">
        <v>4906</v>
      </c>
      <c r="D154" s="165">
        <v>254</v>
      </c>
      <c r="E154" s="165">
        <v>8680</v>
      </c>
      <c r="F154" s="165">
        <v>9365</v>
      </c>
      <c r="G154" s="165">
        <v>10420</v>
      </c>
      <c r="H154" s="165">
        <v>8691</v>
      </c>
      <c r="I154" s="180">
        <f t="shared" ref="I154:I161" si="68">IFERROR(H154/G154-1,"-")</f>
        <v>-0.16593090211132433</v>
      </c>
      <c r="J154" s="164">
        <f t="shared" si="67"/>
        <v>-1729</v>
      </c>
      <c r="K154" s="166">
        <f t="shared" si="66"/>
        <v>4.2243519233657548E-3</v>
      </c>
    </row>
    <row r="155" spans="2:11" x14ac:dyDescent="0.25">
      <c r="B155" s="164" t="s">
        <v>115</v>
      </c>
      <c r="C155" s="165">
        <v>3835</v>
      </c>
      <c r="D155" s="165">
        <v>1235</v>
      </c>
      <c r="E155" s="165">
        <v>5208</v>
      </c>
      <c r="F155" s="165">
        <v>5064</v>
      </c>
      <c r="G155" s="165">
        <v>5309</v>
      </c>
      <c r="H155" s="165">
        <v>5238</v>
      </c>
      <c r="I155" s="180">
        <f t="shared" si="68"/>
        <v>-1.3373516669806018E-2</v>
      </c>
      <c r="J155" s="164">
        <f t="shared" si="67"/>
        <v>-71</v>
      </c>
      <c r="K155" s="166">
        <f t="shared" si="66"/>
        <v>2.5459849700367999E-3</v>
      </c>
    </row>
    <row r="156" spans="2:11" x14ac:dyDescent="0.25">
      <c r="B156" s="164" t="s">
        <v>118</v>
      </c>
      <c r="C156" s="165">
        <v>1701</v>
      </c>
      <c r="D156" s="165">
        <v>1963</v>
      </c>
      <c r="E156" s="165">
        <v>2761</v>
      </c>
      <c r="F156" s="165">
        <v>4025</v>
      </c>
      <c r="G156" s="165">
        <v>5064</v>
      </c>
      <c r="H156" s="165">
        <v>7204</v>
      </c>
      <c r="I156" s="180">
        <f t="shared" si="68"/>
        <v>0.42259083728278046</v>
      </c>
      <c r="J156" s="164">
        <f t="shared" si="67"/>
        <v>2140</v>
      </c>
      <c r="K156" s="166">
        <f t="shared" si="66"/>
        <v>3.5015799396993326E-3</v>
      </c>
    </row>
    <row r="157" spans="2:11" x14ac:dyDescent="0.25">
      <c r="B157" s="164" t="s">
        <v>125</v>
      </c>
      <c r="C157" s="165">
        <v>495</v>
      </c>
      <c r="D157" s="165">
        <v>237</v>
      </c>
      <c r="E157" s="165">
        <v>747</v>
      </c>
      <c r="F157" s="165">
        <v>738</v>
      </c>
      <c r="G157" s="165">
        <v>1062</v>
      </c>
      <c r="H157" s="165">
        <v>1092</v>
      </c>
      <c r="I157" s="180">
        <f t="shared" si="68"/>
        <v>2.8248587570621542E-2</v>
      </c>
      <c r="J157" s="164">
        <f t="shared" si="67"/>
        <v>30</v>
      </c>
      <c r="K157" s="166">
        <f t="shared" si="66"/>
        <v>5.3077808080950457E-4</v>
      </c>
    </row>
    <row r="158" spans="2:11" x14ac:dyDescent="0.25">
      <c r="B158" s="164" t="s">
        <v>121</v>
      </c>
      <c r="C158" s="165">
        <v>507</v>
      </c>
      <c r="D158" s="165">
        <v>282</v>
      </c>
      <c r="E158" s="165">
        <v>1101</v>
      </c>
      <c r="F158" s="165">
        <v>1259</v>
      </c>
      <c r="G158" s="165">
        <v>1276</v>
      </c>
      <c r="H158" s="165">
        <v>1153</v>
      </c>
      <c r="I158" s="180">
        <f t="shared" si="68"/>
        <v>-9.6394984326018784E-2</v>
      </c>
      <c r="J158" s="164">
        <f t="shared" si="67"/>
        <v>-123</v>
      </c>
      <c r="K158" s="166">
        <f t="shared" si="66"/>
        <v>5.6042777213677548E-4</v>
      </c>
    </row>
    <row r="159" spans="2:11" x14ac:dyDescent="0.25">
      <c r="B159" s="164" t="s">
        <v>130</v>
      </c>
      <c r="C159" s="165">
        <v>209</v>
      </c>
      <c r="D159" s="165">
        <v>24</v>
      </c>
      <c r="E159" s="165">
        <v>241</v>
      </c>
      <c r="F159" s="165">
        <v>236</v>
      </c>
      <c r="G159" s="165">
        <v>258</v>
      </c>
      <c r="H159" s="165">
        <v>188</v>
      </c>
      <c r="I159" s="180">
        <f t="shared" si="68"/>
        <v>-0.27131782945736438</v>
      </c>
      <c r="J159" s="164">
        <f t="shared" si="67"/>
        <v>-70</v>
      </c>
      <c r="K159" s="166">
        <f t="shared" si="66"/>
        <v>9.1379376549621677E-5</v>
      </c>
    </row>
    <row r="160" spans="2:11" x14ac:dyDescent="0.25">
      <c r="B160" s="164" t="s">
        <v>133</v>
      </c>
      <c r="C160" s="165">
        <v>277</v>
      </c>
      <c r="D160" s="165">
        <v>62</v>
      </c>
      <c r="E160" s="165">
        <v>382</v>
      </c>
      <c r="F160" s="165">
        <v>496</v>
      </c>
      <c r="G160" s="165">
        <v>367</v>
      </c>
      <c r="H160" s="165">
        <v>264</v>
      </c>
      <c r="I160" s="180">
        <f t="shared" si="68"/>
        <v>-0.28065395095367851</v>
      </c>
      <c r="J160" s="164">
        <f t="shared" si="67"/>
        <v>-103</v>
      </c>
      <c r="K160" s="166">
        <f t="shared" si="66"/>
        <v>1.2831997558031979E-4</v>
      </c>
    </row>
    <row r="161" spans="2:11" x14ac:dyDescent="0.25">
      <c r="B161" s="169" t="s">
        <v>147</v>
      </c>
      <c r="C161" s="170">
        <f t="shared" ref="C161" si="69">C153-SUM(C154:C160)</f>
        <v>2606</v>
      </c>
      <c r="D161" s="170">
        <f t="shared" ref="D161:H161" si="70">D153-SUM(D154:D160)</f>
        <v>2582</v>
      </c>
      <c r="E161" s="170">
        <f t="shared" si="70"/>
        <v>4805</v>
      </c>
      <c r="F161" s="170">
        <f t="shared" si="70"/>
        <v>5454</v>
      </c>
      <c r="G161" s="170">
        <f t="shared" si="70"/>
        <v>7553</v>
      </c>
      <c r="H161" s="170">
        <f t="shared" si="70"/>
        <v>7375</v>
      </c>
      <c r="I161" s="181">
        <f t="shared" si="68"/>
        <v>-2.3566794651131984E-2</v>
      </c>
      <c r="J161" s="169">
        <f>H161-G161</f>
        <v>-178</v>
      </c>
      <c r="K161" s="171">
        <f t="shared" si="66"/>
        <v>3.5846962875184037E-3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602DD-0B15-4AD1-83A2-71DD73A5B558}">
  <sheetPr>
    <tabColor theme="7" tint="0.79998168889431442"/>
    <pageSetUpPr fitToPage="1"/>
  </sheetPr>
  <dimension ref="A1:W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3" max="13" width="11.42578125" customWidth="1"/>
    <col min="14" max="23" width="11.42578125" hidden="1" customWidth="1"/>
  </cols>
  <sheetData>
    <row r="1" spans="1:23" ht="42.75" customHeight="1" x14ac:dyDescent="0.25"/>
    <row r="4" spans="1:23" ht="42" customHeight="1" thickBot="1" x14ac:dyDescent="0.3">
      <c r="B4" s="278" t="str">
        <f>CONCATENATE("Viajeros entrados en los apartamentos de Tenerife según lugar de residencia y municipio de alojamiento")</f>
        <v>Viajeros entrados en los apartamentos de Tenerife según lugar de residencia y municipio de alojamiento</v>
      </c>
      <c r="C4" s="278"/>
      <c r="D4" s="278"/>
      <c r="E4" s="278"/>
      <c r="F4" s="278"/>
      <c r="G4" s="278"/>
      <c r="H4" s="278"/>
      <c r="I4" s="278"/>
      <c r="J4" s="145"/>
      <c r="K4" s="145"/>
      <c r="N4" s="144" t="s">
        <v>267</v>
      </c>
      <c r="O4" s="145"/>
      <c r="P4" s="145"/>
      <c r="Q4" s="145"/>
      <c r="R4" s="145"/>
      <c r="S4" s="145"/>
      <c r="T4" s="145"/>
      <c r="U4" s="145"/>
      <c r="V4" s="145"/>
      <c r="W4" s="145"/>
    </row>
    <row r="5" spans="1:23" ht="6" customHeight="1" x14ac:dyDescent="0.25"/>
    <row r="6" spans="1:23" ht="15.75" x14ac:dyDescent="0.25">
      <c r="B6" s="146"/>
      <c r="C6" s="311" t="s">
        <v>45</v>
      </c>
      <c r="D6" s="312"/>
      <c r="E6" s="312"/>
      <c r="F6" s="312"/>
      <c r="G6" s="312"/>
      <c r="H6" s="312"/>
      <c r="I6" s="312"/>
      <c r="J6" s="312"/>
      <c r="K6" s="312"/>
      <c r="N6" s="146"/>
      <c r="O6" s="311" t="s">
        <v>45</v>
      </c>
      <c r="P6" s="312"/>
      <c r="Q6" s="312"/>
      <c r="R6" s="312"/>
      <c r="S6" s="312"/>
      <c r="T6" s="312"/>
      <c r="U6" s="312"/>
      <c r="V6" s="312"/>
      <c r="W6" s="312"/>
    </row>
    <row r="7" spans="1:23" s="147" customFormat="1" ht="72" customHeight="1" x14ac:dyDescent="0.25">
      <c r="B7" s="148"/>
      <c r="C7" s="173" t="s">
        <v>260</v>
      </c>
      <c r="D7" s="173" t="s">
        <v>261</v>
      </c>
      <c r="E7" s="173" t="s">
        <v>262</v>
      </c>
      <c r="F7" s="173" t="s">
        <v>263</v>
      </c>
      <c r="G7" s="173" t="s">
        <v>264</v>
      </c>
      <c r="H7" s="173" t="s">
        <v>265</v>
      </c>
      <c r="I7" s="174" t="str">
        <f>CONCATENATE("var. ",RIGHT(H7,2),"/",RIGHT(G7,2))</f>
        <v>var. 25/24</v>
      </c>
      <c r="J7" s="173" t="str">
        <f>CONCATENATE("dif. ",RIGHT(H7,2),"/",RIGHT(G7,2))</f>
        <v>dif. 25/24</v>
      </c>
      <c r="K7" s="174" t="str">
        <f>CONCATENATE("Cuota s/ total lugares de residencia ",RIGHT(H7,4))</f>
        <v>Cuota s/ total lugares de residencia 2025</v>
      </c>
      <c r="N7" s="148"/>
      <c r="O7" s="173" t="s">
        <v>260</v>
      </c>
      <c r="P7" s="173" t="s">
        <v>261</v>
      </c>
      <c r="Q7" s="173" t="s">
        <v>262</v>
      </c>
      <c r="R7" s="173" t="s">
        <v>263</v>
      </c>
      <c r="S7" s="173" t="s">
        <v>264</v>
      </c>
      <c r="T7" s="173" t="s">
        <v>265</v>
      </c>
      <c r="U7" s="174" t="str">
        <f>CONCATENATE("var. ",RIGHT(T7,2),"/",RIGHT(S7,2))</f>
        <v>var. 25/24</v>
      </c>
      <c r="V7" s="173" t="str">
        <f>CONCATENATE("dif. ",RIGHT(T7,2),"/",RIGHT(S7,2))</f>
        <v>dif. 25/24</v>
      </c>
      <c r="W7" s="174" t="str">
        <f>CONCATENATE("Cuota s/ total lugares de residencia ",RIGHT(T7,4))</f>
        <v>Cuota s/ total lugares de residencia 2025</v>
      </c>
    </row>
    <row r="8" spans="1:23" x14ac:dyDescent="0.25">
      <c r="A8" s="1"/>
      <c r="B8" s="153" t="s">
        <v>45</v>
      </c>
      <c r="C8" s="154"/>
      <c r="D8" s="154"/>
      <c r="E8" s="154"/>
      <c r="F8" s="154"/>
      <c r="G8" s="154"/>
      <c r="H8" s="155"/>
      <c r="I8" s="155"/>
      <c r="J8" s="155"/>
      <c r="K8" s="154"/>
      <c r="N8" s="156" t="s">
        <v>51</v>
      </c>
      <c r="O8" s="154"/>
      <c r="P8" s="154"/>
      <c r="Q8" s="154"/>
      <c r="R8" s="154"/>
      <c r="S8" s="154"/>
      <c r="T8" s="155"/>
      <c r="U8" s="155"/>
      <c r="V8" s="155"/>
      <c r="W8" s="154"/>
    </row>
    <row r="9" spans="1:23" x14ac:dyDescent="0.25">
      <c r="A9" s="1" t="s">
        <v>98</v>
      </c>
      <c r="B9" s="157" t="s">
        <v>70</v>
      </c>
      <c r="C9" s="177">
        <f t="shared" ref="C9:H9" si="0">C10+C13</f>
        <v>222725</v>
      </c>
      <c r="D9" s="177">
        <f t="shared" si="0"/>
        <v>120154</v>
      </c>
      <c r="E9" s="177">
        <f t="shared" si="0"/>
        <v>448188</v>
      </c>
      <c r="F9" s="177">
        <f t="shared" si="0"/>
        <v>531189</v>
      </c>
      <c r="G9" s="177">
        <f t="shared" si="0"/>
        <v>584803</v>
      </c>
      <c r="H9" s="177">
        <f t="shared" si="0"/>
        <v>609335</v>
      </c>
      <c r="I9" s="178">
        <f>IFERROR(H9/G9-1,"-")</f>
        <v>4.1949169207408321E-2</v>
      </c>
      <c r="J9" s="177">
        <f t="shared" ref="J9:J21" si="1">H9-G9</f>
        <v>24532</v>
      </c>
      <c r="K9" s="178">
        <f t="shared" ref="K9:K21" si="2">H9/H$9</f>
        <v>1</v>
      </c>
      <c r="N9" s="157" t="s">
        <v>70</v>
      </c>
      <c r="O9" s="177" t="e">
        <f t="shared" ref="O9:T9" si="3">O10+O13</f>
        <v>#REF!</v>
      </c>
      <c r="P9" s="177" t="e">
        <f t="shared" si="3"/>
        <v>#REF!</v>
      </c>
      <c r="Q9" s="177" t="e">
        <f t="shared" si="3"/>
        <v>#REF!</v>
      </c>
      <c r="R9" s="177" t="e">
        <f t="shared" si="3"/>
        <v>#REF!</v>
      </c>
      <c r="S9" s="177" t="e">
        <f t="shared" si="3"/>
        <v>#REF!</v>
      </c>
      <c r="T9" s="177" t="e">
        <f t="shared" si="3"/>
        <v>#REF!</v>
      </c>
      <c r="U9" s="178" t="str">
        <f>IFERROR(T9/S9-1,"-")</f>
        <v>-</v>
      </c>
      <c r="V9" s="177" t="e">
        <f>T9-S9</f>
        <v>#REF!</v>
      </c>
      <c r="W9" s="178" t="e">
        <f t="shared" ref="W9:W21" si="4">T9/T$9</f>
        <v>#REF!</v>
      </c>
    </row>
    <row r="10" spans="1:23" x14ac:dyDescent="0.25">
      <c r="A10" s="163" t="s">
        <v>105</v>
      </c>
      <c r="B10" s="160" t="s">
        <v>99</v>
      </c>
      <c r="C10" s="161">
        <v>17411</v>
      </c>
      <c r="D10" s="161">
        <v>54458</v>
      </c>
      <c r="E10" s="161">
        <v>64008</v>
      </c>
      <c r="F10" s="161">
        <v>70697</v>
      </c>
      <c r="G10" s="161">
        <v>73909</v>
      </c>
      <c r="H10" s="161">
        <v>79052</v>
      </c>
      <c r="I10" s="179">
        <f>IFERROR(H10/G10-1,"-")</f>
        <v>6.9585571445967442E-2</v>
      </c>
      <c r="J10" s="160">
        <f t="shared" si="1"/>
        <v>5143</v>
      </c>
      <c r="K10" s="162">
        <f t="shared" si="2"/>
        <v>0.12973487490460911</v>
      </c>
      <c r="N10" s="160" t="s">
        <v>99</v>
      </c>
      <c r="O10" s="161" t="e">
        <v>#REF!</v>
      </c>
      <c r="P10" s="161" t="e">
        <v>#REF!</v>
      </c>
      <c r="Q10" s="161" t="e">
        <v>#REF!</v>
      </c>
      <c r="R10" s="161" t="e">
        <v>#REF!</v>
      </c>
      <c r="S10" s="161" t="e">
        <v>#REF!</v>
      </c>
      <c r="T10" s="161" t="e">
        <v>#REF!</v>
      </c>
      <c r="U10" s="179" t="str">
        <f>IFERROR(T10/S10-1,"-")</f>
        <v>-</v>
      </c>
      <c r="V10" s="160" t="e">
        <f t="shared" ref="V10:V20" si="5">T10-S10</f>
        <v>#REF!</v>
      </c>
      <c r="W10" s="162" t="e">
        <f t="shared" si="4"/>
        <v>#REF!</v>
      </c>
    </row>
    <row r="11" spans="1:23" x14ac:dyDescent="0.25">
      <c r="A11" s="163" t="s">
        <v>102</v>
      </c>
      <c r="B11" s="164" t="s">
        <v>105</v>
      </c>
      <c r="C11" s="165">
        <v>10079</v>
      </c>
      <c r="D11" s="165">
        <v>42629</v>
      </c>
      <c r="E11" s="165">
        <v>36843</v>
      </c>
      <c r="F11" s="165">
        <v>39544</v>
      </c>
      <c r="G11" s="165">
        <v>35953</v>
      </c>
      <c r="H11" s="165">
        <v>30760</v>
      </c>
      <c r="I11" s="180">
        <f>IFERROR(H11/G11-1,"-")</f>
        <v>-0.14443857258086945</v>
      </c>
      <c r="J11" s="164">
        <f t="shared" si="1"/>
        <v>-5193</v>
      </c>
      <c r="K11" s="166">
        <f t="shared" si="2"/>
        <v>5.0481262359785666E-2</v>
      </c>
      <c r="N11" s="164" t="s">
        <v>105</v>
      </c>
      <c r="O11" s="165" t="e">
        <v>#REF!</v>
      </c>
      <c r="P11" s="165" t="e">
        <v>#REF!</v>
      </c>
      <c r="Q11" s="165" t="e">
        <v>#REF!</v>
      </c>
      <c r="R11" s="165" t="e">
        <v>#REF!</v>
      </c>
      <c r="S11" s="165" t="e">
        <v>#REF!</v>
      </c>
      <c r="T11" s="165" t="e">
        <v>#REF!</v>
      </c>
      <c r="U11" s="180" t="str">
        <f>IFERROR(T11/S11-1,"-")</f>
        <v>-</v>
      </c>
      <c r="V11" s="164" t="e">
        <f t="shared" si="5"/>
        <v>#REF!</v>
      </c>
      <c r="W11" s="166" t="e">
        <f>T11/T$9</f>
        <v>#REF!</v>
      </c>
    </row>
    <row r="12" spans="1:23" x14ac:dyDescent="0.25">
      <c r="A12" s="1"/>
      <c r="B12" s="164" t="s">
        <v>102</v>
      </c>
      <c r="C12" s="165">
        <v>7332</v>
      </c>
      <c r="D12" s="165">
        <v>11829</v>
      </c>
      <c r="E12" s="165">
        <v>27165</v>
      </c>
      <c r="F12" s="165">
        <v>31153</v>
      </c>
      <c r="G12" s="165">
        <v>37956</v>
      </c>
      <c r="H12" s="165">
        <v>48292</v>
      </c>
      <c r="I12" s="180">
        <f>IFERROR(H12/G12-1,"-")</f>
        <v>0.27231531246706719</v>
      </c>
      <c r="J12" s="164">
        <f t="shared" si="1"/>
        <v>10336</v>
      </c>
      <c r="K12" s="166">
        <f t="shared" si="2"/>
        <v>7.9253612544823451E-2</v>
      </c>
      <c r="N12" s="164" t="s">
        <v>102</v>
      </c>
      <c r="O12" s="165" t="e">
        <v>#REF!</v>
      </c>
      <c r="P12" s="165" t="e">
        <v>#REF!</v>
      </c>
      <c r="Q12" s="165" t="e">
        <v>#REF!</v>
      </c>
      <c r="R12" s="165" t="e">
        <v>#REF!</v>
      </c>
      <c r="S12" s="165" t="e">
        <v>#REF!</v>
      </c>
      <c r="T12" s="165" t="e">
        <v>#REF!</v>
      </c>
      <c r="U12" s="180" t="str">
        <f>IFERROR(T12/S12-1,"-")</f>
        <v>-</v>
      </c>
      <c r="V12" s="164" t="e">
        <f t="shared" si="5"/>
        <v>#REF!</v>
      </c>
      <c r="W12" s="166" t="e">
        <f t="shared" si="4"/>
        <v>#REF!</v>
      </c>
    </row>
    <row r="13" spans="1:23" s="57" customFormat="1" x14ac:dyDescent="0.25">
      <c r="B13" s="160" t="s">
        <v>109</v>
      </c>
      <c r="C13" s="161">
        <v>205314</v>
      </c>
      <c r="D13" s="161">
        <v>65696</v>
      </c>
      <c r="E13" s="161">
        <v>384180</v>
      </c>
      <c r="F13" s="161">
        <v>460492</v>
      </c>
      <c r="G13" s="161">
        <v>510894</v>
      </c>
      <c r="H13" s="161">
        <v>530283</v>
      </c>
      <c r="I13" s="179">
        <f>IFERROR(H13/G13-1,"-")</f>
        <v>3.7951120976171149E-2</v>
      </c>
      <c r="J13" s="160">
        <f t="shared" si="1"/>
        <v>19389</v>
      </c>
      <c r="K13" s="162">
        <f t="shared" si="2"/>
        <v>0.87026512509539089</v>
      </c>
      <c r="N13" s="160" t="s">
        <v>109</v>
      </c>
      <c r="O13" s="161" t="e">
        <v>#REF!</v>
      </c>
      <c r="P13" s="161" t="e">
        <v>#REF!</v>
      </c>
      <c r="Q13" s="161" t="e">
        <v>#REF!</v>
      </c>
      <c r="R13" s="161" t="e">
        <v>#REF!</v>
      </c>
      <c r="S13" s="161" t="e">
        <v>#REF!</v>
      </c>
      <c r="T13" s="161" t="e">
        <v>#REF!</v>
      </c>
      <c r="U13" s="179" t="str">
        <f>IFERROR(T13/S13-1,"-")</f>
        <v>-</v>
      </c>
      <c r="V13" s="160" t="e">
        <f t="shared" si="5"/>
        <v>#REF!</v>
      </c>
      <c r="W13" s="162" t="e">
        <f t="shared" si="4"/>
        <v>#REF!</v>
      </c>
    </row>
    <row r="14" spans="1:23" s="57" customFormat="1" x14ac:dyDescent="0.25">
      <c r="B14" s="164" t="s">
        <v>112</v>
      </c>
      <c r="C14" s="165">
        <v>88139</v>
      </c>
      <c r="D14" s="165">
        <v>3976</v>
      </c>
      <c r="E14" s="165">
        <v>173473</v>
      </c>
      <c r="F14" s="165">
        <v>224268</v>
      </c>
      <c r="G14" s="165">
        <v>262972</v>
      </c>
      <c r="H14" s="165">
        <v>273736</v>
      </c>
      <c r="I14" s="180">
        <f t="shared" ref="I14:I21" si="6">IFERROR(H14/G14-1,"-")</f>
        <v>4.0932114445644485E-2</v>
      </c>
      <c r="J14" s="164">
        <f t="shared" si="1"/>
        <v>10764</v>
      </c>
      <c r="K14" s="166">
        <f t="shared" si="2"/>
        <v>0.44923728326782475</v>
      </c>
      <c r="N14" s="164" t="s">
        <v>112</v>
      </c>
      <c r="O14" s="165" t="e">
        <v>#REF!</v>
      </c>
      <c r="P14" s="165" t="e">
        <v>#REF!</v>
      </c>
      <c r="Q14" s="165" t="e">
        <v>#REF!</v>
      </c>
      <c r="R14" s="165" t="e">
        <v>#REF!</v>
      </c>
      <c r="S14" s="165" t="e">
        <v>#REF!</v>
      </c>
      <c r="T14" s="165" t="e">
        <v>#REF!</v>
      </c>
      <c r="U14" s="180" t="str">
        <f t="shared" ref="U14:U21" si="7">IFERROR(T14/S14-1,"-")</f>
        <v>-</v>
      </c>
      <c r="V14" s="164" t="e">
        <f t="shared" si="5"/>
        <v>#REF!</v>
      </c>
      <c r="W14" s="166" t="e">
        <f t="shared" si="4"/>
        <v>#REF!</v>
      </c>
    </row>
    <row r="15" spans="1:23" x14ac:dyDescent="0.25">
      <c r="A15" s="1"/>
      <c r="B15" s="164" t="s">
        <v>115</v>
      </c>
      <c r="C15" s="165">
        <v>14632</v>
      </c>
      <c r="D15" s="165">
        <v>6640</v>
      </c>
      <c r="E15" s="165">
        <v>22911</v>
      </c>
      <c r="F15" s="165">
        <v>24944</v>
      </c>
      <c r="G15" s="165">
        <v>27953</v>
      </c>
      <c r="H15" s="165">
        <v>30205</v>
      </c>
      <c r="I15" s="180">
        <f t="shared" si="6"/>
        <v>8.0563803527349487E-2</v>
      </c>
      <c r="J15" s="164">
        <f t="shared" si="1"/>
        <v>2252</v>
      </c>
      <c r="K15" s="166">
        <f t="shared" si="2"/>
        <v>4.9570433341265478E-2</v>
      </c>
      <c r="N15" s="164" t="s">
        <v>115</v>
      </c>
      <c r="O15" s="165" t="e">
        <v>#REF!</v>
      </c>
      <c r="P15" s="165" t="e">
        <v>#REF!</v>
      </c>
      <c r="Q15" s="165" t="e">
        <v>#REF!</v>
      </c>
      <c r="R15" s="165" t="e">
        <v>#REF!</v>
      </c>
      <c r="S15" s="165" t="e">
        <v>#REF!</v>
      </c>
      <c r="T15" s="165" t="e">
        <v>#REF!</v>
      </c>
      <c r="U15" s="180" t="str">
        <f t="shared" si="7"/>
        <v>-</v>
      </c>
      <c r="V15" s="164" t="e">
        <f t="shared" si="5"/>
        <v>#REF!</v>
      </c>
      <c r="W15" s="166" t="e">
        <f t="shared" si="4"/>
        <v>#REF!</v>
      </c>
    </row>
    <row r="16" spans="1:23" x14ac:dyDescent="0.25">
      <c r="A16" s="1"/>
      <c r="B16" s="164" t="s">
        <v>118</v>
      </c>
      <c r="C16" s="165">
        <v>5438</v>
      </c>
      <c r="D16" s="165">
        <v>9210</v>
      </c>
      <c r="E16" s="165">
        <v>14706</v>
      </c>
      <c r="F16" s="165">
        <v>18119</v>
      </c>
      <c r="G16" s="165">
        <v>19830</v>
      </c>
      <c r="H16" s="165">
        <v>19971</v>
      </c>
      <c r="I16" s="180">
        <f t="shared" si="6"/>
        <v>7.110438729198254E-3</v>
      </c>
      <c r="J16" s="164">
        <f t="shared" si="1"/>
        <v>141</v>
      </c>
      <c r="K16" s="166">
        <f t="shared" si="2"/>
        <v>3.2775074466426517E-2</v>
      </c>
      <c r="N16" s="164" t="s">
        <v>118</v>
      </c>
      <c r="O16" s="165" t="e">
        <v>#REF!</v>
      </c>
      <c r="P16" s="165" t="e">
        <v>#REF!</v>
      </c>
      <c r="Q16" s="165" t="e">
        <v>#REF!</v>
      </c>
      <c r="R16" s="165" t="e">
        <v>#REF!</v>
      </c>
      <c r="S16" s="165" t="e">
        <v>#REF!</v>
      </c>
      <c r="T16" s="165" t="e">
        <v>#REF!</v>
      </c>
      <c r="U16" s="180" t="str">
        <f t="shared" si="7"/>
        <v>-</v>
      </c>
      <c r="V16" s="164" t="e">
        <f t="shared" si="5"/>
        <v>#REF!</v>
      </c>
      <c r="W16" s="166" t="e">
        <f t="shared" si="4"/>
        <v>#REF!</v>
      </c>
    </row>
    <row r="17" spans="1:23" x14ac:dyDescent="0.25">
      <c r="A17" s="1"/>
      <c r="B17" s="164" t="s">
        <v>125</v>
      </c>
      <c r="C17" s="165">
        <v>8166</v>
      </c>
      <c r="D17" s="165">
        <v>3453</v>
      </c>
      <c r="E17" s="165">
        <v>23696</v>
      </c>
      <c r="F17" s="165">
        <v>21392</v>
      </c>
      <c r="G17" s="165">
        <v>22449</v>
      </c>
      <c r="H17" s="165">
        <v>20579</v>
      </c>
      <c r="I17" s="180">
        <f t="shared" si="6"/>
        <v>-8.3299924272796089E-2</v>
      </c>
      <c r="J17" s="164">
        <f t="shared" si="1"/>
        <v>-1870</v>
      </c>
      <c r="K17" s="166">
        <f t="shared" si="2"/>
        <v>3.3772883553381969E-2</v>
      </c>
      <c r="N17" s="164" t="s">
        <v>125</v>
      </c>
      <c r="O17" s="165" t="e">
        <v>#REF!</v>
      </c>
      <c r="P17" s="165" t="e">
        <v>#REF!</v>
      </c>
      <c r="Q17" s="165" t="e">
        <v>#REF!</v>
      </c>
      <c r="R17" s="165" t="e">
        <v>#REF!</v>
      </c>
      <c r="S17" s="165" t="e">
        <v>#REF!</v>
      </c>
      <c r="T17" s="165" t="e">
        <v>#REF!</v>
      </c>
      <c r="U17" s="180" t="str">
        <f t="shared" si="7"/>
        <v>-</v>
      </c>
      <c r="V17" s="164" t="e">
        <f t="shared" si="5"/>
        <v>#REF!</v>
      </c>
      <c r="W17" s="166" t="e">
        <f t="shared" si="4"/>
        <v>#REF!</v>
      </c>
    </row>
    <row r="18" spans="1:23" x14ac:dyDescent="0.25">
      <c r="A18" s="1"/>
      <c r="B18" s="164" t="s">
        <v>121</v>
      </c>
      <c r="C18" s="165">
        <v>3282</v>
      </c>
      <c r="D18" s="165">
        <v>2026</v>
      </c>
      <c r="E18" s="165">
        <v>7138</v>
      </c>
      <c r="F18" s="165">
        <v>7392</v>
      </c>
      <c r="G18" s="165">
        <v>8548</v>
      </c>
      <c r="H18" s="165">
        <v>7607</v>
      </c>
      <c r="I18" s="180">
        <f t="shared" si="6"/>
        <v>-0.11008423022929337</v>
      </c>
      <c r="J18" s="164">
        <f t="shared" si="1"/>
        <v>-941</v>
      </c>
      <c r="K18" s="166">
        <f t="shared" si="2"/>
        <v>1.2484101520510065E-2</v>
      </c>
      <c r="N18" s="164" t="s">
        <v>121</v>
      </c>
      <c r="O18" s="165" t="e">
        <v>#REF!</v>
      </c>
      <c r="P18" s="165" t="e">
        <v>#REF!</v>
      </c>
      <c r="Q18" s="165" t="e">
        <v>#REF!</v>
      </c>
      <c r="R18" s="165" t="e">
        <v>#REF!</v>
      </c>
      <c r="S18" s="165" t="e">
        <v>#REF!</v>
      </c>
      <c r="T18" s="165" t="e">
        <v>#REF!</v>
      </c>
      <c r="U18" s="180" t="str">
        <f t="shared" si="7"/>
        <v>-</v>
      </c>
      <c r="V18" s="164" t="e">
        <f t="shared" si="5"/>
        <v>#REF!</v>
      </c>
      <c r="W18" s="166" t="e">
        <f t="shared" si="4"/>
        <v>#REF!</v>
      </c>
    </row>
    <row r="19" spans="1:23" x14ac:dyDescent="0.25">
      <c r="A19" s="163" t="s">
        <v>146</v>
      </c>
      <c r="B19" s="164" t="s">
        <v>130</v>
      </c>
      <c r="C19" s="165">
        <v>10352</v>
      </c>
      <c r="D19" s="165">
        <v>371</v>
      </c>
      <c r="E19" s="165">
        <v>11326</v>
      </c>
      <c r="F19" s="165">
        <v>14221</v>
      </c>
      <c r="G19" s="165">
        <v>12628</v>
      </c>
      <c r="H19" s="165">
        <v>12547</v>
      </c>
      <c r="I19" s="180">
        <f t="shared" si="6"/>
        <v>-6.4143173899271488E-3</v>
      </c>
      <c r="J19" s="164">
        <f t="shared" si="1"/>
        <v>-81</v>
      </c>
      <c r="K19" s="166">
        <f t="shared" si="2"/>
        <v>2.0591300352023108E-2</v>
      </c>
      <c r="N19" s="164" t="s">
        <v>130</v>
      </c>
      <c r="O19" s="165" t="e">
        <v>#REF!</v>
      </c>
      <c r="P19" s="165" t="e">
        <v>#REF!</v>
      </c>
      <c r="Q19" s="165" t="e">
        <v>#REF!</v>
      </c>
      <c r="R19" s="165" t="e">
        <v>#REF!</v>
      </c>
      <c r="S19" s="165" t="e">
        <v>#REF!</v>
      </c>
      <c r="T19" s="165" t="e">
        <v>#REF!</v>
      </c>
      <c r="U19" s="180" t="str">
        <f t="shared" si="7"/>
        <v>-</v>
      </c>
      <c r="V19" s="164" t="e">
        <f t="shared" si="5"/>
        <v>#REF!</v>
      </c>
      <c r="W19" s="166" t="e">
        <f t="shared" si="4"/>
        <v>#REF!</v>
      </c>
    </row>
    <row r="20" spans="1:23" x14ac:dyDescent="0.25">
      <c r="A20" s="168" t="s">
        <v>147</v>
      </c>
      <c r="B20" s="164" t="s">
        <v>133</v>
      </c>
      <c r="C20" s="165">
        <v>16006</v>
      </c>
      <c r="D20" s="165">
        <v>1256</v>
      </c>
      <c r="E20" s="165">
        <v>10525</v>
      </c>
      <c r="F20" s="165">
        <v>14028</v>
      </c>
      <c r="G20" s="165">
        <v>16536</v>
      </c>
      <c r="H20" s="165">
        <v>11865</v>
      </c>
      <c r="I20" s="180">
        <f t="shared" si="6"/>
        <v>-0.28247460087082732</v>
      </c>
      <c r="J20" s="164">
        <f t="shared" si="1"/>
        <v>-4671</v>
      </c>
      <c r="K20" s="166">
        <f t="shared" si="2"/>
        <v>1.9472047395931631E-2</v>
      </c>
      <c r="N20" s="164" t="s">
        <v>133</v>
      </c>
      <c r="O20" s="165" t="e">
        <v>#REF!</v>
      </c>
      <c r="P20" s="165" t="e">
        <v>#REF!</v>
      </c>
      <c r="Q20" s="165" t="e">
        <v>#REF!</v>
      </c>
      <c r="R20" s="165" t="e">
        <v>#REF!</v>
      </c>
      <c r="S20" s="165" t="e">
        <v>#REF!</v>
      </c>
      <c r="T20" s="165" t="e">
        <v>#REF!</v>
      </c>
      <c r="U20" s="180" t="str">
        <f t="shared" si="7"/>
        <v>-</v>
      </c>
      <c r="V20" s="164" t="e">
        <f t="shared" si="5"/>
        <v>#REF!</v>
      </c>
      <c r="W20" s="166" t="e">
        <f t="shared" si="4"/>
        <v>#REF!</v>
      </c>
    </row>
    <row r="21" spans="1:23" x14ac:dyDescent="0.25">
      <c r="B21" s="169" t="s">
        <v>147</v>
      </c>
      <c r="C21" s="170">
        <f t="shared" ref="C21" si="8">C13-SUM(C14:C20)</f>
        <v>59299</v>
      </c>
      <c r="D21" s="170">
        <f t="shared" ref="D21:H21" si="9">D13-SUM(D14:D20)</f>
        <v>38764</v>
      </c>
      <c r="E21" s="170">
        <f t="shared" si="9"/>
        <v>120405</v>
      </c>
      <c r="F21" s="170">
        <f t="shared" si="9"/>
        <v>136128</v>
      </c>
      <c r="G21" s="170">
        <f t="shared" si="9"/>
        <v>139978</v>
      </c>
      <c r="H21" s="170">
        <f t="shared" si="9"/>
        <v>153773</v>
      </c>
      <c r="I21" s="181">
        <f t="shared" si="6"/>
        <v>9.8551200902998959E-2</v>
      </c>
      <c r="J21" s="169">
        <f t="shared" si="1"/>
        <v>13795</v>
      </c>
      <c r="K21" s="171">
        <f t="shared" si="2"/>
        <v>0.25236200119802737</v>
      </c>
      <c r="N21" s="169" t="s">
        <v>147</v>
      </c>
      <c r="O21" s="170" t="e">
        <f t="shared" ref="O21:T21" si="10">O13-SUM(O14:O20)</f>
        <v>#REF!</v>
      </c>
      <c r="P21" s="170" t="e">
        <f t="shared" si="10"/>
        <v>#REF!</v>
      </c>
      <c r="Q21" s="170" t="e">
        <f t="shared" si="10"/>
        <v>#REF!</v>
      </c>
      <c r="R21" s="170" t="e">
        <f t="shared" si="10"/>
        <v>#REF!</v>
      </c>
      <c r="S21" s="170" t="e">
        <f t="shared" si="10"/>
        <v>#REF!</v>
      </c>
      <c r="T21" s="170" t="e">
        <f t="shared" si="10"/>
        <v>#REF!</v>
      </c>
      <c r="U21" s="181" t="str">
        <f t="shared" si="7"/>
        <v>-</v>
      </c>
      <c r="V21" s="169" t="e">
        <f>T21-S21</f>
        <v>#REF!</v>
      </c>
      <c r="W21" s="171" t="e">
        <f t="shared" si="4"/>
        <v>#REF!</v>
      </c>
    </row>
    <row r="22" spans="1:23" x14ac:dyDescent="0.25">
      <c r="B22" s="156" t="s">
        <v>46</v>
      </c>
      <c r="C22" s="154"/>
      <c r="D22" s="154"/>
      <c r="E22" s="154"/>
      <c r="F22" s="154"/>
      <c r="G22" s="154"/>
      <c r="H22" s="154"/>
      <c r="I22" s="155"/>
      <c r="J22" s="155"/>
      <c r="K22" s="154"/>
    </row>
    <row r="23" spans="1:23" x14ac:dyDescent="0.25">
      <c r="B23" s="157" t="s">
        <v>70</v>
      </c>
      <c r="C23" s="177">
        <f t="shared" ref="C23:H23" si="11">C24+C27</f>
        <v>64346</v>
      </c>
      <c r="D23" s="177">
        <f t="shared" si="11"/>
        <v>36673</v>
      </c>
      <c r="E23" s="177">
        <f t="shared" si="11"/>
        <v>114534</v>
      </c>
      <c r="F23" s="177">
        <f t="shared" si="11"/>
        <v>164897</v>
      </c>
      <c r="G23" s="177">
        <f t="shared" si="11"/>
        <v>176901</v>
      </c>
      <c r="H23" s="177">
        <f t="shared" si="11"/>
        <v>182254</v>
      </c>
      <c r="I23" s="178">
        <f>IFERROR(H23/G23-1,"-")</f>
        <v>3.0259862861148346E-2</v>
      </c>
      <c r="J23" s="177">
        <f>H23-G23</f>
        <v>5353</v>
      </c>
      <c r="K23" s="178">
        <f t="shared" ref="K23:K35" si="12">H23/H$9</f>
        <v>0.29910312061509681</v>
      </c>
    </row>
    <row r="24" spans="1:23" x14ac:dyDescent="0.25">
      <c r="B24" s="160" t="s">
        <v>99</v>
      </c>
      <c r="C24" s="161">
        <v>3630</v>
      </c>
      <c r="D24" s="161">
        <v>20337</v>
      </c>
      <c r="E24" s="161">
        <v>13840</v>
      </c>
      <c r="F24" s="161">
        <v>17390</v>
      </c>
      <c r="G24" s="161">
        <v>15159</v>
      </c>
      <c r="H24" s="161">
        <v>14333</v>
      </c>
      <c r="I24" s="179">
        <f>IFERROR(H24/G24-1,"-")</f>
        <v>-5.448908239329775E-2</v>
      </c>
      <c r="J24" s="160">
        <f t="shared" ref="J24:J34" si="13">H24-G24</f>
        <v>-826</v>
      </c>
      <c r="K24" s="162">
        <f t="shared" si="12"/>
        <v>2.3522364544954745E-2</v>
      </c>
    </row>
    <row r="25" spans="1:23" x14ac:dyDescent="0.25">
      <c r="B25" s="164" t="s">
        <v>105</v>
      </c>
      <c r="C25" s="165">
        <v>2906</v>
      </c>
      <c r="D25" s="165">
        <v>16377</v>
      </c>
      <c r="E25" s="165">
        <v>8204</v>
      </c>
      <c r="F25" s="165">
        <v>9160</v>
      </c>
      <c r="G25" s="165">
        <v>7687</v>
      </c>
      <c r="H25" s="165">
        <v>5327</v>
      </c>
      <c r="I25" s="180">
        <f>IFERROR(H25/G25-1,"-")</f>
        <v>-0.3070118381683361</v>
      </c>
      <c r="J25" s="164">
        <f t="shared" si="13"/>
        <v>-2360</v>
      </c>
      <c r="K25" s="166">
        <f t="shared" si="12"/>
        <v>8.7423174444271213E-3</v>
      </c>
    </row>
    <row r="26" spans="1:23" x14ac:dyDescent="0.25">
      <c r="B26" s="164" t="s">
        <v>102</v>
      </c>
      <c r="C26" s="165">
        <v>724</v>
      </c>
      <c r="D26" s="165">
        <v>3960</v>
      </c>
      <c r="E26" s="165">
        <v>5636</v>
      </c>
      <c r="F26" s="165">
        <v>8230</v>
      </c>
      <c r="G26" s="165">
        <v>7472</v>
      </c>
      <c r="H26" s="165">
        <v>9006</v>
      </c>
      <c r="I26" s="180">
        <f>IFERROR(H26/G26-1,"-")</f>
        <v>0.20529978586723763</v>
      </c>
      <c r="J26" s="164">
        <f t="shared" si="13"/>
        <v>1534</v>
      </c>
      <c r="K26" s="166">
        <f t="shared" si="12"/>
        <v>1.4780047100527624E-2</v>
      </c>
    </row>
    <row r="27" spans="1:23" x14ac:dyDescent="0.25">
      <c r="B27" s="160" t="s">
        <v>109</v>
      </c>
      <c r="C27" s="161">
        <v>60716</v>
      </c>
      <c r="D27" s="161">
        <v>16336</v>
      </c>
      <c r="E27" s="161">
        <v>100694</v>
      </c>
      <c r="F27" s="161">
        <v>147507</v>
      </c>
      <c r="G27" s="161">
        <v>161742</v>
      </c>
      <c r="H27" s="161">
        <v>167921</v>
      </c>
      <c r="I27" s="179">
        <f>IFERROR(H27/G27-1,"-")</f>
        <v>3.8202816831744313E-2</v>
      </c>
      <c r="J27" s="160">
        <f t="shared" si="13"/>
        <v>6179</v>
      </c>
      <c r="K27" s="162">
        <f t="shared" si="12"/>
        <v>0.27558075607014204</v>
      </c>
    </row>
    <row r="28" spans="1:23" x14ac:dyDescent="0.25">
      <c r="B28" s="164" t="s">
        <v>112</v>
      </c>
      <c r="C28" s="165">
        <v>32787</v>
      </c>
      <c r="D28" s="165">
        <v>1599</v>
      </c>
      <c r="E28" s="165">
        <v>49539</v>
      </c>
      <c r="F28" s="165">
        <v>81047</v>
      </c>
      <c r="G28" s="165">
        <v>93632</v>
      </c>
      <c r="H28" s="165">
        <v>100511</v>
      </c>
      <c r="I28" s="180">
        <f t="shared" ref="I28:I35" si="14">IFERROR(H28/G28-1,"-")</f>
        <v>7.3468472317156586E-2</v>
      </c>
      <c r="J28" s="164">
        <f t="shared" si="13"/>
        <v>6879</v>
      </c>
      <c r="K28" s="166">
        <f t="shared" si="12"/>
        <v>0.16495195582068978</v>
      </c>
    </row>
    <row r="29" spans="1:23" x14ac:dyDescent="0.25">
      <c r="B29" s="164" t="s">
        <v>115</v>
      </c>
      <c r="C29" s="165">
        <v>5288</v>
      </c>
      <c r="D29" s="165">
        <v>1941</v>
      </c>
      <c r="E29" s="165">
        <v>6635</v>
      </c>
      <c r="F29" s="165">
        <v>7480</v>
      </c>
      <c r="G29" s="165">
        <v>8225</v>
      </c>
      <c r="H29" s="165">
        <v>7645</v>
      </c>
      <c r="I29" s="180">
        <f t="shared" si="14"/>
        <v>-7.0516717325228018E-2</v>
      </c>
      <c r="J29" s="164">
        <f t="shared" si="13"/>
        <v>-580</v>
      </c>
      <c r="K29" s="166">
        <f t="shared" si="12"/>
        <v>1.2546464588444779E-2</v>
      </c>
    </row>
    <row r="30" spans="1:23" x14ac:dyDescent="0.25">
      <c r="B30" s="164" t="s">
        <v>118</v>
      </c>
      <c r="C30" s="165">
        <v>1832</v>
      </c>
      <c r="D30" s="165">
        <v>2410</v>
      </c>
      <c r="E30" s="165">
        <v>4805</v>
      </c>
      <c r="F30" s="165">
        <v>7642</v>
      </c>
      <c r="G30" s="165">
        <v>9164</v>
      </c>
      <c r="H30" s="165">
        <v>5744</v>
      </c>
      <c r="I30" s="180">
        <f t="shared" si="14"/>
        <v>-0.37319947621126148</v>
      </c>
      <c r="J30" s="164">
        <f t="shared" si="13"/>
        <v>-3420</v>
      </c>
      <c r="K30" s="166">
        <f t="shared" si="12"/>
        <v>9.4266700583422909E-3</v>
      </c>
    </row>
    <row r="31" spans="1:23" x14ac:dyDescent="0.25">
      <c r="B31" s="164" t="s">
        <v>125</v>
      </c>
      <c r="C31" s="165">
        <v>2275</v>
      </c>
      <c r="D31" s="165">
        <v>864</v>
      </c>
      <c r="E31" s="165">
        <v>5793</v>
      </c>
      <c r="F31" s="165">
        <v>6454</v>
      </c>
      <c r="G31" s="165">
        <v>5330</v>
      </c>
      <c r="H31" s="165">
        <v>4986</v>
      </c>
      <c r="I31" s="180">
        <f t="shared" si="14"/>
        <v>-6.4540337711069373E-2</v>
      </c>
      <c r="J31" s="164">
        <f t="shared" si="13"/>
        <v>-344</v>
      </c>
      <c r="K31" s="166">
        <f t="shared" si="12"/>
        <v>8.1826909663813823E-3</v>
      </c>
    </row>
    <row r="32" spans="1:23" x14ac:dyDescent="0.25">
      <c r="B32" s="164" t="s">
        <v>121</v>
      </c>
      <c r="C32" s="165">
        <v>1200</v>
      </c>
      <c r="D32" s="165">
        <v>809</v>
      </c>
      <c r="E32" s="165">
        <v>2390</v>
      </c>
      <c r="F32" s="165">
        <v>2533</v>
      </c>
      <c r="G32" s="165">
        <v>2649</v>
      </c>
      <c r="H32" s="165">
        <v>2395</v>
      </c>
      <c r="I32" s="180">
        <f t="shared" si="14"/>
        <v>-9.5885239713099257E-2</v>
      </c>
      <c r="J32" s="164">
        <f t="shared" si="13"/>
        <v>-254</v>
      </c>
      <c r="K32" s="166">
        <f t="shared" si="12"/>
        <v>3.9305144132537927E-3</v>
      </c>
    </row>
    <row r="33" spans="2:11" x14ac:dyDescent="0.25">
      <c r="B33" s="164" t="s">
        <v>130</v>
      </c>
      <c r="C33" s="165">
        <v>1994</v>
      </c>
      <c r="D33" s="165">
        <v>42</v>
      </c>
      <c r="E33" s="165">
        <v>1391</v>
      </c>
      <c r="F33" s="165">
        <v>2350</v>
      </c>
      <c r="G33" s="165">
        <v>1758</v>
      </c>
      <c r="H33" s="165">
        <v>2156</v>
      </c>
      <c r="I33" s="180">
        <f t="shared" si="14"/>
        <v>0.22639362912400451</v>
      </c>
      <c r="J33" s="164">
        <f t="shared" si="13"/>
        <v>398</v>
      </c>
      <c r="K33" s="166">
        <f t="shared" si="12"/>
        <v>3.5382835386117651E-3</v>
      </c>
    </row>
    <row r="34" spans="2:11" x14ac:dyDescent="0.25">
      <c r="B34" s="164" t="s">
        <v>133</v>
      </c>
      <c r="C34" s="165">
        <v>1701</v>
      </c>
      <c r="D34" s="165">
        <v>137</v>
      </c>
      <c r="E34" s="165">
        <v>824</v>
      </c>
      <c r="F34" s="165">
        <v>1933</v>
      </c>
      <c r="G34" s="165">
        <v>2136</v>
      </c>
      <c r="H34" s="165">
        <v>1217</v>
      </c>
      <c r="I34" s="180">
        <f t="shared" si="14"/>
        <v>-0.43024344569288386</v>
      </c>
      <c r="J34" s="164">
        <f t="shared" si="13"/>
        <v>-919</v>
      </c>
      <c r="K34" s="166">
        <f t="shared" si="12"/>
        <v>1.9972593072776061E-3</v>
      </c>
    </row>
    <row r="35" spans="2:11" x14ac:dyDescent="0.25">
      <c r="B35" s="169" t="s">
        <v>147</v>
      </c>
      <c r="C35" s="170">
        <f t="shared" ref="C35" si="15">C27-SUM(C28:C34)</f>
        <v>13639</v>
      </c>
      <c r="D35" s="170">
        <f t="shared" ref="D35:H35" si="16">D27-SUM(D28:D34)</f>
        <v>8534</v>
      </c>
      <c r="E35" s="170">
        <f t="shared" si="16"/>
        <v>29317</v>
      </c>
      <c r="F35" s="170">
        <f t="shared" si="16"/>
        <v>38068</v>
      </c>
      <c r="G35" s="170">
        <f t="shared" si="16"/>
        <v>38848</v>
      </c>
      <c r="H35" s="170">
        <f t="shared" si="16"/>
        <v>43267</v>
      </c>
      <c r="I35" s="181">
        <f t="shared" si="14"/>
        <v>0.11375102965403627</v>
      </c>
      <c r="J35" s="169">
        <f>H35-G35</f>
        <v>4419</v>
      </c>
      <c r="K35" s="171">
        <f t="shared" si="12"/>
        <v>7.1006917377140655E-2</v>
      </c>
    </row>
    <row r="36" spans="2:11" x14ac:dyDescent="0.25">
      <c r="B36" s="156" t="s">
        <v>47</v>
      </c>
      <c r="C36" s="154"/>
      <c r="D36" s="154"/>
      <c r="E36" s="154"/>
      <c r="F36" s="154"/>
      <c r="G36" s="154"/>
      <c r="H36" s="154"/>
      <c r="I36" s="155"/>
      <c r="J36" s="155"/>
      <c r="K36" s="154"/>
    </row>
    <row r="37" spans="2:11" x14ac:dyDescent="0.25">
      <c r="B37" s="157" t="s">
        <v>70</v>
      </c>
      <c r="C37" s="177">
        <f t="shared" ref="C37:H37" si="17">C38+C41</f>
        <v>102171</v>
      </c>
      <c r="D37" s="177">
        <f t="shared" si="17"/>
        <v>57402</v>
      </c>
      <c r="E37" s="177">
        <f t="shared" si="17"/>
        <v>233221</v>
      </c>
      <c r="F37" s="177">
        <f t="shared" si="17"/>
        <v>246803</v>
      </c>
      <c r="G37" s="177">
        <f t="shared" si="17"/>
        <v>262119</v>
      </c>
      <c r="H37" s="177">
        <f t="shared" si="17"/>
        <v>268519</v>
      </c>
      <c r="I37" s="178">
        <f>IFERROR(H37/G37-1,"-")</f>
        <v>2.4416391028502238E-2</v>
      </c>
      <c r="J37" s="177">
        <f>H37-G37</f>
        <v>6400</v>
      </c>
      <c r="K37" s="178">
        <f t="shared" ref="K37:K49" si="18">H37/H$9</f>
        <v>0.440675490493735</v>
      </c>
    </row>
    <row r="38" spans="2:11" x14ac:dyDescent="0.25">
      <c r="B38" s="160" t="s">
        <v>99</v>
      </c>
      <c r="C38" s="161">
        <v>4287</v>
      </c>
      <c r="D38" s="161">
        <v>20177</v>
      </c>
      <c r="E38" s="161">
        <v>16892</v>
      </c>
      <c r="F38" s="161">
        <v>14685</v>
      </c>
      <c r="G38" s="161">
        <v>13793</v>
      </c>
      <c r="H38" s="161">
        <v>15526</v>
      </c>
      <c r="I38" s="179">
        <f>IFERROR(H38/G38-1,"-")</f>
        <v>0.12564344232581748</v>
      </c>
      <c r="J38" s="160">
        <f t="shared" ref="J38:J48" si="19">H38-G38</f>
        <v>1733</v>
      </c>
      <c r="K38" s="162">
        <f t="shared" si="18"/>
        <v>2.5480236651431478E-2</v>
      </c>
    </row>
    <row r="39" spans="2:11" x14ac:dyDescent="0.25">
      <c r="B39" s="164" t="s">
        <v>105</v>
      </c>
      <c r="C39" s="165">
        <v>3014</v>
      </c>
      <c r="D39" s="165">
        <v>17687</v>
      </c>
      <c r="E39" s="165">
        <v>12004</v>
      </c>
      <c r="F39" s="165">
        <v>9410</v>
      </c>
      <c r="G39" s="165">
        <v>7013</v>
      </c>
      <c r="H39" s="165">
        <v>7988</v>
      </c>
      <c r="I39" s="180">
        <f>IFERROR(H39/G39-1,"-")</f>
        <v>0.13902752031940691</v>
      </c>
      <c r="J39" s="164">
        <f t="shared" si="19"/>
        <v>975</v>
      </c>
      <c r="K39" s="166">
        <f t="shared" si="18"/>
        <v>1.3109373333223925E-2</v>
      </c>
    </row>
    <row r="40" spans="2:11" x14ac:dyDescent="0.25">
      <c r="B40" s="164" t="s">
        <v>102</v>
      </c>
      <c r="C40" s="165">
        <v>1273</v>
      </c>
      <c r="D40" s="165">
        <v>2490</v>
      </c>
      <c r="E40" s="165">
        <v>4888</v>
      </c>
      <c r="F40" s="165">
        <v>5275</v>
      </c>
      <c r="G40" s="165">
        <v>6780</v>
      </c>
      <c r="H40" s="165">
        <v>7538</v>
      </c>
      <c r="I40" s="180">
        <f>IFERROR(H40/G40-1,"-")</f>
        <v>0.11179941002949856</v>
      </c>
      <c r="J40" s="164">
        <f t="shared" si="19"/>
        <v>758</v>
      </c>
      <c r="K40" s="166">
        <f t="shared" si="18"/>
        <v>1.2370863318207553E-2</v>
      </c>
    </row>
    <row r="41" spans="2:11" x14ac:dyDescent="0.25">
      <c r="B41" s="160" t="s">
        <v>109</v>
      </c>
      <c r="C41" s="161">
        <v>97884</v>
      </c>
      <c r="D41" s="161">
        <v>37225</v>
      </c>
      <c r="E41" s="161">
        <v>216329</v>
      </c>
      <c r="F41" s="161">
        <v>232118</v>
      </c>
      <c r="G41" s="161">
        <v>248326</v>
      </c>
      <c r="H41" s="161">
        <v>252993</v>
      </c>
      <c r="I41" s="179">
        <f>IFERROR(H41/G41-1,"-")</f>
        <v>1.8793843576588865E-2</v>
      </c>
      <c r="J41" s="160">
        <f t="shared" si="19"/>
        <v>4667</v>
      </c>
      <c r="K41" s="162">
        <f t="shared" si="18"/>
        <v>0.41519525384230349</v>
      </c>
    </row>
    <row r="42" spans="2:11" x14ac:dyDescent="0.25">
      <c r="B42" s="164" t="s">
        <v>112</v>
      </c>
      <c r="C42" s="165">
        <v>40531</v>
      </c>
      <c r="D42" s="165">
        <v>1878</v>
      </c>
      <c r="E42" s="165">
        <v>105168</v>
      </c>
      <c r="F42" s="165">
        <v>121801</v>
      </c>
      <c r="G42" s="165">
        <v>133474</v>
      </c>
      <c r="H42" s="165">
        <v>137087</v>
      </c>
      <c r="I42" s="180">
        <f t="shared" ref="I42:I49" si="20">IFERROR(H42/G42-1,"-")</f>
        <v>2.706894226590939E-2</v>
      </c>
      <c r="J42" s="164">
        <f t="shared" si="19"/>
        <v>3613</v>
      </c>
      <c r="K42" s="166">
        <f t="shared" si="18"/>
        <v>0.22497804984122036</v>
      </c>
    </row>
    <row r="43" spans="2:11" x14ac:dyDescent="0.25">
      <c r="B43" s="164" t="s">
        <v>115</v>
      </c>
      <c r="C43" s="165">
        <v>3224</v>
      </c>
      <c r="D43" s="165">
        <v>2501</v>
      </c>
      <c r="E43" s="165">
        <v>5695</v>
      </c>
      <c r="F43" s="165">
        <v>5511</v>
      </c>
      <c r="G43" s="165">
        <v>6343</v>
      </c>
      <c r="H43" s="165">
        <v>7562</v>
      </c>
      <c r="I43" s="180">
        <f t="shared" si="20"/>
        <v>0.19218035629828156</v>
      </c>
      <c r="J43" s="164">
        <f t="shared" si="19"/>
        <v>1219</v>
      </c>
      <c r="K43" s="166">
        <f t="shared" si="18"/>
        <v>1.2410250519008428E-2</v>
      </c>
    </row>
    <row r="44" spans="2:11" x14ac:dyDescent="0.25">
      <c r="B44" s="164" t="s">
        <v>118</v>
      </c>
      <c r="C44" s="165">
        <v>1607</v>
      </c>
      <c r="D44" s="165">
        <v>4544</v>
      </c>
      <c r="E44" s="165">
        <v>4855</v>
      </c>
      <c r="F44" s="165">
        <v>4647</v>
      </c>
      <c r="G44" s="165">
        <v>4991</v>
      </c>
      <c r="H44" s="165">
        <v>4998</v>
      </c>
      <c r="I44" s="180">
        <f t="shared" si="20"/>
        <v>1.4025245441795509E-3</v>
      </c>
      <c r="J44" s="164">
        <f t="shared" si="19"/>
        <v>7</v>
      </c>
      <c r="K44" s="166">
        <f t="shared" si="18"/>
        <v>8.2023845667818195E-3</v>
      </c>
    </row>
    <row r="45" spans="2:11" x14ac:dyDescent="0.25">
      <c r="B45" s="164" t="s">
        <v>125</v>
      </c>
      <c r="C45" s="165">
        <v>5044</v>
      </c>
      <c r="D45" s="165">
        <v>2233</v>
      </c>
      <c r="E45" s="165">
        <v>14063</v>
      </c>
      <c r="F45" s="165">
        <v>11621</v>
      </c>
      <c r="G45" s="165">
        <v>12517</v>
      </c>
      <c r="H45" s="165">
        <v>11420</v>
      </c>
      <c r="I45" s="180">
        <f t="shared" si="20"/>
        <v>-8.7640808500439427E-2</v>
      </c>
      <c r="J45" s="164">
        <f t="shared" si="19"/>
        <v>-1097</v>
      </c>
      <c r="K45" s="166">
        <f t="shared" si="18"/>
        <v>1.8741743047748775E-2</v>
      </c>
    </row>
    <row r="46" spans="2:11" x14ac:dyDescent="0.25">
      <c r="B46" s="164" t="s">
        <v>121</v>
      </c>
      <c r="C46" s="165">
        <v>1457</v>
      </c>
      <c r="D46" s="165">
        <v>1002</v>
      </c>
      <c r="E46" s="165">
        <v>3535</v>
      </c>
      <c r="F46" s="165">
        <v>3592</v>
      </c>
      <c r="G46" s="165">
        <v>4474</v>
      </c>
      <c r="H46" s="165">
        <v>4035</v>
      </c>
      <c r="I46" s="180">
        <f t="shared" si="20"/>
        <v>-9.812248547161373E-2</v>
      </c>
      <c r="J46" s="164">
        <f t="shared" si="19"/>
        <v>-439</v>
      </c>
      <c r="K46" s="166">
        <f t="shared" si="18"/>
        <v>6.6219731346467874E-3</v>
      </c>
    </row>
    <row r="47" spans="2:11" x14ac:dyDescent="0.25">
      <c r="B47" s="164" t="s">
        <v>130</v>
      </c>
      <c r="C47" s="165">
        <v>6272</v>
      </c>
      <c r="D47" s="165">
        <v>246</v>
      </c>
      <c r="E47" s="165">
        <v>7787</v>
      </c>
      <c r="F47" s="165">
        <v>8494</v>
      </c>
      <c r="G47" s="165">
        <v>8095</v>
      </c>
      <c r="H47" s="165">
        <v>7332</v>
      </c>
      <c r="I47" s="180">
        <f t="shared" si="20"/>
        <v>-9.4255713403335384E-2</v>
      </c>
      <c r="J47" s="164">
        <f t="shared" si="19"/>
        <v>-763</v>
      </c>
      <c r="K47" s="166">
        <f t="shared" si="18"/>
        <v>1.2032789844666728E-2</v>
      </c>
    </row>
    <row r="48" spans="2:11" x14ac:dyDescent="0.25">
      <c r="B48" s="164" t="s">
        <v>133</v>
      </c>
      <c r="C48" s="165">
        <v>10629</v>
      </c>
      <c r="D48" s="165">
        <v>906</v>
      </c>
      <c r="E48" s="165">
        <v>7580</v>
      </c>
      <c r="F48" s="165">
        <v>8474</v>
      </c>
      <c r="G48" s="165">
        <v>9452</v>
      </c>
      <c r="H48" s="165">
        <v>6950</v>
      </c>
      <c r="I48" s="180">
        <f t="shared" si="20"/>
        <v>-0.26470588235294112</v>
      </c>
      <c r="J48" s="164">
        <f t="shared" si="19"/>
        <v>-2502</v>
      </c>
      <c r="K48" s="166">
        <f t="shared" si="18"/>
        <v>1.1405876898586164E-2</v>
      </c>
    </row>
    <row r="49" spans="2:11" x14ac:dyDescent="0.25">
      <c r="B49" s="169" t="s">
        <v>147</v>
      </c>
      <c r="C49" s="170">
        <f t="shared" ref="C49" si="21">C41-SUM(C42:C48)</f>
        <v>29120</v>
      </c>
      <c r="D49" s="170">
        <f t="shared" ref="D49:H49" si="22">D41-SUM(D42:D48)</f>
        <v>23915</v>
      </c>
      <c r="E49" s="170">
        <f t="shared" si="22"/>
        <v>67646</v>
      </c>
      <c r="F49" s="170">
        <f t="shared" si="22"/>
        <v>67978</v>
      </c>
      <c r="G49" s="170">
        <f t="shared" si="22"/>
        <v>68980</v>
      </c>
      <c r="H49" s="170">
        <f t="shared" si="22"/>
        <v>73609</v>
      </c>
      <c r="I49" s="181">
        <f t="shared" si="20"/>
        <v>6.7106407654392575E-2</v>
      </c>
      <c r="J49" s="169">
        <f>H49-G49</f>
        <v>4629</v>
      </c>
      <c r="K49" s="171">
        <f t="shared" si="18"/>
        <v>0.12080218598964444</v>
      </c>
    </row>
    <row r="50" spans="2:11" x14ac:dyDescent="0.25">
      <c r="B50" s="156" t="s">
        <v>48</v>
      </c>
      <c r="C50" s="154"/>
      <c r="D50" s="154"/>
      <c r="E50" s="154"/>
      <c r="F50" s="154"/>
      <c r="G50" s="154"/>
      <c r="H50" s="154"/>
      <c r="I50" s="155"/>
      <c r="J50" s="155"/>
      <c r="K50" s="154"/>
    </row>
    <row r="51" spans="2:11" x14ac:dyDescent="0.25">
      <c r="B51" s="157" t="s">
        <v>70</v>
      </c>
      <c r="C51" s="177">
        <f t="shared" ref="C51:H51" si="23">IFERROR(C52+C55,"nd")</f>
        <v>1878</v>
      </c>
      <c r="D51" s="177">
        <f t="shared" si="23"/>
        <v>0</v>
      </c>
      <c r="E51" s="177">
        <f t="shared" si="23"/>
        <v>0</v>
      </c>
      <c r="F51" s="177">
        <f t="shared" si="23"/>
        <v>0</v>
      </c>
      <c r="G51" s="177">
        <f t="shared" si="23"/>
        <v>0</v>
      </c>
      <c r="H51" s="177">
        <f t="shared" si="23"/>
        <v>0</v>
      </c>
      <c r="I51" s="178" t="str">
        <f>IFERROR(H51/G51-1,"-")</f>
        <v>-</v>
      </c>
      <c r="J51" s="177">
        <f>H51-G51</f>
        <v>0</v>
      </c>
      <c r="K51" s="178">
        <f t="shared" ref="K51:K63" si="24">H51/H$9</f>
        <v>0</v>
      </c>
    </row>
    <row r="52" spans="2:11" x14ac:dyDescent="0.25">
      <c r="B52" s="160" t="s">
        <v>99</v>
      </c>
      <c r="C52" s="161">
        <v>350</v>
      </c>
      <c r="D52" s="161">
        <v>0</v>
      </c>
      <c r="E52" s="161">
        <v>0</v>
      </c>
      <c r="F52" s="161">
        <v>0</v>
      </c>
      <c r="G52" s="161">
        <v>0</v>
      </c>
      <c r="H52" s="161">
        <v>0</v>
      </c>
      <c r="I52" s="179" t="str">
        <f>IFERROR(H52/G52-1,"-")</f>
        <v>-</v>
      </c>
      <c r="J52" s="160">
        <f t="shared" ref="J52:J62" si="25">H52-G52</f>
        <v>0</v>
      </c>
      <c r="K52" s="162">
        <f t="shared" si="24"/>
        <v>0</v>
      </c>
    </row>
    <row r="53" spans="2:11" x14ac:dyDescent="0.25">
      <c r="B53" s="164" t="s">
        <v>105</v>
      </c>
      <c r="C53" s="165">
        <v>171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80" t="str">
        <f>IFERROR(H53/G53-1,"-")</f>
        <v>-</v>
      </c>
      <c r="J53" s="164">
        <f t="shared" si="25"/>
        <v>0</v>
      </c>
      <c r="K53" s="166">
        <f t="shared" si="24"/>
        <v>0</v>
      </c>
    </row>
    <row r="54" spans="2:11" x14ac:dyDescent="0.25">
      <c r="B54" s="164" t="s">
        <v>102</v>
      </c>
      <c r="C54" s="165">
        <v>179</v>
      </c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80" t="str">
        <f>IFERROR(H54/G54-1,"-")</f>
        <v>-</v>
      </c>
      <c r="J54" s="164">
        <f t="shared" si="25"/>
        <v>0</v>
      </c>
      <c r="K54" s="166">
        <f t="shared" si="24"/>
        <v>0</v>
      </c>
    </row>
    <row r="55" spans="2:11" x14ac:dyDescent="0.25">
      <c r="B55" s="160" t="s">
        <v>109</v>
      </c>
      <c r="C55" s="161">
        <v>1528</v>
      </c>
      <c r="D55" s="161">
        <v>0</v>
      </c>
      <c r="E55" s="161">
        <v>0</v>
      </c>
      <c r="F55" s="161">
        <v>0</v>
      </c>
      <c r="G55" s="161">
        <v>0</v>
      </c>
      <c r="H55" s="161">
        <v>0</v>
      </c>
      <c r="I55" s="179" t="str">
        <f>IFERROR(H55/G55-1,"-")</f>
        <v>-</v>
      </c>
      <c r="J55" s="160">
        <f t="shared" si="25"/>
        <v>0</v>
      </c>
      <c r="K55" s="162">
        <f t="shared" si="24"/>
        <v>0</v>
      </c>
    </row>
    <row r="56" spans="2:11" x14ac:dyDescent="0.25">
      <c r="B56" s="164" t="s">
        <v>112</v>
      </c>
      <c r="C56" s="165">
        <v>596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80" t="str">
        <f t="shared" ref="I56:I63" si="26">IFERROR(H56/G56-1,"-")</f>
        <v>-</v>
      </c>
      <c r="J56" s="164">
        <f t="shared" si="25"/>
        <v>0</v>
      </c>
      <c r="K56" s="166">
        <f t="shared" si="24"/>
        <v>0</v>
      </c>
    </row>
    <row r="57" spans="2:11" x14ac:dyDescent="0.25">
      <c r="B57" s="164" t="s">
        <v>115</v>
      </c>
      <c r="C57" s="165">
        <v>89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80" t="str">
        <f t="shared" si="26"/>
        <v>-</v>
      </c>
      <c r="J57" s="164">
        <f t="shared" si="25"/>
        <v>0</v>
      </c>
      <c r="K57" s="166">
        <f t="shared" si="24"/>
        <v>0</v>
      </c>
    </row>
    <row r="58" spans="2:11" x14ac:dyDescent="0.25">
      <c r="B58" s="164" t="s">
        <v>118</v>
      </c>
      <c r="C58" s="165">
        <v>56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180" t="str">
        <f t="shared" si="26"/>
        <v>-</v>
      </c>
      <c r="J58" s="164">
        <f t="shared" si="25"/>
        <v>0</v>
      </c>
      <c r="K58" s="166">
        <f t="shared" si="24"/>
        <v>0</v>
      </c>
    </row>
    <row r="59" spans="2:11" x14ac:dyDescent="0.25">
      <c r="B59" s="164" t="s">
        <v>125</v>
      </c>
      <c r="C59" s="165">
        <v>13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  <c r="I59" s="180" t="str">
        <f t="shared" si="26"/>
        <v>-</v>
      </c>
      <c r="J59" s="164">
        <f t="shared" si="25"/>
        <v>0</v>
      </c>
      <c r="K59" s="166">
        <f t="shared" si="24"/>
        <v>0</v>
      </c>
    </row>
    <row r="60" spans="2:11" x14ac:dyDescent="0.25">
      <c r="B60" s="164" t="s">
        <v>121</v>
      </c>
      <c r="C60" s="165">
        <v>52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180" t="str">
        <f t="shared" si="26"/>
        <v>-</v>
      </c>
      <c r="J60" s="164">
        <f t="shared" si="25"/>
        <v>0</v>
      </c>
      <c r="K60" s="166">
        <f t="shared" si="24"/>
        <v>0</v>
      </c>
    </row>
    <row r="61" spans="2:11" x14ac:dyDescent="0.25">
      <c r="B61" s="164" t="s">
        <v>130</v>
      </c>
      <c r="C61" s="165">
        <v>60</v>
      </c>
      <c r="D61" s="165">
        <v>0</v>
      </c>
      <c r="E61" s="165">
        <v>0</v>
      </c>
      <c r="F61" s="165">
        <v>0</v>
      </c>
      <c r="G61" s="165">
        <v>0</v>
      </c>
      <c r="H61" s="165">
        <v>0</v>
      </c>
      <c r="I61" s="180" t="str">
        <f t="shared" si="26"/>
        <v>-</v>
      </c>
      <c r="J61" s="164">
        <f t="shared" si="25"/>
        <v>0</v>
      </c>
      <c r="K61" s="166">
        <f t="shared" si="24"/>
        <v>0</v>
      </c>
    </row>
    <row r="62" spans="2:11" x14ac:dyDescent="0.25">
      <c r="B62" s="164" t="s">
        <v>133</v>
      </c>
      <c r="C62" s="165">
        <v>96</v>
      </c>
      <c r="D62" s="165">
        <v>0</v>
      </c>
      <c r="E62" s="165">
        <v>0</v>
      </c>
      <c r="F62" s="165">
        <v>0</v>
      </c>
      <c r="G62" s="165">
        <v>0</v>
      </c>
      <c r="H62" s="165">
        <v>0</v>
      </c>
      <c r="I62" s="180" t="str">
        <f t="shared" si="26"/>
        <v>-</v>
      </c>
      <c r="J62" s="164">
        <f t="shared" si="25"/>
        <v>0</v>
      </c>
      <c r="K62" s="166">
        <f t="shared" si="24"/>
        <v>0</v>
      </c>
    </row>
    <row r="63" spans="2:11" x14ac:dyDescent="0.25">
      <c r="B63" s="169" t="s">
        <v>147</v>
      </c>
      <c r="C63" s="170">
        <f t="shared" ref="C63:H63" si="27">IFERROR(C55-SUM(C56:C62),"nd")</f>
        <v>566</v>
      </c>
      <c r="D63" s="170">
        <f t="shared" si="27"/>
        <v>0</v>
      </c>
      <c r="E63" s="170">
        <f t="shared" si="27"/>
        <v>0</v>
      </c>
      <c r="F63" s="170">
        <f t="shared" si="27"/>
        <v>0</v>
      </c>
      <c r="G63" s="170">
        <f t="shared" si="27"/>
        <v>0</v>
      </c>
      <c r="H63" s="170">
        <f t="shared" si="27"/>
        <v>0</v>
      </c>
      <c r="I63" s="181" t="str">
        <f t="shared" si="26"/>
        <v>-</v>
      </c>
      <c r="J63" s="169">
        <f>H63-G63</f>
        <v>0</v>
      </c>
      <c r="K63" s="171">
        <f t="shared" si="24"/>
        <v>0</v>
      </c>
    </row>
    <row r="64" spans="2:11" x14ac:dyDescent="0.25">
      <c r="B64" s="156" t="s">
        <v>49</v>
      </c>
      <c r="C64" s="154"/>
      <c r="D64" s="154"/>
      <c r="E64" s="154"/>
      <c r="F64" s="154"/>
      <c r="G64" s="154"/>
      <c r="H64" s="154"/>
      <c r="I64" s="155"/>
      <c r="J64" s="155"/>
      <c r="K64" s="154"/>
    </row>
    <row r="65" spans="2:11" x14ac:dyDescent="0.25">
      <c r="B65" s="157" t="s">
        <v>70</v>
      </c>
      <c r="C65" s="177" t="str">
        <f t="shared" ref="C65:H65" si="28">IFERROR(C66+C69,"nd")</f>
        <v>nd</v>
      </c>
      <c r="D65" s="177" t="str">
        <f t="shared" si="28"/>
        <v>nd</v>
      </c>
      <c r="E65" s="177" t="str">
        <f t="shared" si="28"/>
        <v>nd</v>
      </c>
      <c r="F65" s="177" t="str">
        <f t="shared" si="28"/>
        <v>nd</v>
      </c>
      <c r="G65" s="177" t="str">
        <f t="shared" si="28"/>
        <v>nd</v>
      </c>
      <c r="H65" s="177" t="str">
        <f t="shared" si="28"/>
        <v>nd</v>
      </c>
      <c r="I65" s="178" t="str">
        <f>IFERROR(H65/G65-1,"-")</f>
        <v>-</v>
      </c>
      <c r="J65" s="177" t="str">
        <f>IFERROR(H65-G65,"-")</f>
        <v>-</v>
      </c>
      <c r="K65" s="178" t="str">
        <f>IFERROR(H65/H$9,"-")</f>
        <v>-</v>
      </c>
    </row>
    <row r="66" spans="2:11" x14ac:dyDescent="0.25">
      <c r="B66" s="160" t="s">
        <v>99</v>
      </c>
      <c r="C66" s="161" t="s">
        <v>313</v>
      </c>
      <c r="D66" s="161" t="s">
        <v>313</v>
      </c>
      <c r="E66" s="161" t="s">
        <v>313</v>
      </c>
      <c r="F66" s="161" t="s">
        <v>313</v>
      </c>
      <c r="G66" s="161" t="s">
        <v>313</v>
      </c>
      <c r="H66" s="161" t="s">
        <v>313</v>
      </c>
      <c r="I66" s="179" t="str">
        <f>IFERROR(H66/G66-1,"-")</f>
        <v>-</v>
      </c>
      <c r="J66" s="182" t="str">
        <f t="shared" ref="J66:J77" si="29">IFERROR(H66-G66,"-")</f>
        <v>-</v>
      </c>
      <c r="K66" s="162" t="str">
        <f t="shared" ref="K66:K77" si="30">IFERROR(H66/H$9,"-")</f>
        <v>-</v>
      </c>
    </row>
    <row r="67" spans="2:11" x14ac:dyDescent="0.25">
      <c r="B67" s="164" t="s">
        <v>105</v>
      </c>
      <c r="C67" s="165" t="s">
        <v>313</v>
      </c>
      <c r="D67" s="165" t="s">
        <v>313</v>
      </c>
      <c r="E67" s="165" t="s">
        <v>313</v>
      </c>
      <c r="F67" s="165" t="s">
        <v>313</v>
      </c>
      <c r="G67" s="165" t="s">
        <v>313</v>
      </c>
      <c r="H67" s="165" t="s">
        <v>313</v>
      </c>
      <c r="I67" s="180" t="str">
        <f>IFERROR(H67/G67-1,"-")</f>
        <v>-</v>
      </c>
      <c r="J67" s="183" t="str">
        <f t="shared" si="29"/>
        <v>-</v>
      </c>
      <c r="K67" s="166" t="str">
        <f t="shared" si="30"/>
        <v>-</v>
      </c>
    </row>
    <row r="68" spans="2:11" x14ac:dyDescent="0.25">
      <c r="B68" s="164" t="s">
        <v>102</v>
      </c>
      <c r="C68" s="165" t="s">
        <v>313</v>
      </c>
      <c r="D68" s="165" t="s">
        <v>313</v>
      </c>
      <c r="E68" s="165" t="s">
        <v>313</v>
      </c>
      <c r="F68" s="165" t="s">
        <v>313</v>
      </c>
      <c r="G68" s="165" t="s">
        <v>313</v>
      </c>
      <c r="H68" s="165" t="s">
        <v>313</v>
      </c>
      <c r="I68" s="180" t="str">
        <f>IFERROR(H68/G68-1,"-")</f>
        <v>-</v>
      </c>
      <c r="J68" s="183" t="str">
        <f t="shared" si="29"/>
        <v>-</v>
      </c>
      <c r="K68" s="166" t="str">
        <f t="shared" si="30"/>
        <v>-</v>
      </c>
    </row>
    <row r="69" spans="2:11" x14ac:dyDescent="0.25">
      <c r="B69" s="160" t="s">
        <v>109</v>
      </c>
      <c r="C69" s="161" t="s">
        <v>313</v>
      </c>
      <c r="D69" s="161" t="s">
        <v>313</v>
      </c>
      <c r="E69" s="161" t="s">
        <v>313</v>
      </c>
      <c r="F69" s="161" t="s">
        <v>313</v>
      </c>
      <c r="G69" s="161" t="s">
        <v>313</v>
      </c>
      <c r="H69" s="161" t="s">
        <v>313</v>
      </c>
      <c r="I69" s="179" t="str">
        <f>IFERROR(H69/G69-1,"-")</f>
        <v>-</v>
      </c>
      <c r="J69" s="182" t="str">
        <f t="shared" si="29"/>
        <v>-</v>
      </c>
      <c r="K69" s="162" t="str">
        <f t="shared" si="30"/>
        <v>-</v>
      </c>
    </row>
    <row r="70" spans="2:11" x14ac:dyDescent="0.25">
      <c r="B70" s="164" t="s">
        <v>112</v>
      </c>
      <c r="C70" s="165" t="s">
        <v>313</v>
      </c>
      <c r="D70" s="165" t="s">
        <v>313</v>
      </c>
      <c r="E70" s="165" t="s">
        <v>313</v>
      </c>
      <c r="F70" s="165" t="s">
        <v>313</v>
      </c>
      <c r="G70" s="165" t="s">
        <v>313</v>
      </c>
      <c r="H70" s="165" t="s">
        <v>313</v>
      </c>
      <c r="I70" s="180" t="str">
        <f t="shared" ref="I70:I77" si="31">IFERROR(H70/G70-1,"-")</f>
        <v>-</v>
      </c>
      <c r="J70" s="183" t="str">
        <f t="shared" si="29"/>
        <v>-</v>
      </c>
      <c r="K70" s="166" t="str">
        <f t="shared" si="30"/>
        <v>-</v>
      </c>
    </row>
    <row r="71" spans="2:11" x14ac:dyDescent="0.25">
      <c r="B71" s="164" t="s">
        <v>115</v>
      </c>
      <c r="C71" s="165" t="s">
        <v>313</v>
      </c>
      <c r="D71" s="165" t="s">
        <v>313</v>
      </c>
      <c r="E71" s="165" t="s">
        <v>313</v>
      </c>
      <c r="F71" s="165" t="s">
        <v>313</v>
      </c>
      <c r="G71" s="165" t="s">
        <v>313</v>
      </c>
      <c r="H71" s="165" t="s">
        <v>313</v>
      </c>
      <c r="I71" s="180" t="str">
        <f t="shared" si="31"/>
        <v>-</v>
      </c>
      <c r="J71" s="183" t="str">
        <f t="shared" si="29"/>
        <v>-</v>
      </c>
      <c r="K71" s="166" t="str">
        <f t="shared" si="30"/>
        <v>-</v>
      </c>
    </row>
    <row r="72" spans="2:11" x14ac:dyDescent="0.25">
      <c r="B72" s="164" t="s">
        <v>118</v>
      </c>
      <c r="C72" s="165" t="s">
        <v>313</v>
      </c>
      <c r="D72" s="165" t="s">
        <v>313</v>
      </c>
      <c r="E72" s="165" t="s">
        <v>313</v>
      </c>
      <c r="F72" s="165" t="s">
        <v>313</v>
      </c>
      <c r="G72" s="165" t="s">
        <v>313</v>
      </c>
      <c r="H72" s="165" t="s">
        <v>313</v>
      </c>
      <c r="I72" s="180" t="str">
        <f t="shared" si="31"/>
        <v>-</v>
      </c>
      <c r="J72" s="183" t="str">
        <f t="shared" si="29"/>
        <v>-</v>
      </c>
      <c r="K72" s="166" t="str">
        <f t="shared" si="30"/>
        <v>-</v>
      </c>
    </row>
    <row r="73" spans="2:11" x14ac:dyDescent="0.25">
      <c r="B73" s="164" t="s">
        <v>125</v>
      </c>
      <c r="C73" s="165" t="s">
        <v>313</v>
      </c>
      <c r="D73" s="165" t="s">
        <v>313</v>
      </c>
      <c r="E73" s="165" t="s">
        <v>313</v>
      </c>
      <c r="F73" s="165" t="s">
        <v>313</v>
      </c>
      <c r="G73" s="165" t="s">
        <v>313</v>
      </c>
      <c r="H73" s="165" t="s">
        <v>313</v>
      </c>
      <c r="I73" s="180" t="str">
        <f t="shared" si="31"/>
        <v>-</v>
      </c>
      <c r="J73" s="183" t="str">
        <f t="shared" si="29"/>
        <v>-</v>
      </c>
      <c r="K73" s="166" t="str">
        <f t="shared" si="30"/>
        <v>-</v>
      </c>
    </row>
    <row r="74" spans="2:11" x14ac:dyDescent="0.25">
      <c r="B74" s="164" t="s">
        <v>121</v>
      </c>
      <c r="C74" s="165" t="s">
        <v>313</v>
      </c>
      <c r="D74" s="165" t="s">
        <v>313</v>
      </c>
      <c r="E74" s="165" t="s">
        <v>313</v>
      </c>
      <c r="F74" s="165" t="s">
        <v>313</v>
      </c>
      <c r="G74" s="165" t="s">
        <v>313</v>
      </c>
      <c r="H74" s="165" t="s">
        <v>313</v>
      </c>
      <c r="I74" s="180" t="str">
        <f t="shared" si="31"/>
        <v>-</v>
      </c>
      <c r="J74" s="183" t="str">
        <f t="shared" si="29"/>
        <v>-</v>
      </c>
      <c r="K74" s="166" t="str">
        <f t="shared" si="30"/>
        <v>-</v>
      </c>
    </row>
    <row r="75" spans="2:11" x14ac:dyDescent="0.25">
      <c r="B75" s="164" t="s">
        <v>130</v>
      </c>
      <c r="C75" s="165" t="s">
        <v>313</v>
      </c>
      <c r="D75" s="165" t="s">
        <v>313</v>
      </c>
      <c r="E75" s="165" t="s">
        <v>313</v>
      </c>
      <c r="F75" s="165" t="s">
        <v>313</v>
      </c>
      <c r="G75" s="165" t="s">
        <v>313</v>
      </c>
      <c r="H75" s="165" t="s">
        <v>313</v>
      </c>
      <c r="I75" s="180" t="str">
        <f t="shared" si="31"/>
        <v>-</v>
      </c>
      <c r="J75" s="183" t="str">
        <f t="shared" si="29"/>
        <v>-</v>
      </c>
      <c r="K75" s="166" t="str">
        <f t="shared" si="30"/>
        <v>-</v>
      </c>
    </row>
    <row r="76" spans="2:11" x14ac:dyDescent="0.25">
      <c r="B76" s="164" t="s">
        <v>133</v>
      </c>
      <c r="C76" s="165" t="s">
        <v>313</v>
      </c>
      <c r="D76" s="165" t="s">
        <v>313</v>
      </c>
      <c r="E76" s="165" t="s">
        <v>313</v>
      </c>
      <c r="F76" s="165" t="s">
        <v>313</v>
      </c>
      <c r="G76" s="165" t="s">
        <v>313</v>
      </c>
      <c r="H76" s="165" t="s">
        <v>313</v>
      </c>
      <c r="I76" s="180" t="str">
        <f t="shared" si="31"/>
        <v>-</v>
      </c>
      <c r="J76" s="183" t="str">
        <f t="shared" si="29"/>
        <v>-</v>
      </c>
      <c r="K76" s="166" t="str">
        <f t="shared" si="30"/>
        <v>-</v>
      </c>
    </row>
    <row r="77" spans="2:11" x14ac:dyDescent="0.25">
      <c r="B77" s="169" t="s">
        <v>147</v>
      </c>
      <c r="C77" s="170" t="str">
        <f t="shared" ref="C77:H77" si="32">IFERROR(C69-SUM(C70:C76),"nd")</f>
        <v>nd</v>
      </c>
      <c r="D77" s="170" t="str">
        <f t="shared" si="32"/>
        <v>nd</v>
      </c>
      <c r="E77" s="170" t="str">
        <f t="shared" si="32"/>
        <v>nd</v>
      </c>
      <c r="F77" s="170" t="str">
        <f t="shared" si="32"/>
        <v>nd</v>
      </c>
      <c r="G77" s="170" t="str">
        <f t="shared" si="32"/>
        <v>nd</v>
      </c>
      <c r="H77" s="170" t="str">
        <f t="shared" si="32"/>
        <v>nd</v>
      </c>
      <c r="I77" s="181" t="str">
        <f t="shared" si="31"/>
        <v>-</v>
      </c>
      <c r="J77" s="184" t="str">
        <f t="shared" si="29"/>
        <v>-</v>
      </c>
      <c r="K77" s="171" t="str">
        <f t="shared" si="30"/>
        <v>-</v>
      </c>
    </row>
    <row r="78" spans="2:11" x14ac:dyDescent="0.25">
      <c r="B78" s="156" t="s">
        <v>50</v>
      </c>
      <c r="C78" s="154"/>
      <c r="D78" s="154"/>
      <c r="E78" s="154"/>
      <c r="F78" s="154"/>
      <c r="G78" s="154"/>
      <c r="H78" s="154"/>
      <c r="I78" s="155"/>
      <c r="J78" s="155"/>
      <c r="K78" s="154"/>
    </row>
    <row r="79" spans="2:11" x14ac:dyDescent="0.25">
      <c r="B79" s="157" t="s">
        <v>70</v>
      </c>
      <c r="C79" s="177">
        <f t="shared" ref="C79:H79" si="33">IFERROR(C80+C83,"nd")</f>
        <v>26023</v>
      </c>
      <c r="D79" s="177">
        <f t="shared" si="33"/>
        <v>18878</v>
      </c>
      <c r="E79" s="177">
        <f t="shared" si="33"/>
        <v>60007</v>
      </c>
      <c r="F79" s="177">
        <f t="shared" si="33"/>
        <v>72419</v>
      </c>
      <c r="G79" s="177">
        <f t="shared" si="33"/>
        <v>81209</v>
      </c>
      <c r="H79" s="177">
        <f t="shared" si="33"/>
        <v>92335</v>
      </c>
      <c r="I79" s="178">
        <f>IFERROR(H79/G79-1,"-")</f>
        <v>0.13700451920353651</v>
      </c>
      <c r="J79" s="177">
        <f>IFERROR(H79-G79,"-")</f>
        <v>11126</v>
      </c>
      <c r="K79" s="178">
        <f>IFERROR(H79/H$9,"-")</f>
        <v>0.15153404941452567</v>
      </c>
    </row>
    <row r="80" spans="2:11" x14ac:dyDescent="0.25">
      <c r="B80" s="160" t="s">
        <v>99</v>
      </c>
      <c r="C80" s="161">
        <v>6348</v>
      </c>
      <c r="D80" s="161">
        <v>10403</v>
      </c>
      <c r="E80" s="161">
        <v>26804</v>
      </c>
      <c r="F80" s="161">
        <v>30063</v>
      </c>
      <c r="G80" s="161">
        <v>36953</v>
      </c>
      <c r="H80" s="161">
        <v>40652</v>
      </c>
      <c r="I80" s="179">
        <f>IFERROR(H80/G80-1,"-")</f>
        <v>0.10010012718859085</v>
      </c>
      <c r="J80" s="182">
        <f t="shared" ref="J80:J91" si="34">IFERROR(H80-G80,"-")</f>
        <v>3699</v>
      </c>
      <c r="K80" s="162">
        <f t="shared" ref="K80:K91" si="35">IFERROR(H80/H$9,"-")</f>
        <v>6.6715353623212195E-2</v>
      </c>
    </row>
    <row r="81" spans="2:11" x14ac:dyDescent="0.25">
      <c r="B81" s="164" t="s">
        <v>105</v>
      </c>
      <c r="C81" s="165">
        <v>1948</v>
      </c>
      <c r="D81" s="165">
        <v>6169</v>
      </c>
      <c r="E81" s="165">
        <v>12562</v>
      </c>
      <c r="F81" s="165">
        <v>15782</v>
      </c>
      <c r="G81" s="165">
        <v>15963</v>
      </c>
      <c r="H81" s="165">
        <v>12372</v>
      </c>
      <c r="I81" s="180">
        <f>IFERROR(H81/G81-1,"-")</f>
        <v>-0.22495771471527903</v>
      </c>
      <c r="J81" s="183">
        <f t="shared" si="34"/>
        <v>-3591</v>
      </c>
      <c r="K81" s="166">
        <f t="shared" si="35"/>
        <v>2.0304102012850073E-2</v>
      </c>
    </row>
    <row r="82" spans="2:11" x14ac:dyDescent="0.25">
      <c r="B82" s="164" t="s">
        <v>102</v>
      </c>
      <c r="C82" s="165">
        <v>4400</v>
      </c>
      <c r="D82" s="165">
        <v>4234</v>
      </c>
      <c r="E82" s="165">
        <v>14242</v>
      </c>
      <c r="F82" s="165">
        <v>14281</v>
      </c>
      <c r="G82" s="165">
        <v>20990</v>
      </c>
      <c r="H82" s="165">
        <v>28280</v>
      </c>
      <c r="I82" s="180">
        <f>IFERROR(H82/G82-1,"-")</f>
        <v>0.34730824202000954</v>
      </c>
      <c r="J82" s="183">
        <f t="shared" si="34"/>
        <v>7290</v>
      </c>
      <c r="K82" s="166">
        <f t="shared" si="35"/>
        <v>4.6411251610362116E-2</v>
      </c>
    </row>
    <row r="83" spans="2:11" x14ac:dyDescent="0.25">
      <c r="B83" s="160" t="s">
        <v>109</v>
      </c>
      <c r="C83" s="161">
        <v>19675</v>
      </c>
      <c r="D83" s="161">
        <v>8475</v>
      </c>
      <c r="E83" s="161">
        <v>33203</v>
      </c>
      <c r="F83" s="161">
        <v>42356</v>
      </c>
      <c r="G83" s="161">
        <v>44256</v>
      </c>
      <c r="H83" s="161">
        <v>51683</v>
      </c>
      <c r="I83" s="179">
        <f>IFERROR(H83/G83-1,"-")</f>
        <v>0.16781905278380327</v>
      </c>
      <c r="J83" s="182">
        <f t="shared" si="34"/>
        <v>7427</v>
      </c>
      <c r="K83" s="162">
        <f t="shared" si="35"/>
        <v>8.4818695791313486E-2</v>
      </c>
    </row>
    <row r="84" spans="2:11" x14ac:dyDescent="0.25">
      <c r="B84" s="164" t="s">
        <v>112</v>
      </c>
      <c r="C84" s="165">
        <v>1812</v>
      </c>
      <c r="D84" s="165">
        <v>334</v>
      </c>
      <c r="E84" s="165">
        <v>4161</v>
      </c>
      <c r="F84" s="165">
        <v>5485</v>
      </c>
      <c r="G84" s="165">
        <v>6583</v>
      </c>
      <c r="H84" s="165">
        <v>5787</v>
      </c>
      <c r="I84" s="180">
        <f t="shared" ref="I84:I91" si="36">IFERROR(H84/G84-1,"-")</f>
        <v>-0.12091751481087654</v>
      </c>
      <c r="J84" s="183">
        <f t="shared" si="34"/>
        <v>-796</v>
      </c>
      <c r="K84" s="166">
        <f t="shared" si="35"/>
        <v>9.4972387931105216E-3</v>
      </c>
    </row>
    <row r="85" spans="2:11" x14ac:dyDescent="0.25">
      <c r="B85" s="164" t="s">
        <v>115</v>
      </c>
      <c r="C85" s="165">
        <v>4471</v>
      </c>
      <c r="D85" s="165">
        <v>1810</v>
      </c>
      <c r="E85" s="165">
        <v>7566</v>
      </c>
      <c r="F85" s="165">
        <v>8343</v>
      </c>
      <c r="G85" s="165">
        <v>9165</v>
      </c>
      <c r="H85" s="165">
        <v>11172</v>
      </c>
      <c r="I85" s="180">
        <f t="shared" si="36"/>
        <v>0.21898527004909973</v>
      </c>
      <c r="J85" s="183">
        <f t="shared" si="34"/>
        <v>2007</v>
      </c>
      <c r="K85" s="166">
        <f t="shared" si="35"/>
        <v>1.833474197280642E-2</v>
      </c>
    </row>
    <row r="86" spans="2:11" x14ac:dyDescent="0.25">
      <c r="B86" s="164" t="s">
        <v>118</v>
      </c>
      <c r="C86" s="165">
        <v>798</v>
      </c>
      <c r="D86" s="165">
        <v>1395</v>
      </c>
      <c r="E86" s="165">
        <v>2400</v>
      </c>
      <c r="F86" s="165">
        <v>2471</v>
      </c>
      <c r="G86" s="165">
        <v>2710</v>
      </c>
      <c r="H86" s="165">
        <v>5793</v>
      </c>
      <c r="I86" s="180">
        <f t="shared" si="36"/>
        <v>1.1376383763837636</v>
      </c>
      <c r="J86" s="183">
        <f t="shared" si="34"/>
        <v>3083</v>
      </c>
      <c r="K86" s="166">
        <f t="shared" si="35"/>
        <v>9.507085593310741E-3</v>
      </c>
    </row>
    <row r="87" spans="2:11" x14ac:dyDescent="0.25">
      <c r="B87" s="164" t="s">
        <v>125</v>
      </c>
      <c r="C87" s="165">
        <v>290</v>
      </c>
      <c r="D87" s="165">
        <v>262</v>
      </c>
      <c r="E87" s="165">
        <v>1924</v>
      </c>
      <c r="F87" s="165">
        <v>2004</v>
      </c>
      <c r="G87" s="165">
        <v>2273</v>
      </c>
      <c r="H87" s="165">
        <v>1582</v>
      </c>
      <c r="I87" s="180">
        <f t="shared" si="36"/>
        <v>-0.3040035195776507</v>
      </c>
      <c r="J87" s="183">
        <f t="shared" si="34"/>
        <v>-691</v>
      </c>
      <c r="K87" s="166">
        <f t="shared" si="35"/>
        <v>2.5962729861242172E-3</v>
      </c>
    </row>
    <row r="88" spans="2:11" x14ac:dyDescent="0.25">
      <c r="B88" s="164" t="s">
        <v>121</v>
      </c>
      <c r="C88" s="165">
        <v>94</v>
      </c>
      <c r="D88" s="165">
        <v>145</v>
      </c>
      <c r="E88" s="165">
        <v>379</v>
      </c>
      <c r="F88" s="165">
        <v>330</v>
      </c>
      <c r="G88" s="165">
        <v>411</v>
      </c>
      <c r="H88" s="165">
        <v>453</v>
      </c>
      <c r="I88" s="180">
        <f t="shared" si="36"/>
        <v>0.10218978102189791</v>
      </c>
      <c r="J88" s="183">
        <f t="shared" si="34"/>
        <v>42</v>
      </c>
      <c r="K88" s="166">
        <f t="shared" si="35"/>
        <v>7.4343341511647943E-4</v>
      </c>
    </row>
    <row r="89" spans="2:11" x14ac:dyDescent="0.25">
      <c r="B89" s="164" t="s">
        <v>130</v>
      </c>
      <c r="C89" s="165">
        <v>1314</v>
      </c>
      <c r="D89" s="165">
        <v>61</v>
      </c>
      <c r="E89" s="165">
        <v>1693</v>
      </c>
      <c r="F89" s="165">
        <v>2793</v>
      </c>
      <c r="G89" s="165">
        <v>1927</v>
      </c>
      <c r="H89" s="165">
        <v>2012</v>
      </c>
      <c r="I89" s="180">
        <f t="shared" si="36"/>
        <v>4.411001556824079E-2</v>
      </c>
      <c r="J89" s="183">
        <f t="shared" si="34"/>
        <v>85</v>
      </c>
      <c r="K89" s="166">
        <f t="shared" si="35"/>
        <v>3.3019603338065267E-3</v>
      </c>
    </row>
    <row r="90" spans="2:11" x14ac:dyDescent="0.25">
      <c r="B90" s="164" t="s">
        <v>133</v>
      </c>
      <c r="C90" s="165">
        <v>2383</v>
      </c>
      <c r="D90" s="165">
        <v>205</v>
      </c>
      <c r="E90" s="165">
        <v>1740</v>
      </c>
      <c r="F90" s="165">
        <v>3209</v>
      </c>
      <c r="G90" s="165">
        <v>3026</v>
      </c>
      <c r="H90" s="165">
        <v>1945</v>
      </c>
      <c r="I90" s="180">
        <f t="shared" si="36"/>
        <v>-0.35723727693324525</v>
      </c>
      <c r="J90" s="183">
        <f t="shared" si="34"/>
        <v>-1081</v>
      </c>
      <c r="K90" s="166">
        <f t="shared" si="35"/>
        <v>3.1920043982374227E-3</v>
      </c>
    </row>
    <row r="91" spans="2:11" x14ac:dyDescent="0.25">
      <c r="B91" s="169" t="s">
        <v>147</v>
      </c>
      <c r="C91" s="170">
        <f t="shared" ref="C91:H91" si="37">IFERROR(C83-SUM(C84:C90),"nd")</f>
        <v>8513</v>
      </c>
      <c r="D91" s="170">
        <f t="shared" si="37"/>
        <v>4263</v>
      </c>
      <c r="E91" s="170">
        <f t="shared" si="37"/>
        <v>13340</v>
      </c>
      <c r="F91" s="170">
        <f t="shared" si="37"/>
        <v>17721</v>
      </c>
      <c r="G91" s="170">
        <f t="shared" si="37"/>
        <v>18161</v>
      </c>
      <c r="H91" s="170">
        <f t="shared" si="37"/>
        <v>22939</v>
      </c>
      <c r="I91" s="181">
        <f t="shared" si="36"/>
        <v>0.26309123946919222</v>
      </c>
      <c r="J91" s="184">
        <f t="shared" si="34"/>
        <v>4778</v>
      </c>
      <c r="K91" s="171">
        <f t="shared" si="35"/>
        <v>3.7645958298801151E-2</v>
      </c>
    </row>
    <row r="92" spans="2:11" x14ac:dyDescent="0.25">
      <c r="B92" s="156" t="s">
        <v>51</v>
      </c>
      <c r="C92" s="154"/>
      <c r="D92" s="154"/>
      <c r="E92" s="154"/>
      <c r="F92" s="154"/>
      <c r="G92" s="154"/>
      <c r="H92" s="154"/>
      <c r="I92" s="155"/>
      <c r="J92" s="155"/>
      <c r="K92" s="154"/>
    </row>
    <row r="93" spans="2:11" x14ac:dyDescent="0.25">
      <c r="B93" s="157" t="s">
        <v>70</v>
      </c>
      <c r="C93" s="177" t="str">
        <f t="shared" ref="C93:H93" si="38">IFERROR(C94+C97,"nd")</f>
        <v>nd</v>
      </c>
      <c r="D93" s="177" t="str">
        <f t="shared" si="38"/>
        <v>nd</v>
      </c>
      <c r="E93" s="177" t="str">
        <f t="shared" si="38"/>
        <v>nd</v>
      </c>
      <c r="F93" s="177" t="str">
        <f t="shared" si="38"/>
        <v>nd</v>
      </c>
      <c r="G93" s="177" t="str">
        <f t="shared" si="38"/>
        <v>nd</v>
      </c>
      <c r="H93" s="177" t="str">
        <f t="shared" si="38"/>
        <v>nd</v>
      </c>
      <c r="I93" s="178" t="str">
        <f>IFERROR(H93/G93-1,"-")</f>
        <v>-</v>
      </c>
      <c r="J93" s="177" t="str">
        <f>IFERROR(H93-G93,"-")</f>
        <v>-</v>
      </c>
      <c r="K93" s="178" t="str">
        <f>IFERROR(H93/H$9,"-")</f>
        <v>-</v>
      </c>
    </row>
    <row r="94" spans="2:11" x14ac:dyDescent="0.25">
      <c r="B94" s="160" t="s">
        <v>99</v>
      </c>
      <c r="C94" s="161" t="s">
        <v>313</v>
      </c>
      <c r="D94" s="161" t="s">
        <v>313</v>
      </c>
      <c r="E94" s="161" t="s">
        <v>313</v>
      </c>
      <c r="F94" s="161" t="s">
        <v>313</v>
      </c>
      <c r="G94" s="161" t="s">
        <v>313</v>
      </c>
      <c r="H94" s="161" t="s">
        <v>313</v>
      </c>
      <c r="I94" s="179" t="str">
        <f>IFERROR(H94/G94-1,"-")</f>
        <v>-</v>
      </c>
      <c r="J94" s="182" t="str">
        <f t="shared" ref="J94:J105" si="39">IFERROR(H94-G94,"-")</f>
        <v>-</v>
      </c>
      <c r="K94" s="162" t="str">
        <f t="shared" ref="K94:K105" si="40">IFERROR(H94/H$9,"-")</f>
        <v>-</v>
      </c>
    </row>
    <row r="95" spans="2:11" x14ac:dyDescent="0.25">
      <c r="B95" s="164" t="s">
        <v>105</v>
      </c>
      <c r="C95" s="165" t="s">
        <v>313</v>
      </c>
      <c r="D95" s="165" t="s">
        <v>313</v>
      </c>
      <c r="E95" s="165" t="s">
        <v>313</v>
      </c>
      <c r="F95" s="165" t="s">
        <v>313</v>
      </c>
      <c r="G95" s="165" t="s">
        <v>313</v>
      </c>
      <c r="H95" s="165" t="s">
        <v>313</v>
      </c>
      <c r="I95" s="180" t="str">
        <f>IFERROR(H95/G95-1,"-")</f>
        <v>-</v>
      </c>
      <c r="J95" s="183" t="str">
        <f t="shared" si="39"/>
        <v>-</v>
      </c>
      <c r="K95" s="166" t="str">
        <f t="shared" si="40"/>
        <v>-</v>
      </c>
    </row>
    <row r="96" spans="2:11" x14ac:dyDescent="0.25">
      <c r="B96" s="164" t="s">
        <v>102</v>
      </c>
      <c r="C96" s="165" t="s">
        <v>313</v>
      </c>
      <c r="D96" s="165" t="s">
        <v>313</v>
      </c>
      <c r="E96" s="165" t="s">
        <v>313</v>
      </c>
      <c r="F96" s="165" t="s">
        <v>313</v>
      </c>
      <c r="G96" s="165" t="s">
        <v>313</v>
      </c>
      <c r="H96" s="165" t="s">
        <v>313</v>
      </c>
      <c r="I96" s="180" t="str">
        <f>IFERROR(H96/G96-1,"-")</f>
        <v>-</v>
      </c>
      <c r="J96" s="183" t="str">
        <f t="shared" si="39"/>
        <v>-</v>
      </c>
      <c r="K96" s="166" t="str">
        <f t="shared" si="40"/>
        <v>-</v>
      </c>
    </row>
    <row r="97" spans="2:11" x14ac:dyDescent="0.25">
      <c r="B97" s="160" t="s">
        <v>109</v>
      </c>
      <c r="C97" s="161" t="s">
        <v>313</v>
      </c>
      <c r="D97" s="161" t="s">
        <v>313</v>
      </c>
      <c r="E97" s="161" t="s">
        <v>313</v>
      </c>
      <c r="F97" s="161" t="s">
        <v>313</v>
      </c>
      <c r="G97" s="161" t="s">
        <v>313</v>
      </c>
      <c r="H97" s="161" t="s">
        <v>313</v>
      </c>
      <c r="I97" s="179" t="str">
        <f>IFERROR(H97/G97-1,"-")</f>
        <v>-</v>
      </c>
      <c r="J97" s="182" t="str">
        <f t="shared" si="39"/>
        <v>-</v>
      </c>
      <c r="K97" s="162" t="str">
        <f t="shared" si="40"/>
        <v>-</v>
      </c>
    </row>
    <row r="98" spans="2:11" x14ac:dyDescent="0.25">
      <c r="B98" s="164" t="s">
        <v>112</v>
      </c>
      <c r="C98" s="165" t="s">
        <v>313</v>
      </c>
      <c r="D98" s="165" t="s">
        <v>313</v>
      </c>
      <c r="E98" s="165" t="s">
        <v>313</v>
      </c>
      <c r="F98" s="165" t="s">
        <v>313</v>
      </c>
      <c r="G98" s="165" t="s">
        <v>313</v>
      </c>
      <c r="H98" s="165" t="s">
        <v>313</v>
      </c>
      <c r="I98" s="180" t="str">
        <f t="shared" ref="I98:I105" si="41">IFERROR(H98/G98-1,"-")</f>
        <v>-</v>
      </c>
      <c r="J98" s="183" t="str">
        <f t="shared" si="39"/>
        <v>-</v>
      </c>
      <c r="K98" s="166" t="str">
        <f t="shared" si="40"/>
        <v>-</v>
      </c>
    </row>
    <row r="99" spans="2:11" x14ac:dyDescent="0.25">
      <c r="B99" s="164" t="s">
        <v>115</v>
      </c>
      <c r="C99" s="165" t="s">
        <v>313</v>
      </c>
      <c r="D99" s="165" t="s">
        <v>313</v>
      </c>
      <c r="E99" s="165" t="s">
        <v>313</v>
      </c>
      <c r="F99" s="165" t="s">
        <v>313</v>
      </c>
      <c r="G99" s="165" t="s">
        <v>313</v>
      </c>
      <c r="H99" s="165" t="s">
        <v>313</v>
      </c>
      <c r="I99" s="180" t="str">
        <f t="shared" si="41"/>
        <v>-</v>
      </c>
      <c r="J99" s="183" t="str">
        <f t="shared" si="39"/>
        <v>-</v>
      </c>
      <c r="K99" s="166" t="str">
        <f t="shared" si="40"/>
        <v>-</v>
      </c>
    </row>
    <row r="100" spans="2:11" x14ac:dyDescent="0.25">
      <c r="B100" s="164" t="s">
        <v>118</v>
      </c>
      <c r="C100" s="165" t="s">
        <v>313</v>
      </c>
      <c r="D100" s="165" t="s">
        <v>313</v>
      </c>
      <c r="E100" s="165" t="s">
        <v>313</v>
      </c>
      <c r="F100" s="165" t="s">
        <v>313</v>
      </c>
      <c r="G100" s="165" t="s">
        <v>313</v>
      </c>
      <c r="H100" s="165" t="s">
        <v>313</v>
      </c>
      <c r="I100" s="180" t="str">
        <f t="shared" si="41"/>
        <v>-</v>
      </c>
      <c r="J100" s="183" t="str">
        <f t="shared" si="39"/>
        <v>-</v>
      </c>
      <c r="K100" s="166" t="str">
        <f t="shared" si="40"/>
        <v>-</v>
      </c>
    </row>
    <row r="101" spans="2:11" x14ac:dyDescent="0.25">
      <c r="B101" s="164" t="s">
        <v>125</v>
      </c>
      <c r="C101" s="165" t="s">
        <v>313</v>
      </c>
      <c r="D101" s="165" t="s">
        <v>313</v>
      </c>
      <c r="E101" s="165" t="s">
        <v>313</v>
      </c>
      <c r="F101" s="165" t="s">
        <v>313</v>
      </c>
      <c r="G101" s="165" t="s">
        <v>313</v>
      </c>
      <c r="H101" s="165" t="s">
        <v>313</v>
      </c>
      <c r="I101" s="180" t="str">
        <f t="shared" si="41"/>
        <v>-</v>
      </c>
      <c r="J101" s="183" t="str">
        <f t="shared" si="39"/>
        <v>-</v>
      </c>
      <c r="K101" s="166" t="str">
        <f t="shared" si="40"/>
        <v>-</v>
      </c>
    </row>
    <row r="102" spans="2:11" x14ac:dyDescent="0.25">
      <c r="B102" s="164" t="s">
        <v>121</v>
      </c>
      <c r="C102" s="165" t="s">
        <v>313</v>
      </c>
      <c r="D102" s="165" t="s">
        <v>313</v>
      </c>
      <c r="E102" s="165" t="s">
        <v>313</v>
      </c>
      <c r="F102" s="165" t="s">
        <v>313</v>
      </c>
      <c r="G102" s="165" t="s">
        <v>313</v>
      </c>
      <c r="H102" s="165" t="s">
        <v>313</v>
      </c>
      <c r="I102" s="180" t="str">
        <f t="shared" si="41"/>
        <v>-</v>
      </c>
      <c r="J102" s="183" t="str">
        <f t="shared" si="39"/>
        <v>-</v>
      </c>
      <c r="K102" s="166" t="str">
        <f t="shared" si="40"/>
        <v>-</v>
      </c>
    </row>
    <row r="103" spans="2:11" x14ac:dyDescent="0.25">
      <c r="B103" s="164" t="s">
        <v>130</v>
      </c>
      <c r="C103" s="165" t="s">
        <v>313</v>
      </c>
      <c r="D103" s="165" t="s">
        <v>313</v>
      </c>
      <c r="E103" s="165" t="s">
        <v>313</v>
      </c>
      <c r="F103" s="165" t="s">
        <v>313</v>
      </c>
      <c r="G103" s="165" t="s">
        <v>313</v>
      </c>
      <c r="H103" s="165" t="s">
        <v>313</v>
      </c>
      <c r="I103" s="180" t="str">
        <f t="shared" si="41"/>
        <v>-</v>
      </c>
      <c r="J103" s="183" t="str">
        <f t="shared" si="39"/>
        <v>-</v>
      </c>
      <c r="K103" s="166" t="str">
        <f t="shared" si="40"/>
        <v>-</v>
      </c>
    </row>
    <row r="104" spans="2:11" x14ac:dyDescent="0.25">
      <c r="B104" s="164" t="s">
        <v>133</v>
      </c>
      <c r="C104" s="165" t="s">
        <v>313</v>
      </c>
      <c r="D104" s="165" t="s">
        <v>313</v>
      </c>
      <c r="E104" s="165" t="s">
        <v>313</v>
      </c>
      <c r="F104" s="165" t="s">
        <v>313</v>
      </c>
      <c r="G104" s="165" t="s">
        <v>313</v>
      </c>
      <c r="H104" s="165" t="s">
        <v>313</v>
      </c>
      <c r="I104" s="180" t="str">
        <f t="shared" si="41"/>
        <v>-</v>
      </c>
      <c r="J104" s="183" t="str">
        <f t="shared" si="39"/>
        <v>-</v>
      </c>
      <c r="K104" s="166" t="str">
        <f t="shared" si="40"/>
        <v>-</v>
      </c>
    </row>
    <row r="105" spans="2:11" x14ac:dyDescent="0.25">
      <c r="B105" s="169" t="s">
        <v>147</v>
      </c>
      <c r="C105" s="170" t="str">
        <f t="shared" ref="C105:H105" si="42">IFERROR(C97-SUM(C98:C104),"nd")</f>
        <v>nd</v>
      </c>
      <c r="D105" s="170" t="str">
        <f t="shared" si="42"/>
        <v>nd</v>
      </c>
      <c r="E105" s="170" t="str">
        <f t="shared" si="42"/>
        <v>nd</v>
      </c>
      <c r="F105" s="170" t="str">
        <f t="shared" si="42"/>
        <v>nd</v>
      </c>
      <c r="G105" s="170" t="str">
        <f t="shared" si="42"/>
        <v>nd</v>
      </c>
      <c r="H105" s="170" t="str">
        <f t="shared" si="42"/>
        <v>nd</v>
      </c>
      <c r="I105" s="181" t="str">
        <f t="shared" si="41"/>
        <v>-</v>
      </c>
      <c r="J105" s="184" t="str">
        <f t="shared" si="39"/>
        <v>-</v>
      </c>
      <c r="K105" s="171" t="str">
        <f t="shared" si="40"/>
        <v>-</v>
      </c>
    </row>
    <row r="106" spans="2:11" x14ac:dyDescent="0.25">
      <c r="B106" s="156" t="s">
        <v>52</v>
      </c>
      <c r="C106" s="154"/>
      <c r="D106" s="154"/>
      <c r="E106" s="154"/>
      <c r="F106" s="154"/>
      <c r="G106" s="154"/>
      <c r="H106" s="154"/>
      <c r="I106" s="155"/>
      <c r="J106" s="155"/>
      <c r="K106" s="154"/>
    </row>
    <row r="107" spans="2:11" x14ac:dyDescent="0.25">
      <c r="B107" s="157" t="s">
        <v>70</v>
      </c>
      <c r="C107" s="177">
        <f t="shared" ref="C107:H107" si="43">IFERROR(C108+C111,"nd")</f>
        <v>13382</v>
      </c>
      <c r="D107" s="177">
        <f t="shared" si="43"/>
        <v>379</v>
      </c>
      <c r="E107" s="177">
        <f t="shared" si="43"/>
        <v>12474</v>
      </c>
      <c r="F107" s="177">
        <f t="shared" si="43"/>
        <v>14894</v>
      </c>
      <c r="G107" s="177">
        <f t="shared" si="43"/>
        <v>14551</v>
      </c>
      <c r="H107" s="177">
        <f t="shared" si="43"/>
        <v>15981</v>
      </c>
      <c r="I107" s="178">
        <f>IFERROR(H107/G107-1,"-")</f>
        <v>9.8275032643804439E-2</v>
      </c>
      <c r="J107" s="177">
        <f>IFERROR(H107-G107,"-")</f>
        <v>1430</v>
      </c>
      <c r="K107" s="178">
        <f>IFERROR(H107/H$9,"-")</f>
        <v>2.6226952333281366E-2</v>
      </c>
    </row>
    <row r="108" spans="2:11" x14ac:dyDescent="0.25">
      <c r="B108" s="160" t="s">
        <v>99</v>
      </c>
      <c r="C108" s="161">
        <v>1767</v>
      </c>
      <c r="D108" s="161">
        <v>268</v>
      </c>
      <c r="E108" s="161">
        <v>2779</v>
      </c>
      <c r="F108" s="161">
        <v>2738</v>
      </c>
      <c r="G108" s="161">
        <v>2225</v>
      </c>
      <c r="H108" s="161">
        <v>2882</v>
      </c>
      <c r="I108" s="179">
        <f>IFERROR(H108/G108-1,"-")</f>
        <v>0.29528089887640441</v>
      </c>
      <c r="J108" s="182">
        <f t="shared" ref="J108:J119" si="44">IFERROR(H108-G108,"-")</f>
        <v>657</v>
      </c>
      <c r="K108" s="162">
        <f t="shared" ref="K108:K119" si="45">IFERROR(H108/H$9,"-")</f>
        <v>4.7297463628381761E-3</v>
      </c>
    </row>
    <row r="109" spans="2:11" x14ac:dyDescent="0.25">
      <c r="B109" s="164" t="s">
        <v>105</v>
      </c>
      <c r="C109" s="165">
        <v>1178</v>
      </c>
      <c r="D109" s="165">
        <v>228</v>
      </c>
      <c r="E109" s="165">
        <v>1948</v>
      </c>
      <c r="F109" s="165">
        <v>1894</v>
      </c>
      <c r="G109" s="165">
        <v>1248</v>
      </c>
      <c r="H109" s="165">
        <v>1645</v>
      </c>
      <c r="I109" s="180">
        <f>IFERROR(H109/G109-1,"-")</f>
        <v>0.31810897435897445</v>
      </c>
      <c r="J109" s="183">
        <f t="shared" si="44"/>
        <v>397</v>
      </c>
      <c r="K109" s="166">
        <f t="shared" si="45"/>
        <v>2.6996643882265092E-3</v>
      </c>
    </row>
    <row r="110" spans="2:11" x14ac:dyDescent="0.25">
      <c r="B110" s="164" t="s">
        <v>102</v>
      </c>
      <c r="C110" s="165">
        <v>589</v>
      </c>
      <c r="D110" s="165">
        <v>40</v>
      </c>
      <c r="E110" s="165">
        <v>831</v>
      </c>
      <c r="F110" s="165">
        <v>844</v>
      </c>
      <c r="G110" s="165">
        <v>977</v>
      </c>
      <c r="H110" s="165">
        <v>1237</v>
      </c>
      <c r="I110" s="180">
        <f>IFERROR(H110/G110-1,"-")</f>
        <v>0.26612077789150468</v>
      </c>
      <c r="J110" s="183">
        <f t="shared" si="44"/>
        <v>260</v>
      </c>
      <c r="K110" s="166">
        <f t="shared" si="45"/>
        <v>2.030081974611667E-3</v>
      </c>
    </row>
    <row r="111" spans="2:11" x14ac:dyDescent="0.25">
      <c r="B111" s="160" t="s">
        <v>109</v>
      </c>
      <c r="C111" s="161">
        <v>11615</v>
      </c>
      <c r="D111" s="161">
        <v>111</v>
      </c>
      <c r="E111" s="161">
        <v>9695</v>
      </c>
      <c r="F111" s="161">
        <v>12156</v>
      </c>
      <c r="G111" s="161">
        <v>12326</v>
      </c>
      <c r="H111" s="161">
        <v>13099</v>
      </c>
      <c r="I111" s="179">
        <f>IFERROR(H111/G111-1,"-")</f>
        <v>6.2712964465357679E-2</v>
      </c>
      <c r="J111" s="182">
        <f t="shared" si="44"/>
        <v>773</v>
      </c>
      <c r="K111" s="162">
        <f t="shared" si="45"/>
        <v>2.1497205970443189E-2</v>
      </c>
    </row>
    <row r="112" spans="2:11" x14ac:dyDescent="0.25">
      <c r="B112" s="164" t="s">
        <v>112</v>
      </c>
      <c r="C112" s="165">
        <v>6038</v>
      </c>
      <c r="D112" s="165">
        <v>31</v>
      </c>
      <c r="E112" s="165">
        <v>5888</v>
      </c>
      <c r="F112" s="165">
        <v>7169</v>
      </c>
      <c r="G112" s="165">
        <v>7009</v>
      </c>
      <c r="H112" s="165">
        <v>7174</v>
      </c>
      <c r="I112" s="180">
        <f t="shared" ref="I112:I119" si="46">IFERROR(H112/G112-1,"-")</f>
        <v>2.3541161363960672E-2</v>
      </c>
      <c r="J112" s="183">
        <f t="shared" si="44"/>
        <v>165</v>
      </c>
      <c r="K112" s="166">
        <f t="shared" si="45"/>
        <v>1.1773490772727645E-2</v>
      </c>
    </row>
    <row r="113" spans="2:11" x14ac:dyDescent="0.25">
      <c r="B113" s="164" t="s">
        <v>115</v>
      </c>
      <c r="C113" s="165">
        <v>474</v>
      </c>
      <c r="D113" s="165">
        <v>14</v>
      </c>
      <c r="E113" s="165">
        <v>394</v>
      </c>
      <c r="F113" s="165">
        <v>671</v>
      </c>
      <c r="G113" s="165">
        <v>626</v>
      </c>
      <c r="H113" s="165">
        <v>756</v>
      </c>
      <c r="I113" s="180">
        <f t="shared" si="46"/>
        <v>0.20766773162939289</v>
      </c>
      <c r="J113" s="183">
        <f t="shared" si="44"/>
        <v>130</v>
      </c>
      <c r="K113" s="166">
        <f t="shared" si="45"/>
        <v>1.2406968252275021E-3</v>
      </c>
    </row>
    <row r="114" spans="2:11" x14ac:dyDescent="0.25">
      <c r="B114" s="164" t="s">
        <v>118</v>
      </c>
      <c r="C114" s="165">
        <v>623</v>
      </c>
      <c r="D114" s="165">
        <v>8</v>
      </c>
      <c r="E114" s="165">
        <v>466</v>
      </c>
      <c r="F114" s="165">
        <v>649</v>
      </c>
      <c r="G114" s="165">
        <v>596</v>
      </c>
      <c r="H114" s="165">
        <v>711</v>
      </c>
      <c r="I114" s="180">
        <f t="shared" si="46"/>
        <v>0.19295302013422821</v>
      </c>
      <c r="J114" s="183">
        <f t="shared" si="44"/>
        <v>115</v>
      </c>
      <c r="K114" s="166">
        <f t="shared" si="45"/>
        <v>1.166845823725865E-3</v>
      </c>
    </row>
    <row r="115" spans="2:11" x14ac:dyDescent="0.25">
      <c r="B115" s="164" t="s">
        <v>125</v>
      </c>
      <c r="C115" s="165">
        <v>157</v>
      </c>
      <c r="D115" s="165">
        <v>1</v>
      </c>
      <c r="E115" s="165">
        <v>216</v>
      </c>
      <c r="F115" s="165">
        <v>257</v>
      </c>
      <c r="G115" s="165">
        <v>255</v>
      </c>
      <c r="H115" s="165">
        <v>288</v>
      </c>
      <c r="I115" s="180">
        <f t="shared" si="46"/>
        <v>0.12941176470588234</v>
      </c>
      <c r="J115" s="183">
        <f t="shared" si="44"/>
        <v>33</v>
      </c>
      <c r="K115" s="166">
        <f t="shared" si="45"/>
        <v>4.7264640961047701E-4</v>
      </c>
    </row>
    <row r="116" spans="2:11" x14ac:dyDescent="0.25">
      <c r="B116" s="164" t="s">
        <v>121</v>
      </c>
      <c r="C116" s="165">
        <v>252</v>
      </c>
      <c r="D116" s="165">
        <v>7</v>
      </c>
      <c r="E116" s="165">
        <v>198</v>
      </c>
      <c r="F116" s="165">
        <v>232</v>
      </c>
      <c r="G116" s="165">
        <v>185</v>
      </c>
      <c r="H116" s="165">
        <v>232</v>
      </c>
      <c r="I116" s="180">
        <f t="shared" si="46"/>
        <v>0.25405405405405412</v>
      </c>
      <c r="J116" s="183">
        <f t="shared" si="44"/>
        <v>47</v>
      </c>
      <c r="K116" s="166">
        <f t="shared" si="45"/>
        <v>3.8074294107510645E-4</v>
      </c>
    </row>
    <row r="117" spans="2:11" x14ac:dyDescent="0.25">
      <c r="B117" s="164" t="s">
        <v>130</v>
      </c>
      <c r="C117" s="165">
        <v>180</v>
      </c>
      <c r="D117" s="165">
        <v>4</v>
      </c>
      <c r="E117" s="165">
        <v>52</v>
      </c>
      <c r="F117" s="165">
        <v>110</v>
      </c>
      <c r="G117" s="165">
        <v>65</v>
      </c>
      <c r="H117" s="165">
        <v>55</v>
      </c>
      <c r="I117" s="180">
        <f t="shared" si="46"/>
        <v>-0.15384615384615385</v>
      </c>
      <c r="J117" s="183">
        <f t="shared" si="44"/>
        <v>-10</v>
      </c>
      <c r="K117" s="166">
        <f t="shared" si="45"/>
        <v>9.0262335168667476E-5</v>
      </c>
    </row>
    <row r="118" spans="2:11" x14ac:dyDescent="0.25">
      <c r="B118" s="164" t="s">
        <v>133</v>
      </c>
      <c r="C118" s="165">
        <v>383</v>
      </c>
      <c r="D118" s="165">
        <v>4</v>
      </c>
      <c r="E118" s="165">
        <v>78</v>
      </c>
      <c r="F118" s="165">
        <v>64</v>
      </c>
      <c r="G118" s="165">
        <v>68</v>
      </c>
      <c r="H118" s="165">
        <v>58</v>
      </c>
      <c r="I118" s="180">
        <f t="shared" si="46"/>
        <v>-0.1470588235294118</v>
      </c>
      <c r="J118" s="183">
        <f t="shared" si="44"/>
        <v>-10</v>
      </c>
      <c r="K118" s="166">
        <f t="shared" si="45"/>
        <v>9.5185735268776614E-5</v>
      </c>
    </row>
    <row r="119" spans="2:11" x14ac:dyDescent="0.25">
      <c r="B119" s="169" t="s">
        <v>147</v>
      </c>
      <c r="C119" s="170">
        <f t="shared" ref="C119:H119" si="47">IFERROR(C111-SUM(C112:C118),"nd")</f>
        <v>3508</v>
      </c>
      <c r="D119" s="170">
        <f t="shared" si="47"/>
        <v>42</v>
      </c>
      <c r="E119" s="170">
        <f t="shared" si="47"/>
        <v>2403</v>
      </c>
      <c r="F119" s="170">
        <f t="shared" si="47"/>
        <v>3004</v>
      </c>
      <c r="G119" s="170">
        <f t="shared" si="47"/>
        <v>3522</v>
      </c>
      <c r="H119" s="170">
        <f t="shared" si="47"/>
        <v>3825</v>
      </c>
      <c r="I119" s="181">
        <f t="shared" si="46"/>
        <v>8.6030664395229994E-2</v>
      </c>
      <c r="J119" s="184">
        <f t="shared" si="44"/>
        <v>303</v>
      </c>
      <c r="K119" s="171">
        <f t="shared" si="45"/>
        <v>6.2773351276391477E-3</v>
      </c>
    </row>
    <row r="120" spans="2:11" x14ac:dyDescent="0.25">
      <c r="B120" s="156" t="s">
        <v>53</v>
      </c>
      <c r="C120" s="154"/>
      <c r="D120" s="154"/>
      <c r="E120" s="154"/>
      <c r="F120" s="154"/>
      <c r="G120" s="154"/>
      <c r="H120" s="154"/>
      <c r="I120" s="155"/>
      <c r="J120" s="155"/>
      <c r="K120" s="154"/>
    </row>
    <row r="121" spans="2:11" x14ac:dyDescent="0.25">
      <c r="B121" s="157" t="s">
        <v>70</v>
      </c>
      <c r="C121" s="177" t="str">
        <f t="shared" ref="C121:H121" si="48">IFERROR(C122+C125,"nd")</f>
        <v>nd</v>
      </c>
      <c r="D121" s="177" t="str">
        <f t="shared" si="48"/>
        <v>nd</v>
      </c>
      <c r="E121" s="177" t="str">
        <f t="shared" si="48"/>
        <v>nd</v>
      </c>
      <c r="F121" s="177" t="str">
        <f t="shared" si="48"/>
        <v>nd</v>
      </c>
      <c r="G121" s="177" t="str">
        <f t="shared" si="48"/>
        <v>nd</v>
      </c>
      <c r="H121" s="177" t="str">
        <f t="shared" si="48"/>
        <v>nd</v>
      </c>
      <c r="I121" s="178" t="str">
        <f>IFERROR(H121/G121-1,"-")</f>
        <v>-</v>
      </c>
      <c r="J121" s="177" t="str">
        <f>IFERROR(H121-G121,"-")</f>
        <v>-</v>
      </c>
      <c r="K121" s="178" t="str">
        <f>IFERROR(H121/H$9,"-")</f>
        <v>-</v>
      </c>
    </row>
    <row r="122" spans="2:11" x14ac:dyDescent="0.25">
      <c r="B122" s="160" t="s">
        <v>99</v>
      </c>
      <c r="C122" s="161" t="s">
        <v>313</v>
      </c>
      <c r="D122" s="161" t="s">
        <v>313</v>
      </c>
      <c r="E122" s="161" t="s">
        <v>313</v>
      </c>
      <c r="F122" s="161" t="s">
        <v>313</v>
      </c>
      <c r="G122" s="161" t="s">
        <v>313</v>
      </c>
      <c r="H122" s="161" t="s">
        <v>313</v>
      </c>
      <c r="I122" s="179" t="str">
        <f>IFERROR(H122/G122-1,"-")</f>
        <v>-</v>
      </c>
      <c r="J122" s="182" t="str">
        <f t="shared" ref="J122:J133" si="49">IFERROR(H122-G122,"-")</f>
        <v>-</v>
      </c>
      <c r="K122" s="162" t="str">
        <f t="shared" ref="K122:K133" si="50">IFERROR(H122/H$9,"-")</f>
        <v>-</v>
      </c>
    </row>
    <row r="123" spans="2:11" x14ac:dyDescent="0.25">
      <c r="B123" s="164" t="s">
        <v>105</v>
      </c>
      <c r="C123" s="165" t="s">
        <v>313</v>
      </c>
      <c r="D123" s="165" t="s">
        <v>313</v>
      </c>
      <c r="E123" s="165" t="s">
        <v>313</v>
      </c>
      <c r="F123" s="165" t="s">
        <v>313</v>
      </c>
      <c r="G123" s="165" t="s">
        <v>313</v>
      </c>
      <c r="H123" s="165" t="s">
        <v>313</v>
      </c>
      <c r="I123" s="180" t="str">
        <f>IFERROR(H123/G123-1,"-")</f>
        <v>-</v>
      </c>
      <c r="J123" s="183" t="str">
        <f t="shared" si="49"/>
        <v>-</v>
      </c>
      <c r="K123" s="166" t="str">
        <f t="shared" si="50"/>
        <v>-</v>
      </c>
    </row>
    <row r="124" spans="2:11" x14ac:dyDescent="0.25">
      <c r="B124" s="164" t="s">
        <v>102</v>
      </c>
      <c r="C124" s="165" t="s">
        <v>313</v>
      </c>
      <c r="D124" s="165" t="s">
        <v>313</v>
      </c>
      <c r="E124" s="165" t="s">
        <v>313</v>
      </c>
      <c r="F124" s="165" t="s">
        <v>313</v>
      </c>
      <c r="G124" s="165" t="s">
        <v>313</v>
      </c>
      <c r="H124" s="165" t="s">
        <v>313</v>
      </c>
      <c r="I124" s="180" t="str">
        <f>IFERROR(H124/G124-1,"-")</f>
        <v>-</v>
      </c>
      <c r="J124" s="183" t="str">
        <f t="shared" si="49"/>
        <v>-</v>
      </c>
      <c r="K124" s="166" t="str">
        <f t="shared" si="50"/>
        <v>-</v>
      </c>
    </row>
    <row r="125" spans="2:11" x14ac:dyDescent="0.25">
      <c r="B125" s="160" t="s">
        <v>109</v>
      </c>
      <c r="C125" s="161" t="s">
        <v>313</v>
      </c>
      <c r="D125" s="161" t="s">
        <v>313</v>
      </c>
      <c r="E125" s="161" t="s">
        <v>313</v>
      </c>
      <c r="F125" s="161" t="s">
        <v>313</v>
      </c>
      <c r="G125" s="161" t="s">
        <v>313</v>
      </c>
      <c r="H125" s="161" t="s">
        <v>313</v>
      </c>
      <c r="I125" s="179" t="str">
        <f>IFERROR(H125/G125-1,"-")</f>
        <v>-</v>
      </c>
      <c r="J125" s="182" t="str">
        <f t="shared" si="49"/>
        <v>-</v>
      </c>
      <c r="K125" s="162" t="str">
        <f t="shared" si="50"/>
        <v>-</v>
      </c>
    </row>
    <row r="126" spans="2:11" x14ac:dyDescent="0.25">
      <c r="B126" s="164" t="s">
        <v>112</v>
      </c>
      <c r="C126" s="165" t="s">
        <v>313</v>
      </c>
      <c r="D126" s="165" t="s">
        <v>313</v>
      </c>
      <c r="E126" s="165" t="s">
        <v>313</v>
      </c>
      <c r="F126" s="165" t="s">
        <v>313</v>
      </c>
      <c r="G126" s="165" t="s">
        <v>313</v>
      </c>
      <c r="H126" s="165" t="s">
        <v>313</v>
      </c>
      <c r="I126" s="180" t="str">
        <f t="shared" ref="I126:I133" si="51">IFERROR(H126/G126-1,"-")</f>
        <v>-</v>
      </c>
      <c r="J126" s="183" t="str">
        <f t="shared" si="49"/>
        <v>-</v>
      </c>
      <c r="K126" s="166" t="str">
        <f t="shared" si="50"/>
        <v>-</v>
      </c>
    </row>
    <row r="127" spans="2:11" x14ac:dyDescent="0.25">
      <c r="B127" s="164" t="s">
        <v>115</v>
      </c>
      <c r="C127" s="165" t="s">
        <v>313</v>
      </c>
      <c r="D127" s="165" t="s">
        <v>313</v>
      </c>
      <c r="E127" s="165" t="s">
        <v>313</v>
      </c>
      <c r="F127" s="165" t="s">
        <v>313</v>
      </c>
      <c r="G127" s="165" t="s">
        <v>313</v>
      </c>
      <c r="H127" s="165" t="s">
        <v>313</v>
      </c>
      <c r="I127" s="180" t="str">
        <f t="shared" si="51"/>
        <v>-</v>
      </c>
      <c r="J127" s="183" t="str">
        <f t="shared" si="49"/>
        <v>-</v>
      </c>
      <c r="K127" s="166" t="str">
        <f t="shared" si="50"/>
        <v>-</v>
      </c>
    </row>
    <row r="128" spans="2:11" x14ac:dyDescent="0.25">
      <c r="B128" s="164" t="s">
        <v>118</v>
      </c>
      <c r="C128" s="165" t="s">
        <v>313</v>
      </c>
      <c r="D128" s="165" t="s">
        <v>313</v>
      </c>
      <c r="E128" s="165" t="s">
        <v>313</v>
      </c>
      <c r="F128" s="165" t="s">
        <v>313</v>
      </c>
      <c r="G128" s="165" t="s">
        <v>313</v>
      </c>
      <c r="H128" s="165" t="s">
        <v>313</v>
      </c>
      <c r="I128" s="180" t="str">
        <f t="shared" si="51"/>
        <v>-</v>
      </c>
      <c r="J128" s="183" t="str">
        <f t="shared" si="49"/>
        <v>-</v>
      </c>
      <c r="K128" s="166" t="str">
        <f t="shared" si="50"/>
        <v>-</v>
      </c>
    </row>
    <row r="129" spans="2:11" x14ac:dyDescent="0.25">
      <c r="B129" s="164" t="s">
        <v>125</v>
      </c>
      <c r="C129" s="165" t="s">
        <v>313</v>
      </c>
      <c r="D129" s="165" t="s">
        <v>313</v>
      </c>
      <c r="E129" s="165" t="s">
        <v>313</v>
      </c>
      <c r="F129" s="165" t="s">
        <v>313</v>
      </c>
      <c r="G129" s="165" t="s">
        <v>313</v>
      </c>
      <c r="H129" s="165" t="s">
        <v>313</v>
      </c>
      <c r="I129" s="180" t="str">
        <f t="shared" si="51"/>
        <v>-</v>
      </c>
      <c r="J129" s="183" t="str">
        <f t="shared" si="49"/>
        <v>-</v>
      </c>
      <c r="K129" s="166" t="str">
        <f t="shared" si="50"/>
        <v>-</v>
      </c>
    </row>
    <row r="130" spans="2:11" x14ac:dyDescent="0.25">
      <c r="B130" s="164" t="s">
        <v>121</v>
      </c>
      <c r="C130" s="165" t="s">
        <v>313</v>
      </c>
      <c r="D130" s="165" t="s">
        <v>313</v>
      </c>
      <c r="E130" s="165" t="s">
        <v>313</v>
      </c>
      <c r="F130" s="165" t="s">
        <v>313</v>
      </c>
      <c r="G130" s="165" t="s">
        <v>313</v>
      </c>
      <c r="H130" s="165" t="s">
        <v>313</v>
      </c>
      <c r="I130" s="180" t="str">
        <f t="shared" si="51"/>
        <v>-</v>
      </c>
      <c r="J130" s="183" t="str">
        <f t="shared" si="49"/>
        <v>-</v>
      </c>
      <c r="K130" s="166" t="str">
        <f t="shared" si="50"/>
        <v>-</v>
      </c>
    </row>
    <row r="131" spans="2:11" x14ac:dyDescent="0.25">
      <c r="B131" s="164" t="s">
        <v>130</v>
      </c>
      <c r="C131" s="165" t="s">
        <v>313</v>
      </c>
      <c r="D131" s="165" t="s">
        <v>313</v>
      </c>
      <c r="E131" s="165" t="s">
        <v>313</v>
      </c>
      <c r="F131" s="165" t="s">
        <v>313</v>
      </c>
      <c r="G131" s="165" t="s">
        <v>313</v>
      </c>
      <c r="H131" s="165" t="s">
        <v>313</v>
      </c>
      <c r="I131" s="180" t="str">
        <f t="shared" si="51"/>
        <v>-</v>
      </c>
      <c r="J131" s="183" t="str">
        <f t="shared" si="49"/>
        <v>-</v>
      </c>
      <c r="K131" s="166" t="str">
        <f t="shared" si="50"/>
        <v>-</v>
      </c>
    </row>
    <row r="132" spans="2:11" x14ac:dyDescent="0.25">
      <c r="B132" s="164" t="s">
        <v>133</v>
      </c>
      <c r="C132" s="165" t="s">
        <v>313</v>
      </c>
      <c r="D132" s="165" t="s">
        <v>313</v>
      </c>
      <c r="E132" s="165" t="s">
        <v>313</v>
      </c>
      <c r="F132" s="165" t="s">
        <v>313</v>
      </c>
      <c r="G132" s="165" t="s">
        <v>313</v>
      </c>
      <c r="H132" s="165" t="s">
        <v>313</v>
      </c>
      <c r="I132" s="180" t="str">
        <f t="shared" si="51"/>
        <v>-</v>
      </c>
      <c r="J132" s="183" t="str">
        <f t="shared" si="49"/>
        <v>-</v>
      </c>
      <c r="K132" s="166" t="str">
        <f t="shared" si="50"/>
        <v>-</v>
      </c>
    </row>
    <row r="133" spans="2:11" x14ac:dyDescent="0.25">
      <c r="B133" s="169" t="s">
        <v>147</v>
      </c>
      <c r="C133" s="170" t="str">
        <f t="shared" ref="C133:H133" si="52">IFERROR(C125-SUM(C126:C132),"nd")</f>
        <v>nd</v>
      </c>
      <c r="D133" s="170" t="str">
        <f t="shared" si="52"/>
        <v>nd</v>
      </c>
      <c r="E133" s="170" t="str">
        <f t="shared" si="52"/>
        <v>nd</v>
      </c>
      <c r="F133" s="170" t="str">
        <f t="shared" si="52"/>
        <v>nd</v>
      </c>
      <c r="G133" s="170" t="str">
        <f t="shared" si="52"/>
        <v>nd</v>
      </c>
      <c r="H133" s="170" t="str">
        <f t="shared" si="52"/>
        <v>nd</v>
      </c>
      <c r="I133" s="181" t="str">
        <f t="shared" si="51"/>
        <v>-</v>
      </c>
      <c r="J133" s="184" t="str">
        <f t="shared" si="49"/>
        <v>-</v>
      </c>
      <c r="K133" s="171" t="str">
        <f t="shared" si="50"/>
        <v>-</v>
      </c>
    </row>
    <row r="134" spans="2:11" x14ac:dyDescent="0.25">
      <c r="B134" s="156" t="s">
        <v>54</v>
      </c>
      <c r="C134" s="154"/>
      <c r="D134" s="154"/>
      <c r="E134" s="154"/>
      <c r="F134" s="154"/>
      <c r="G134" s="154"/>
      <c r="H134" s="154"/>
      <c r="I134" s="155"/>
      <c r="J134" s="155"/>
      <c r="K134" s="154"/>
    </row>
    <row r="135" spans="2:11" x14ac:dyDescent="0.25">
      <c r="B135" s="157" t="s">
        <v>70</v>
      </c>
      <c r="C135" s="177">
        <f t="shared" ref="C135:H135" si="53">IFERROR(C136+C139,"nd")</f>
        <v>13012</v>
      </c>
      <c r="D135" s="177">
        <f t="shared" si="53"/>
        <v>6263</v>
      </c>
      <c r="E135" s="177">
        <f t="shared" si="53"/>
        <v>21379</v>
      </c>
      <c r="F135" s="177">
        <f t="shared" si="53"/>
        <v>23156</v>
      </c>
      <c r="G135" s="177">
        <f t="shared" si="53"/>
        <v>24437</v>
      </c>
      <c r="H135" s="177">
        <f t="shared" si="53"/>
        <v>25397</v>
      </c>
      <c r="I135" s="178">
        <f>IFERROR(H135/G135-1,"-")</f>
        <v>3.9284691246879833E-2</v>
      </c>
      <c r="J135" s="177">
        <f>IFERROR(H135-G135,"-")</f>
        <v>960</v>
      </c>
      <c r="K135" s="178">
        <f>IFERROR(H135/H$9,"-")</f>
        <v>4.1679864114157236E-2</v>
      </c>
    </row>
    <row r="136" spans="2:11" x14ac:dyDescent="0.25">
      <c r="B136" s="160" t="s">
        <v>99</v>
      </c>
      <c r="C136" s="161">
        <v>742</v>
      </c>
      <c r="D136" s="161">
        <v>3051</v>
      </c>
      <c r="E136" s="161">
        <v>2656</v>
      </c>
      <c r="F136" s="161">
        <v>3844</v>
      </c>
      <c r="G136" s="161">
        <v>2988</v>
      </c>
      <c r="H136" s="161">
        <v>3024</v>
      </c>
      <c r="I136" s="179">
        <f>IFERROR(H136/G136-1,"-")</f>
        <v>1.2048192771084265E-2</v>
      </c>
      <c r="J136" s="182">
        <f t="shared" ref="J136:J147" si="54">IFERROR(H136-G136,"-")</f>
        <v>36</v>
      </c>
      <c r="K136" s="162">
        <f t="shared" ref="K136:K147" si="55">IFERROR(H136/H$9,"-")</f>
        <v>4.9627873009100085E-3</v>
      </c>
    </row>
    <row r="137" spans="2:11" x14ac:dyDescent="0.25">
      <c r="B137" s="164" t="s">
        <v>105</v>
      </c>
      <c r="C137" s="165">
        <v>617</v>
      </c>
      <c r="D137" s="165">
        <v>2088</v>
      </c>
      <c r="E137" s="165">
        <v>1732</v>
      </c>
      <c r="F137" s="165">
        <v>2599</v>
      </c>
      <c r="G137" s="165">
        <v>2079</v>
      </c>
      <c r="H137" s="165">
        <v>1853</v>
      </c>
      <c r="I137" s="180">
        <f>IFERROR(H137/G137-1,"-")</f>
        <v>-0.10870610870610875</v>
      </c>
      <c r="J137" s="183">
        <f t="shared" si="54"/>
        <v>-226</v>
      </c>
      <c r="K137" s="166">
        <f t="shared" si="55"/>
        <v>3.0410201285007428E-3</v>
      </c>
    </row>
    <row r="138" spans="2:11" x14ac:dyDescent="0.25">
      <c r="B138" s="164" t="s">
        <v>102</v>
      </c>
      <c r="C138" s="165">
        <v>125</v>
      </c>
      <c r="D138" s="165">
        <v>963</v>
      </c>
      <c r="E138" s="165">
        <v>924</v>
      </c>
      <c r="F138" s="165">
        <v>1245</v>
      </c>
      <c r="G138" s="165">
        <v>909</v>
      </c>
      <c r="H138" s="165">
        <v>1171</v>
      </c>
      <c r="I138" s="180">
        <f>IFERROR(H138/G138-1,"-")</f>
        <v>0.28822882288228824</v>
      </c>
      <c r="J138" s="183">
        <f t="shared" si="54"/>
        <v>262</v>
      </c>
      <c r="K138" s="166">
        <f t="shared" si="55"/>
        <v>1.9217671724092659E-3</v>
      </c>
    </row>
    <row r="139" spans="2:11" x14ac:dyDescent="0.25">
      <c r="B139" s="160" t="s">
        <v>109</v>
      </c>
      <c r="C139" s="161">
        <v>12270</v>
      </c>
      <c r="D139" s="161">
        <v>3212</v>
      </c>
      <c r="E139" s="161">
        <v>18723</v>
      </c>
      <c r="F139" s="161">
        <v>19312</v>
      </c>
      <c r="G139" s="161">
        <v>21449</v>
      </c>
      <c r="H139" s="161">
        <v>22373</v>
      </c>
      <c r="I139" s="179">
        <f>IFERROR(H139/G139-1,"-")</f>
        <v>4.3078931418714106E-2</v>
      </c>
      <c r="J139" s="182">
        <f t="shared" si="54"/>
        <v>924</v>
      </c>
      <c r="K139" s="162">
        <f t="shared" si="55"/>
        <v>3.6717076813247228E-2</v>
      </c>
    </row>
    <row r="140" spans="2:11" x14ac:dyDescent="0.25">
      <c r="B140" s="164" t="s">
        <v>112</v>
      </c>
      <c r="C140" s="165">
        <v>6096</v>
      </c>
      <c r="D140" s="165">
        <v>126</v>
      </c>
      <c r="E140" s="165">
        <v>6676</v>
      </c>
      <c r="F140" s="165">
        <v>7396</v>
      </c>
      <c r="G140" s="165">
        <v>9052</v>
      </c>
      <c r="H140" s="165">
        <v>9611</v>
      </c>
      <c r="I140" s="180">
        <f t="shared" ref="I140:I147" si="56">IFERROR(H140/G140-1,"-")</f>
        <v>6.1754308440123751E-2</v>
      </c>
      <c r="J140" s="183">
        <f t="shared" si="54"/>
        <v>559</v>
      </c>
      <c r="K140" s="166">
        <f t="shared" si="55"/>
        <v>1.5772932787382968E-2</v>
      </c>
    </row>
    <row r="141" spans="2:11" x14ac:dyDescent="0.25">
      <c r="B141" s="164" t="s">
        <v>115</v>
      </c>
      <c r="C141" s="165">
        <v>664</v>
      </c>
      <c r="D141" s="165">
        <v>278</v>
      </c>
      <c r="E141" s="165">
        <v>1677</v>
      </c>
      <c r="F141" s="165">
        <v>1302</v>
      </c>
      <c r="G141" s="165">
        <v>1480</v>
      </c>
      <c r="H141" s="165">
        <v>1413</v>
      </c>
      <c r="I141" s="180">
        <f t="shared" si="56"/>
        <v>-4.5270270270270307E-2</v>
      </c>
      <c r="J141" s="183">
        <f t="shared" si="54"/>
        <v>-67</v>
      </c>
      <c r="K141" s="166">
        <f t="shared" si="55"/>
        <v>2.318921447151403E-3</v>
      </c>
    </row>
    <row r="142" spans="2:11" x14ac:dyDescent="0.25">
      <c r="B142" s="164" t="s">
        <v>118</v>
      </c>
      <c r="C142" s="165">
        <v>466</v>
      </c>
      <c r="D142" s="165">
        <v>788</v>
      </c>
      <c r="E142" s="165">
        <v>1977</v>
      </c>
      <c r="F142" s="165">
        <v>1966</v>
      </c>
      <c r="G142" s="165">
        <v>1844</v>
      </c>
      <c r="H142" s="165">
        <v>2055</v>
      </c>
      <c r="I142" s="180">
        <f t="shared" si="56"/>
        <v>0.11442516268980474</v>
      </c>
      <c r="J142" s="183">
        <f t="shared" si="54"/>
        <v>211</v>
      </c>
      <c r="K142" s="166">
        <f t="shared" si="55"/>
        <v>3.3725290685747578E-3</v>
      </c>
    </row>
    <row r="143" spans="2:11" x14ac:dyDescent="0.25">
      <c r="B143" s="164" t="s">
        <v>125</v>
      </c>
      <c r="C143" s="165">
        <v>359</v>
      </c>
      <c r="D143" s="165">
        <v>89</v>
      </c>
      <c r="E143" s="165">
        <v>938</v>
      </c>
      <c r="F143" s="165">
        <v>618</v>
      </c>
      <c r="G143" s="165">
        <v>635</v>
      </c>
      <c r="H143" s="165">
        <v>692</v>
      </c>
      <c r="I143" s="180">
        <f t="shared" si="56"/>
        <v>8.9763779527558984E-2</v>
      </c>
      <c r="J143" s="183">
        <f t="shared" si="54"/>
        <v>57</v>
      </c>
      <c r="K143" s="166">
        <f t="shared" si="55"/>
        <v>1.1356642897585073E-3</v>
      </c>
    </row>
    <row r="144" spans="2:11" x14ac:dyDescent="0.25">
      <c r="B144" s="164" t="s">
        <v>121</v>
      </c>
      <c r="C144" s="165">
        <v>190</v>
      </c>
      <c r="D144" s="165">
        <v>48</v>
      </c>
      <c r="E144" s="165">
        <v>492</v>
      </c>
      <c r="F144" s="165">
        <v>324</v>
      </c>
      <c r="G144" s="165">
        <v>449</v>
      </c>
      <c r="H144" s="165">
        <v>428</v>
      </c>
      <c r="I144" s="180">
        <f t="shared" si="56"/>
        <v>-4.6770601336302842E-2</v>
      </c>
      <c r="J144" s="183">
        <f t="shared" si="54"/>
        <v>-21</v>
      </c>
      <c r="K144" s="166">
        <f t="shared" si="55"/>
        <v>7.0240508094890331E-4</v>
      </c>
    </row>
    <row r="145" spans="2:11" x14ac:dyDescent="0.25">
      <c r="B145" s="164" t="s">
        <v>130</v>
      </c>
      <c r="C145" s="165">
        <v>380</v>
      </c>
      <c r="D145" s="165">
        <v>17</v>
      </c>
      <c r="E145" s="165">
        <v>230</v>
      </c>
      <c r="F145" s="165">
        <v>294</v>
      </c>
      <c r="G145" s="165">
        <v>188</v>
      </c>
      <c r="H145" s="165">
        <v>255</v>
      </c>
      <c r="I145" s="180">
        <f t="shared" si="56"/>
        <v>0.3563829787234043</v>
      </c>
      <c r="J145" s="183">
        <f t="shared" si="54"/>
        <v>67</v>
      </c>
      <c r="K145" s="166">
        <f t="shared" si="55"/>
        <v>4.1848900850927653E-4</v>
      </c>
    </row>
    <row r="146" spans="2:11" x14ac:dyDescent="0.25">
      <c r="B146" s="164" t="s">
        <v>133</v>
      </c>
      <c r="C146" s="165">
        <v>656</v>
      </c>
      <c r="D146" s="165">
        <v>4</v>
      </c>
      <c r="E146" s="165">
        <v>163</v>
      </c>
      <c r="F146" s="165">
        <v>293</v>
      </c>
      <c r="G146" s="165">
        <v>306</v>
      </c>
      <c r="H146" s="165">
        <v>287</v>
      </c>
      <c r="I146" s="180">
        <f t="shared" si="56"/>
        <v>-6.2091503267973858E-2</v>
      </c>
      <c r="J146" s="183">
        <f t="shared" si="54"/>
        <v>-19</v>
      </c>
      <c r="K146" s="166">
        <f t="shared" si="55"/>
        <v>4.7100527624377393E-4</v>
      </c>
    </row>
    <row r="147" spans="2:11" x14ac:dyDescent="0.25">
      <c r="B147" s="169" t="s">
        <v>147</v>
      </c>
      <c r="C147" s="170">
        <f t="shared" ref="C147:H147" si="57">IFERROR(C139-SUM(C140:C146),"nd")</f>
        <v>3459</v>
      </c>
      <c r="D147" s="170">
        <f t="shared" si="57"/>
        <v>1862</v>
      </c>
      <c r="E147" s="170">
        <f t="shared" si="57"/>
        <v>6570</v>
      </c>
      <c r="F147" s="170">
        <f t="shared" si="57"/>
        <v>7119</v>
      </c>
      <c r="G147" s="170">
        <f t="shared" si="57"/>
        <v>7495</v>
      </c>
      <c r="H147" s="170">
        <f t="shared" si="57"/>
        <v>7632</v>
      </c>
      <c r="I147" s="181">
        <f t="shared" si="56"/>
        <v>1.8278852568379023E-2</v>
      </c>
      <c r="J147" s="184">
        <f t="shared" si="54"/>
        <v>137</v>
      </c>
      <c r="K147" s="171">
        <f t="shared" si="55"/>
        <v>1.2525129854677641E-2</v>
      </c>
    </row>
    <row r="148" spans="2:11" x14ac:dyDescent="0.25">
      <c r="B148" s="156" t="s">
        <v>55</v>
      </c>
      <c r="C148" s="154"/>
      <c r="D148" s="154"/>
      <c r="E148" s="154"/>
      <c r="F148" s="154"/>
      <c r="G148" s="154"/>
      <c r="H148" s="154"/>
      <c r="I148" s="155"/>
      <c r="J148" s="155"/>
      <c r="K148" s="154"/>
    </row>
    <row r="149" spans="2:11" x14ac:dyDescent="0.25">
      <c r="B149" s="157" t="s">
        <v>70</v>
      </c>
      <c r="C149" s="177">
        <f t="shared" ref="C149:H149" si="58">IFERROR(C150+C153,"nd")</f>
        <v>1913</v>
      </c>
      <c r="D149" s="177">
        <f t="shared" si="58"/>
        <v>559</v>
      </c>
      <c r="E149" s="177">
        <f t="shared" si="58"/>
        <v>6573</v>
      </c>
      <c r="F149" s="177">
        <f t="shared" si="58"/>
        <v>8699</v>
      </c>
      <c r="G149" s="177">
        <f t="shared" si="58"/>
        <v>25293</v>
      </c>
      <c r="H149" s="177">
        <f t="shared" si="58"/>
        <v>24554</v>
      </c>
      <c r="I149" s="178">
        <f>IFERROR(H149/G149-1,"-")</f>
        <v>-2.9217570078677868E-2</v>
      </c>
      <c r="J149" s="177">
        <f>IFERROR(H149-G149,"-")</f>
        <v>-739</v>
      </c>
      <c r="K149" s="178">
        <f>IFERROR(H149/H$9,"-")</f>
        <v>4.0296388686026571E-2</v>
      </c>
    </row>
    <row r="150" spans="2:11" x14ac:dyDescent="0.25">
      <c r="B150" s="160" t="s">
        <v>99</v>
      </c>
      <c r="C150" s="161">
        <v>287</v>
      </c>
      <c r="D150" s="161">
        <v>222</v>
      </c>
      <c r="E150" s="161">
        <v>1037</v>
      </c>
      <c r="F150" s="161">
        <v>1904</v>
      </c>
      <c r="G150" s="161">
        <v>2750</v>
      </c>
      <c r="H150" s="161">
        <v>2587</v>
      </c>
      <c r="I150" s="179">
        <f>IFERROR(H150/G150-1,"-")</f>
        <v>-5.9272727272727255E-2</v>
      </c>
      <c r="J150" s="182">
        <f t="shared" ref="J150:J161" si="59">IFERROR(H150-G150,"-")</f>
        <v>-163</v>
      </c>
      <c r="K150" s="162">
        <f t="shared" ref="K150:K161" si="60">IFERROR(H150/H$9,"-")</f>
        <v>4.2456120196607775E-3</v>
      </c>
    </row>
    <row r="151" spans="2:11" x14ac:dyDescent="0.25">
      <c r="B151" s="164" t="s">
        <v>105</v>
      </c>
      <c r="C151" s="165">
        <v>245</v>
      </c>
      <c r="D151" s="165">
        <v>80</v>
      </c>
      <c r="E151" s="165">
        <v>393</v>
      </c>
      <c r="F151" s="165">
        <v>663</v>
      </c>
      <c r="G151" s="165">
        <v>1944</v>
      </c>
      <c r="H151" s="165">
        <v>1541</v>
      </c>
      <c r="I151" s="180">
        <f>IFERROR(H151/G151-1,"-")</f>
        <v>-0.20730452674897115</v>
      </c>
      <c r="J151" s="183">
        <f t="shared" si="59"/>
        <v>-403</v>
      </c>
      <c r="K151" s="166">
        <f t="shared" si="60"/>
        <v>2.5289865180893926E-3</v>
      </c>
    </row>
    <row r="152" spans="2:11" x14ac:dyDescent="0.25">
      <c r="B152" s="164" t="s">
        <v>102</v>
      </c>
      <c r="C152" s="165">
        <v>42</v>
      </c>
      <c r="D152" s="165">
        <v>142</v>
      </c>
      <c r="E152" s="165">
        <v>644</v>
      </c>
      <c r="F152" s="165">
        <v>1241</v>
      </c>
      <c r="G152" s="165">
        <v>806</v>
      </c>
      <c r="H152" s="165">
        <v>1046</v>
      </c>
      <c r="I152" s="180">
        <f>IFERROR(H152/G152-1,"-")</f>
        <v>0.29776674937965253</v>
      </c>
      <c r="J152" s="183">
        <f t="shared" si="59"/>
        <v>240</v>
      </c>
      <c r="K152" s="166">
        <f t="shared" si="60"/>
        <v>1.7166255015713852E-3</v>
      </c>
    </row>
    <row r="153" spans="2:11" x14ac:dyDescent="0.25">
      <c r="B153" s="160" t="s">
        <v>109</v>
      </c>
      <c r="C153" s="161">
        <v>1626</v>
      </c>
      <c r="D153" s="161">
        <v>337</v>
      </c>
      <c r="E153" s="161">
        <v>5536</v>
      </c>
      <c r="F153" s="161">
        <v>6795</v>
      </c>
      <c r="G153" s="161">
        <v>22543</v>
      </c>
      <c r="H153" s="161">
        <v>21967</v>
      </c>
      <c r="I153" s="179">
        <f>IFERROR(H153/G153-1,"-")</f>
        <v>-2.5551168877256836E-2</v>
      </c>
      <c r="J153" s="182">
        <f t="shared" si="59"/>
        <v>-576</v>
      </c>
      <c r="K153" s="162">
        <f t="shared" si="60"/>
        <v>3.6050776666365796E-2</v>
      </c>
    </row>
    <row r="154" spans="2:11" x14ac:dyDescent="0.25">
      <c r="B154" s="164" t="s">
        <v>112</v>
      </c>
      <c r="C154" s="165">
        <v>279</v>
      </c>
      <c r="D154" s="165">
        <v>8</v>
      </c>
      <c r="E154" s="165">
        <v>2041</v>
      </c>
      <c r="F154" s="165">
        <v>1337</v>
      </c>
      <c r="G154" s="165">
        <v>13167</v>
      </c>
      <c r="H154" s="165">
        <v>13531</v>
      </c>
      <c r="I154" s="180">
        <f t="shared" ref="I154:I161" si="61">IFERROR(H154/G154-1,"-")</f>
        <v>2.7644869750132806E-2</v>
      </c>
      <c r="J154" s="183">
        <f t="shared" si="59"/>
        <v>364</v>
      </c>
      <c r="K154" s="166">
        <f t="shared" si="60"/>
        <v>2.2206175584858902E-2</v>
      </c>
    </row>
    <row r="155" spans="2:11" x14ac:dyDescent="0.25">
      <c r="B155" s="164" t="s">
        <v>115</v>
      </c>
      <c r="C155" s="165">
        <v>422</v>
      </c>
      <c r="D155" s="165">
        <v>96</v>
      </c>
      <c r="E155" s="165">
        <v>944</v>
      </c>
      <c r="F155" s="165">
        <v>1569</v>
      </c>
      <c r="G155" s="165">
        <v>2026</v>
      </c>
      <c r="H155" s="165">
        <v>1542</v>
      </c>
      <c r="I155" s="180">
        <f t="shared" si="61"/>
        <v>-0.23889437314906214</v>
      </c>
      <c r="J155" s="183">
        <f t="shared" si="59"/>
        <v>-484</v>
      </c>
      <c r="K155" s="166">
        <f t="shared" si="60"/>
        <v>2.5306276514560954E-3</v>
      </c>
    </row>
    <row r="156" spans="2:11" x14ac:dyDescent="0.25">
      <c r="B156" s="164" t="s">
        <v>118</v>
      </c>
      <c r="C156" s="165">
        <v>56</v>
      </c>
      <c r="D156" s="165">
        <v>65</v>
      </c>
      <c r="E156" s="165">
        <v>203</v>
      </c>
      <c r="F156" s="165">
        <v>717</v>
      </c>
      <c r="G156" s="165">
        <v>518</v>
      </c>
      <c r="H156" s="165">
        <v>667</v>
      </c>
      <c r="I156" s="180">
        <f t="shared" si="61"/>
        <v>0.28764478764478763</v>
      </c>
      <c r="J156" s="183">
        <f t="shared" si="59"/>
        <v>149</v>
      </c>
      <c r="K156" s="166">
        <f t="shared" si="60"/>
        <v>1.0946359555909311E-3</v>
      </c>
    </row>
    <row r="157" spans="2:11" x14ac:dyDescent="0.25">
      <c r="B157" s="164" t="s">
        <v>125</v>
      </c>
      <c r="C157" s="165">
        <v>28</v>
      </c>
      <c r="D157" s="165">
        <v>4</v>
      </c>
      <c r="E157" s="165">
        <v>762</v>
      </c>
      <c r="F157" s="165">
        <v>426</v>
      </c>
      <c r="G157" s="165">
        <v>1424</v>
      </c>
      <c r="H157" s="165">
        <v>1593</v>
      </c>
      <c r="I157" s="180">
        <f t="shared" si="61"/>
        <v>0.11867977528089879</v>
      </c>
      <c r="J157" s="183">
        <f t="shared" si="59"/>
        <v>169</v>
      </c>
      <c r="K157" s="166">
        <f t="shared" si="60"/>
        <v>2.6143254531579511E-3</v>
      </c>
    </row>
    <row r="158" spans="2:11" x14ac:dyDescent="0.25">
      <c r="B158" s="164" t="s">
        <v>121</v>
      </c>
      <c r="C158" s="165">
        <v>37</v>
      </c>
      <c r="D158" s="165">
        <v>15</v>
      </c>
      <c r="E158" s="165">
        <v>144</v>
      </c>
      <c r="F158" s="165">
        <v>355</v>
      </c>
      <c r="G158" s="165">
        <v>376</v>
      </c>
      <c r="H158" s="165">
        <v>61</v>
      </c>
      <c r="I158" s="180">
        <f t="shared" si="61"/>
        <v>-0.83776595744680848</v>
      </c>
      <c r="J158" s="183">
        <f t="shared" si="59"/>
        <v>-315</v>
      </c>
      <c r="K158" s="166">
        <f t="shared" si="60"/>
        <v>1.0010913536888575E-4</v>
      </c>
    </row>
    <row r="159" spans="2:11" x14ac:dyDescent="0.25">
      <c r="B159" s="164" t="s">
        <v>130</v>
      </c>
      <c r="C159" s="165">
        <v>152</v>
      </c>
      <c r="D159" s="165">
        <v>1</v>
      </c>
      <c r="E159" s="165">
        <v>173</v>
      </c>
      <c r="F159" s="165">
        <v>178</v>
      </c>
      <c r="G159" s="165">
        <v>595</v>
      </c>
      <c r="H159" s="165">
        <v>735</v>
      </c>
      <c r="I159" s="180">
        <f t="shared" si="61"/>
        <v>0.23529411764705888</v>
      </c>
      <c r="J159" s="183">
        <f t="shared" si="59"/>
        <v>140</v>
      </c>
      <c r="K159" s="166">
        <f t="shared" si="60"/>
        <v>1.2062330245267382E-3</v>
      </c>
    </row>
    <row r="160" spans="2:11" x14ac:dyDescent="0.25">
      <c r="B160" s="164" t="s">
        <v>133</v>
      </c>
      <c r="C160" s="165">
        <v>158</v>
      </c>
      <c r="D160" s="165">
        <v>0</v>
      </c>
      <c r="E160" s="165">
        <v>140</v>
      </c>
      <c r="F160" s="165">
        <v>55</v>
      </c>
      <c r="G160" s="165">
        <v>1546</v>
      </c>
      <c r="H160" s="165">
        <v>1405</v>
      </c>
      <c r="I160" s="180">
        <f t="shared" si="61"/>
        <v>-9.1203104786545919E-2</v>
      </c>
      <c r="J160" s="183">
        <f t="shared" si="59"/>
        <v>-141</v>
      </c>
      <c r="K160" s="166">
        <f t="shared" si="60"/>
        <v>2.3057923802177784E-3</v>
      </c>
    </row>
    <row r="161" spans="2:11" x14ac:dyDescent="0.25">
      <c r="B161" s="169" t="s">
        <v>147</v>
      </c>
      <c r="C161" s="170">
        <f t="shared" ref="C161:H161" si="62">IFERROR(C153-SUM(C154:C160),"nd")</f>
        <v>494</v>
      </c>
      <c r="D161" s="170">
        <f t="shared" si="62"/>
        <v>148</v>
      </c>
      <c r="E161" s="170">
        <f t="shared" si="62"/>
        <v>1129</v>
      </c>
      <c r="F161" s="170">
        <f t="shared" si="62"/>
        <v>2158</v>
      </c>
      <c r="G161" s="170">
        <f t="shared" si="62"/>
        <v>2891</v>
      </c>
      <c r="H161" s="170">
        <f t="shared" si="62"/>
        <v>2433</v>
      </c>
      <c r="I161" s="181">
        <f t="shared" si="61"/>
        <v>-0.15842269111034246</v>
      </c>
      <c r="J161" s="184">
        <f t="shared" si="59"/>
        <v>-458</v>
      </c>
      <c r="K161" s="171">
        <f t="shared" si="60"/>
        <v>3.9928774811885089E-3</v>
      </c>
    </row>
    <row r="162" spans="2:11" x14ac:dyDescent="0.25">
      <c r="C162" s="81"/>
      <c r="D162" s="81"/>
      <c r="E162" s="81"/>
      <c r="F162" s="81"/>
      <c r="G162" s="81"/>
      <c r="H162" s="81"/>
      <c r="I162" s="81"/>
    </row>
    <row r="163" spans="2:11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</row>
  </sheetData>
  <mergeCells count="3">
    <mergeCell ref="B4:I4"/>
    <mergeCell ref="C6:K6"/>
    <mergeCell ref="O6:W6"/>
  </mergeCells>
  <pageMargins left="0.25" right="0.25" top="0.75" bottom="0.75" header="0.3" footer="0.3"/>
  <pageSetup paperSize="9" scale="8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DF41-6430-46C8-A208-BDAEF0F0A1AD}">
  <sheetPr>
    <tabColor theme="7" tint="0.79998168889431442"/>
    <pageSetUpPr fitToPage="1"/>
  </sheetPr>
  <dimension ref="A1:Y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6" width="11.7109375" customWidth="1"/>
    <col min="7" max="8" width="11" customWidth="1"/>
    <col min="9" max="10" width="10.5703125" customWidth="1"/>
    <col min="11" max="14" width="11.7109375" customWidth="1"/>
    <col min="15" max="16" width="11" customWidth="1"/>
    <col min="17" max="18" width="10.5703125" customWidth="1"/>
    <col min="19" max="21" width="11.7109375" customWidth="1"/>
    <col min="22" max="23" width="11" customWidth="1"/>
    <col min="24" max="25" width="10.5703125" customWidth="1"/>
  </cols>
  <sheetData>
    <row r="1" spans="1:25" ht="42.75" customHeight="1" x14ac:dyDescent="0.25"/>
    <row r="3" spans="1:25" ht="42" customHeight="1" thickBot="1" x14ac:dyDescent="0.3">
      <c r="B3" s="144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</row>
    <row r="4" spans="1:25" ht="6" customHeight="1" x14ac:dyDescent="0.25"/>
    <row r="5" spans="1:25" ht="15.75" x14ac:dyDescent="0.25">
      <c r="B5" s="185"/>
      <c r="C5" s="311" t="s">
        <v>64</v>
      </c>
      <c r="D5" s="312"/>
      <c r="E5" s="312"/>
      <c r="F5" s="312"/>
      <c r="G5" s="312"/>
      <c r="H5" s="312"/>
      <c r="I5" s="312"/>
      <c r="J5" s="312"/>
      <c r="K5" s="311" t="s">
        <v>63</v>
      </c>
      <c r="L5" s="312"/>
      <c r="M5" s="312"/>
      <c r="N5" s="312"/>
      <c r="O5" s="312"/>
      <c r="P5" s="312"/>
      <c r="Q5" s="312"/>
      <c r="R5" s="312"/>
      <c r="S5" s="311" t="s">
        <v>139</v>
      </c>
      <c r="T5" s="312"/>
      <c r="U5" s="312"/>
      <c r="V5" s="312"/>
      <c r="W5" s="312"/>
      <c r="X5" s="312"/>
      <c r="Y5" s="312"/>
    </row>
    <row r="6" spans="1:25" s="147" customFormat="1" ht="72" customHeight="1" x14ac:dyDescent="0.25">
      <c r="B6" s="148"/>
      <c r="C6" s="173" t="s">
        <v>260</v>
      </c>
      <c r="D6" s="173" t="s">
        <v>261</v>
      </c>
      <c r="E6" s="173" t="s">
        <v>262</v>
      </c>
      <c r="F6" s="173" t="s">
        <v>263</v>
      </c>
      <c r="G6" s="173" t="s">
        <v>264</v>
      </c>
      <c r="H6" s="173" t="s">
        <v>265</v>
      </c>
      <c r="I6" s="174" t="str">
        <f>CONCATENATE("var. ",RIGHT(H6,2),"/",RIGHT(G6,2))</f>
        <v>var. 25/24</v>
      </c>
      <c r="J6" s="174" t="str">
        <f>CONCATENATE("Cuota s/ total lugares de residencia ",RIGHT(H6,4))</f>
        <v>Cuota s/ total lugares de residencia 2025</v>
      </c>
      <c r="K6" s="173" t="s">
        <v>260</v>
      </c>
      <c r="L6" s="173" t="s">
        <v>261</v>
      </c>
      <c r="M6" s="173" t="s">
        <v>262</v>
      </c>
      <c r="N6" s="173" t="s">
        <v>263</v>
      </c>
      <c r="O6" s="173" t="s">
        <v>264</v>
      </c>
      <c r="P6" s="173" t="s">
        <v>265</v>
      </c>
      <c r="Q6" s="174" t="str">
        <f>CONCATENATE("var. ",RIGHT(P6,2),"/",RIGHT(O6,2))</f>
        <v>var. 25/24</v>
      </c>
      <c r="R6" s="174" t="str">
        <f>CONCATENATE("Cuota s/ total lugares de residencia ",RIGHT(P6,4))</f>
        <v>Cuota s/ total lugares de residencia 2025</v>
      </c>
      <c r="S6" s="173" t="s">
        <v>260</v>
      </c>
      <c r="T6" s="173" t="s">
        <v>262</v>
      </c>
      <c r="U6" s="173" t="s">
        <v>263</v>
      </c>
      <c r="V6" s="173" t="s">
        <v>264</v>
      </c>
      <c r="W6" s="173" t="s">
        <v>265</v>
      </c>
      <c r="X6" s="174" t="str">
        <f>CONCATENATE("var. ",RIGHT(W6,2),"/",RIGHT(V6,2))</f>
        <v>var. 25/24</v>
      </c>
      <c r="Y6" s="174" t="str">
        <f>CONCATENATE("Cuota s/ total lugares de residencia ",RIGHT(W6,4))</f>
        <v>Cuota s/ total lugares de residencia 2025</v>
      </c>
    </row>
    <row r="7" spans="1:25" x14ac:dyDescent="0.25">
      <c r="A7" s="1"/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</row>
    <row r="8" spans="1:25" x14ac:dyDescent="0.25">
      <c r="A8" s="1"/>
      <c r="B8" s="157" t="s">
        <v>70</v>
      </c>
      <c r="C8" s="177">
        <f t="shared" ref="C8:H8" si="0">C9+C12</f>
        <v>148691</v>
      </c>
      <c r="D8" s="177">
        <f t="shared" si="0"/>
        <v>82783</v>
      </c>
      <c r="E8" s="177">
        <f t="shared" si="0"/>
        <v>314593</v>
      </c>
      <c r="F8" s="177">
        <f t="shared" si="0"/>
        <v>374579</v>
      </c>
      <c r="G8" s="177">
        <f t="shared" si="0"/>
        <v>373218</v>
      </c>
      <c r="H8" s="177">
        <f t="shared" si="0"/>
        <v>372782</v>
      </c>
      <c r="I8" s="178">
        <f>IFERROR(H8/G8-1,"-")</f>
        <v>-1.1682180387869723E-3</v>
      </c>
      <c r="J8" s="178">
        <f t="shared" ref="J8:J20" si="1">H8/H$8</f>
        <v>1</v>
      </c>
      <c r="K8" s="177">
        <f t="shared" ref="K8:P8" si="2">K9+K12</f>
        <v>575900</v>
      </c>
      <c r="L8" s="177">
        <f t="shared" si="2"/>
        <v>317849</v>
      </c>
      <c r="M8" s="177">
        <f t="shared" si="2"/>
        <v>1440620</v>
      </c>
      <c r="N8" s="177">
        <f t="shared" si="2"/>
        <v>1617630</v>
      </c>
      <c r="O8" s="177">
        <f t="shared" si="2"/>
        <v>1727598</v>
      </c>
      <c r="P8" s="177">
        <f t="shared" si="2"/>
        <v>1684575</v>
      </c>
      <c r="Q8" s="178">
        <f>IFERROR(P8/O8-1,"-")</f>
        <v>-2.4903362935127293E-2</v>
      </c>
      <c r="R8" s="178">
        <f t="shared" ref="R8:R20" si="3">P8/P$8</f>
        <v>1</v>
      </c>
      <c r="S8" s="177">
        <f>S9+S12</f>
        <v>724591</v>
      </c>
      <c r="T8" s="177">
        <f>T9+T12</f>
        <v>1755213</v>
      </c>
      <c r="U8" s="177">
        <f>U9+U12</f>
        <v>1992209</v>
      </c>
      <c r="V8" s="177">
        <f>V9+V12</f>
        <v>2100816</v>
      </c>
      <c r="W8" s="177">
        <f>W9+W12</f>
        <v>2057357</v>
      </c>
      <c r="X8" s="178">
        <f>IFERROR(W8/V8-1,"-")</f>
        <v>-2.0686723635006565E-2</v>
      </c>
      <c r="Y8" s="178">
        <f>W8/W$8</f>
        <v>1</v>
      </c>
    </row>
    <row r="9" spans="1:25" x14ac:dyDescent="0.25">
      <c r="A9" s="1"/>
      <c r="B9" s="160" t="s">
        <v>99</v>
      </c>
      <c r="C9" s="161">
        <v>30892</v>
      </c>
      <c r="D9" s="161">
        <v>44083</v>
      </c>
      <c r="E9" s="161">
        <v>80727</v>
      </c>
      <c r="F9" s="161">
        <v>105918</v>
      </c>
      <c r="G9" s="161">
        <v>101632</v>
      </c>
      <c r="H9" s="161">
        <v>94184</v>
      </c>
      <c r="I9" s="162">
        <f>IFERROR(H9/G9-1,"-")</f>
        <v>-7.3284005037783428E-2</v>
      </c>
      <c r="J9" s="162">
        <f t="shared" si="1"/>
        <v>0.25265168382593578</v>
      </c>
      <c r="K9" s="161">
        <v>91967</v>
      </c>
      <c r="L9" s="161">
        <v>174617</v>
      </c>
      <c r="M9" s="161">
        <v>302493</v>
      </c>
      <c r="N9" s="161">
        <v>310889</v>
      </c>
      <c r="O9" s="161">
        <v>305650</v>
      </c>
      <c r="P9" s="161">
        <v>307401</v>
      </c>
      <c r="Q9" s="162">
        <f>IFERROR(P9/O9-1,"-")</f>
        <v>5.7287747423524493E-3</v>
      </c>
      <c r="R9" s="162">
        <f t="shared" si="3"/>
        <v>0.18247985396910199</v>
      </c>
      <c r="S9" s="161">
        <v>122859</v>
      </c>
      <c r="T9" s="161">
        <v>383220</v>
      </c>
      <c r="U9" s="161">
        <v>416807</v>
      </c>
      <c r="V9" s="161">
        <v>407282</v>
      </c>
      <c r="W9" s="161">
        <v>401585</v>
      </c>
      <c r="X9" s="162">
        <f>IFERROR(W9/V9-1,"-")</f>
        <v>-1.3987851169459997E-2</v>
      </c>
      <c r="Y9" s="162">
        <f>W9/W$8</f>
        <v>0.19519461133872246</v>
      </c>
    </row>
    <row r="10" spans="1:25" x14ac:dyDescent="0.25">
      <c r="A10" s="163"/>
      <c r="B10" s="164" t="s">
        <v>105</v>
      </c>
      <c r="C10" s="165">
        <v>14381</v>
      </c>
      <c r="D10" s="165">
        <v>32507</v>
      </c>
      <c r="E10" s="165">
        <v>45314</v>
      </c>
      <c r="F10" s="165">
        <v>58355</v>
      </c>
      <c r="G10" s="165">
        <v>55109</v>
      </c>
      <c r="H10" s="165">
        <v>48518</v>
      </c>
      <c r="I10" s="166">
        <f>IFERROR(H10/G10-1,"-")</f>
        <v>-0.11959933949082724</v>
      </c>
      <c r="J10" s="166">
        <f t="shared" si="1"/>
        <v>0.13015113390668004</v>
      </c>
      <c r="K10" s="165">
        <v>26759</v>
      </c>
      <c r="L10" s="165">
        <v>103191</v>
      </c>
      <c r="M10" s="165">
        <v>106479</v>
      </c>
      <c r="N10" s="165">
        <v>100624</v>
      </c>
      <c r="O10" s="165">
        <v>97726</v>
      </c>
      <c r="P10" s="165">
        <v>97516</v>
      </c>
      <c r="Q10" s="166">
        <f>IFERROR(P10/O10-1,"-")</f>
        <v>-2.1488651945235082E-3</v>
      </c>
      <c r="R10" s="166">
        <f t="shared" si="3"/>
        <v>5.7887597762046807E-2</v>
      </c>
      <c r="S10" s="165">
        <v>41140</v>
      </c>
      <c r="T10" s="165">
        <v>151793</v>
      </c>
      <c r="U10" s="165">
        <v>158979</v>
      </c>
      <c r="V10" s="165">
        <v>152835</v>
      </c>
      <c r="W10" s="165">
        <v>146034</v>
      </c>
      <c r="X10" s="166">
        <f>IFERROR(W10/V10-1,"-")</f>
        <v>-4.4498969476886807E-2</v>
      </c>
      <c r="Y10" s="166">
        <f>W10/W$8</f>
        <v>7.0981361037486451E-2</v>
      </c>
    </row>
    <row r="11" spans="1:25" x14ac:dyDescent="0.25">
      <c r="A11" s="163"/>
      <c r="B11" s="164" t="s">
        <v>102</v>
      </c>
      <c r="C11" s="165">
        <v>16511</v>
      </c>
      <c r="D11" s="165">
        <v>11576</v>
      </c>
      <c r="E11" s="165">
        <v>35413</v>
      </c>
      <c r="F11" s="165">
        <v>47563</v>
      </c>
      <c r="G11" s="165">
        <v>46523</v>
      </c>
      <c r="H11" s="165">
        <v>45666</v>
      </c>
      <c r="I11" s="166">
        <f>IFERROR(H11/G11-1,"-")</f>
        <v>-1.8420996066461748E-2</v>
      </c>
      <c r="J11" s="166">
        <f t="shared" si="1"/>
        <v>0.12250054991925576</v>
      </c>
      <c r="K11" s="165">
        <v>65208</v>
      </c>
      <c r="L11" s="165">
        <v>71426</v>
      </c>
      <c r="M11" s="165">
        <v>196014</v>
      </c>
      <c r="N11" s="165">
        <v>210265</v>
      </c>
      <c r="O11" s="165">
        <v>207924</v>
      </c>
      <c r="P11" s="165">
        <v>209885</v>
      </c>
      <c r="Q11" s="166">
        <f>IFERROR(P11/O11-1,"-")</f>
        <v>9.4313306785172024E-3</v>
      </c>
      <c r="R11" s="166">
        <f t="shared" si="3"/>
        <v>0.12459225620705519</v>
      </c>
      <c r="S11" s="165">
        <v>81719</v>
      </c>
      <c r="T11" s="165">
        <v>231427</v>
      </c>
      <c r="U11" s="165">
        <v>257828</v>
      </c>
      <c r="V11" s="165">
        <v>254447</v>
      </c>
      <c r="W11" s="165">
        <v>255551</v>
      </c>
      <c r="X11" s="166">
        <f>IFERROR(W11/V11-1,"-")</f>
        <v>4.3388210511423608E-3</v>
      </c>
      <c r="Y11" s="166">
        <f>W11/W$8</f>
        <v>0.12421325030123601</v>
      </c>
    </row>
    <row r="12" spans="1:25" x14ac:dyDescent="0.25">
      <c r="A12" s="1"/>
      <c r="B12" s="160" t="s">
        <v>109</v>
      </c>
      <c r="C12" s="161">
        <v>117799</v>
      </c>
      <c r="D12" s="161">
        <v>38700</v>
      </c>
      <c r="E12" s="161">
        <v>233866</v>
      </c>
      <c r="F12" s="161">
        <v>268661</v>
      </c>
      <c r="G12" s="161">
        <v>271586</v>
      </c>
      <c r="H12" s="161">
        <v>278598</v>
      </c>
      <c r="I12" s="162">
        <f>IFERROR(H12/G12-1,"-")</f>
        <v>2.5818709359098024E-2</v>
      </c>
      <c r="J12" s="162">
        <f t="shared" si="1"/>
        <v>0.74734831617406416</v>
      </c>
      <c r="K12" s="161">
        <v>483933</v>
      </c>
      <c r="L12" s="161">
        <v>143232</v>
      </c>
      <c r="M12" s="161">
        <v>1138127</v>
      </c>
      <c r="N12" s="161">
        <v>1306741</v>
      </c>
      <c r="O12" s="161">
        <v>1421948</v>
      </c>
      <c r="P12" s="161">
        <v>1377174</v>
      </c>
      <c r="Q12" s="162">
        <f>IFERROR(P12/O12-1,"-")</f>
        <v>-3.1487789989507298E-2</v>
      </c>
      <c r="R12" s="162">
        <f t="shared" si="3"/>
        <v>0.81752014603089795</v>
      </c>
      <c r="S12" s="161">
        <v>601732</v>
      </c>
      <c r="T12" s="161">
        <v>1371993</v>
      </c>
      <c r="U12" s="161">
        <v>1575402</v>
      </c>
      <c r="V12" s="161">
        <v>1693534</v>
      </c>
      <c r="W12" s="161">
        <v>1655772</v>
      </c>
      <c r="X12" s="162">
        <f>IFERROR(W12/V12-1,"-")</f>
        <v>-2.2297751329468429E-2</v>
      </c>
      <c r="Y12" s="162">
        <f>W12/W$8</f>
        <v>0.8048053886612776</v>
      </c>
    </row>
    <row r="13" spans="1:25" s="57" customFormat="1" x14ac:dyDescent="0.25">
      <c r="B13" s="164" t="s">
        <v>112</v>
      </c>
      <c r="C13" s="165">
        <v>39547</v>
      </c>
      <c r="D13" s="165">
        <v>2527</v>
      </c>
      <c r="E13" s="165">
        <v>83953</v>
      </c>
      <c r="F13" s="165">
        <v>105008</v>
      </c>
      <c r="G13" s="165">
        <v>101241</v>
      </c>
      <c r="H13" s="165">
        <v>99103</v>
      </c>
      <c r="I13" s="166">
        <f t="shared" ref="I13:I20" si="4">IFERROR(H13/G13-1,"-")</f>
        <v>-2.1117926531741049E-2</v>
      </c>
      <c r="J13" s="166">
        <f t="shared" si="1"/>
        <v>0.26584706343117426</v>
      </c>
      <c r="K13" s="165">
        <v>200754</v>
      </c>
      <c r="L13" s="165">
        <v>7398</v>
      </c>
      <c r="M13" s="165">
        <v>519743</v>
      </c>
      <c r="N13" s="165">
        <v>594690</v>
      </c>
      <c r="O13" s="165">
        <v>647744</v>
      </c>
      <c r="P13" s="165">
        <v>638915</v>
      </c>
      <c r="Q13" s="166">
        <f t="shared" ref="Q13:Q20" si="5">IFERROR(P13/O13-1,"-")</f>
        <v>-1.363038484339496E-2</v>
      </c>
      <c r="R13" s="166">
        <f t="shared" si="3"/>
        <v>0.37927370404998295</v>
      </c>
      <c r="S13" s="165">
        <v>240301</v>
      </c>
      <c r="T13" s="165">
        <v>603696</v>
      </c>
      <c r="U13" s="165">
        <v>699698</v>
      </c>
      <c r="V13" s="165">
        <v>748985</v>
      </c>
      <c r="W13" s="165">
        <v>738018</v>
      </c>
      <c r="X13" s="166">
        <f t="shared" ref="X13:X20" si="6">IFERROR(W13/V13-1,"-")</f>
        <v>-1.464248282675884E-2</v>
      </c>
      <c r="Y13" s="166">
        <f t="shared" ref="Y13:Y20" si="7">W13/W$8</f>
        <v>0.35872140809786535</v>
      </c>
    </row>
    <row r="14" spans="1:25" s="57" customFormat="1" x14ac:dyDescent="0.25">
      <c r="B14" s="164" t="s">
        <v>115</v>
      </c>
      <c r="C14" s="165">
        <v>18311</v>
      </c>
      <c r="D14" s="165">
        <v>7686</v>
      </c>
      <c r="E14" s="165">
        <v>30532</v>
      </c>
      <c r="F14" s="165">
        <v>36832</v>
      </c>
      <c r="G14" s="165">
        <v>36990</v>
      </c>
      <c r="H14" s="165">
        <v>38441</v>
      </c>
      <c r="I14" s="166">
        <f t="shared" si="4"/>
        <v>3.9226818058934798E-2</v>
      </c>
      <c r="J14" s="166">
        <f t="shared" si="1"/>
        <v>0.1031192493199779</v>
      </c>
      <c r="K14" s="165">
        <v>68786</v>
      </c>
      <c r="L14" s="165">
        <v>23036</v>
      </c>
      <c r="M14" s="165">
        <v>131246</v>
      </c>
      <c r="N14" s="165">
        <v>154990</v>
      </c>
      <c r="O14" s="165">
        <v>164380</v>
      </c>
      <c r="P14" s="165">
        <v>154807</v>
      </c>
      <c r="Q14" s="166">
        <f t="shared" si="5"/>
        <v>-5.8237011801922423E-2</v>
      </c>
      <c r="R14" s="166">
        <f t="shared" si="3"/>
        <v>9.1896769214787108E-2</v>
      </c>
      <c r="S14" s="165">
        <v>87097</v>
      </c>
      <c r="T14" s="165">
        <v>161778</v>
      </c>
      <c r="U14" s="165">
        <v>191822</v>
      </c>
      <c r="V14" s="165">
        <v>201370</v>
      </c>
      <c r="W14" s="165">
        <v>193248</v>
      </c>
      <c r="X14" s="166">
        <f t="shared" si="6"/>
        <v>-4.03337140586979E-2</v>
      </c>
      <c r="Y14" s="166">
        <f t="shared" si="7"/>
        <v>9.3930222124794099E-2</v>
      </c>
    </row>
    <row r="15" spans="1:25" x14ac:dyDescent="0.25">
      <c r="A15" s="1"/>
      <c r="B15" s="164" t="s">
        <v>118</v>
      </c>
      <c r="C15" s="165">
        <v>7641</v>
      </c>
      <c r="D15" s="165">
        <v>7901</v>
      </c>
      <c r="E15" s="165">
        <v>15503</v>
      </c>
      <c r="F15" s="165">
        <v>18876</v>
      </c>
      <c r="G15" s="165">
        <v>16692</v>
      </c>
      <c r="H15" s="165">
        <v>17266</v>
      </c>
      <c r="I15" s="166">
        <f t="shared" si="4"/>
        <v>3.4387730649412918E-2</v>
      </c>
      <c r="J15" s="166">
        <f t="shared" si="1"/>
        <v>4.6316613999602983E-2</v>
      </c>
      <c r="K15" s="165">
        <v>24259</v>
      </c>
      <c r="L15" s="165">
        <v>26683</v>
      </c>
      <c r="M15" s="165">
        <v>64940</v>
      </c>
      <c r="N15" s="165">
        <v>73044</v>
      </c>
      <c r="O15" s="165">
        <v>81550</v>
      </c>
      <c r="P15" s="165">
        <v>73730</v>
      </c>
      <c r="Q15" s="166">
        <f t="shared" si="5"/>
        <v>-9.5892090741876101E-2</v>
      </c>
      <c r="R15" s="166">
        <f t="shared" si="3"/>
        <v>4.3767715892732588E-2</v>
      </c>
      <c r="S15" s="165">
        <v>31900</v>
      </c>
      <c r="T15" s="165">
        <v>80443</v>
      </c>
      <c r="U15" s="165">
        <v>91920</v>
      </c>
      <c r="V15" s="165">
        <v>98242</v>
      </c>
      <c r="W15" s="165">
        <v>90996</v>
      </c>
      <c r="X15" s="166">
        <f t="shared" si="6"/>
        <v>-7.3756641762179109E-2</v>
      </c>
      <c r="Y15" s="166">
        <f t="shared" si="7"/>
        <v>4.4229562492071141E-2</v>
      </c>
    </row>
    <row r="16" spans="1:25" x14ac:dyDescent="0.25">
      <c r="A16" s="1"/>
      <c r="B16" s="164" t="s">
        <v>125</v>
      </c>
      <c r="C16" s="165">
        <v>3334</v>
      </c>
      <c r="D16" s="165">
        <v>528</v>
      </c>
      <c r="E16" s="165">
        <v>8934</v>
      </c>
      <c r="F16" s="165">
        <v>6717</v>
      </c>
      <c r="G16" s="165">
        <v>6777</v>
      </c>
      <c r="H16" s="165">
        <v>6773</v>
      </c>
      <c r="I16" s="166">
        <f t="shared" si="4"/>
        <v>-5.9023166592886422E-4</v>
      </c>
      <c r="J16" s="166">
        <f t="shared" si="1"/>
        <v>1.8168795703655219E-2</v>
      </c>
      <c r="K16" s="165">
        <v>16002</v>
      </c>
      <c r="L16" s="165">
        <v>5783</v>
      </c>
      <c r="M16" s="165">
        <v>54681</v>
      </c>
      <c r="N16" s="165">
        <v>48199</v>
      </c>
      <c r="O16" s="165">
        <v>54704</v>
      </c>
      <c r="P16" s="165">
        <v>49342</v>
      </c>
      <c r="Q16" s="166">
        <f t="shared" si="5"/>
        <v>-9.8018426440479645E-2</v>
      </c>
      <c r="R16" s="166">
        <f t="shared" si="3"/>
        <v>2.9290473858391581E-2</v>
      </c>
      <c r="S16" s="165">
        <v>19336</v>
      </c>
      <c r="T16" s="165">
        <v>63615</v>
      </c>
      <c r="U16" s="165">
        <v>54916</v>
      </c>
      <c r="V16" s="165">
        <v>61481</v>
      </c>
      <c r="W16" s="165">
        <v>56115</v>
      </c>
      <c r="X16" s="166">
        <f t="shared" si="6"/>
        <v>-8.7278996763227701E-2</v>
      </c>
      <c r="Y16" s="166">
        <f t="shared" si="7"/>
        <v>2.7275285718521385E-2</v>
      </c>
    </row>
    <row r="17" spans="1:25" x14ac:dyDescent="0.25">
      <c r="A17" s="57"/>
      <c r="B17" s="164" t="s">
        <v>121</v>
      </c>
      <c r="C17" s="165">
        <v>2305</v>
      </c>
      <c r="D17" s="165">
        <v>933</v>
      </c>
      <c r="E17" s="165">
        <v>4860</v>
      </c>
      <c r="F17" s="165">
        <v>4385</v>
      </c>
      <c r="G17" s="165">
        <v>4722</v>
      </c>
      <c r="H17" s="165">
        <v>4750</v>
      </c>
      <c r="I17" s="166">
        <f t="shared" si="4"/>
        <v>5.9296908089792044E-3</v>
      </c>
      <c r="J17" s="166">
        <f t="shared" si="1"/>
        <v>1.2742031535857418E-2</v>
      </c>
      <c r="K17" s="165">
        <v>23899</v>
      </c>
      <c r="L17" s="165">
        <v>10347</v>
      </c>
      <c r="M17" s="165">
        <v>59161</v>
      </c>
      <c r="N17" s="165">
        <v>58414</v>
      </c>
      <c r="O17" s="165">
        <v>62671</v>
      </c>
      <c r="P17" s="165">
        <v>56982</v>
      </c>
      <c r="Q17" s="166">
        <f t="shared" si="5"/>
        <v>-9.0775637854829228E-2</v>
      </c>
      <c r="R17" s="166">
        <f t="shared" si="3"/>
        <v>3.3825742397934198E-2</v>
      </c>
      <c r="S17" s="165">
        <v>26204</v>
      </c>
      <c r="T17" s="165">
        <v>64021</v>
      </c>
      <c r="U17" s="165">
        <v>62799</v>
      </c>
      <c r="V17" s="165">
        <v>67393</v>
      </c>
      <c r="W17" s="165">
        <v>61732</v>
      </c>
      <c r="X17" s="166">
        <f t="shared" si="6"/>
        <v>-8.3999821939964137E-2</v>
      </c>
      <c r="Y17" s="166">
        <f t="shared" si="7"/>
        <v>3.0005487623198112E-2</v>
      </c>
    </row>
    <row r="18" spans="1:25" x14ac:dyDescent="0.25">
      <c r="A18" s="57"/>
      <c r="B18" s="164" t="s">
        <v>130</v>
      </c>
      <c r="C18" s="165">
        <v>3269</v>
      </c>
      <c r="D18" s="165">
        <v>85</v>
      </c>
      <c r="E18" s="165">
        <v>3334</v>
      </c>
      <c r="F18" s="165">
        <v>4011</v>
      </c>
      <c r="G18" s="165">
        <v>3227</v>
      </c>
      <c r="H18" s="165">
        <v>3417</v>
      </c>
      <c r="I18" s="166">
        <f t="shared" si="4"/>
        <v>5.8878215060427674E-2</v>
      </c>
      <c r="J18" s="166">
        <f t="shared" si="1"/>
        <v>9.1662151069525893E-3</v>
      </c>
      <c r="K18" s="165">
        <v>14707</v>
      </c>
      <c r="L18" s="165">
        <v>348</v>
      </c>
      <c r="M18" s="165">
        <v>18295</v>
      </c>
      <c r="N18" s="165">
        <v>24215</v>
      </c>
      <c r="O18" s="165">
        <v>21589</v>
      </c>
      <c r="P18" s="165">
        <v>20631</v>
      </c>
      <c r="Q18" s="166">
        <f t="shared" si="5"/>
        <v>-4.4374449951364081E-2</v>
      </c>
      <c r="R18" s="166">
        <f t="shared" si="3"/>
        <v>1.2247005921374827E-2</v>
      </c>
      <c r="S18" s="165">
        <v>17976</v>
      </c>
      <c r="T18" s="165">
        <v>21629</v>
      </c>
      <c r="U18" s="165">
        <v>28226</v>
      </c>
      <c r="V18" s="165">
        <v>24816</v>
      </c>
      <c r="W18" s="165">
        <v>24048</v>
      </c>
      <c r="X18" s="166">
        <f t="shared" si="6"/>
        <v>-3.0947775628626717E-2</v>
      </c>
      <c r="Y18" s="166">
        <f t="shared" si="7"/>
        <v>1.1688783230134584E-2</v>
      </c>
    </row>
    <row r="19" spans="1:25" x14ac:dyDescent="0.25">
      <c r="A19" s="57"/>
      <c r="B19" s="164" t="s">
        <v>133</v>
      </c>
      <c r="C19" s="165">
        <v>3260</v>
      </c>
      <c r="D19" s="165">
        <v>208</v>
      </c>
      <c r="E19" s="165">
        <v>1956</v>
      </c>
      <c r="F19" s="165">
        <v>2428</v>
      </c>
      <c r="G19" s="165">
        <v>1984</v>
      </c>
      <c r="H19" s="165">
        <v>2151</v>
      </c>
      <c r="I19" s="166">
        <f t="shared" si="4"/>
        <v>8.4173387096774244E-2</v>
      </c>
      <c r="J19" s="166">
        <f t="shared" si="1"/>
        <v>5.7701283860272226E-3</v>
      </c>
      <c r="K19" s="165">
        <v>20819</v>
      </c>
      <c r="L19" s="165">
        <v>1131</v>
      </c>
      <c r="M19" s="165">
        <v>13592</v>
      </c>
      <c r="N19" s="165">
        <v>22312</v>
      </c>
      <c r="O19" s="165">
        <v>21868</v>
      </c>
      <c r="P19" s="165">
        <v>18282</v>
      </c>
      <c r="Q19" s="166">
        <f t="shared" si="5"/>
        <v>-0.16398390342052316</v>
      </c>
      <c r="R19" s="166">
        <f t="shared" si="3"/>
        <v>1.0852588931926451E-2</v>
      </c>
      <c r="S19" s="165">
        <v>24079</v>
      </c>
      <c r="T19" s="165">
        <v>15548</v>
      </c>
      <c r="U19" s="165">
        <v>24740</v>
      </c>
      <c r="V19" s="165">
        <v>23852</v>
      </c>
      <c r="W19" s="165">
        <v>20433</v>
      </c>
      <c r="X19" s="166">
        <f t="shared" si="6"/>
        <v>-0.1433422773771591</v>
      </c>
      <c r="Y19" s="166">
        <f t="shared" si="7"/>
        <v>9.9316744736086156E-3</v>
      </c>
    </row>
    <row r="20" spans="1:25" x14ac:dyDescent="0.25">
      <c r="A20" s="57"/>
      <c r="B20" s="169" t="s">
        <v>147</v>
      </c>
      <c r="C20" s="170">
        <f t="shared" ref="C20" si="8">C12-SUM(C13:C19)</f>
        <v>40132</v>
      </c>
      <c r="D20" s="170">
        <f t="shared" ref="D20:H20" si="9">D12-SUM(D13:D19)</f>
        <v>18832</v>
      </c>
      <c r="E20" s="170">
        <f t="shared" si="9"/>
        <v>84794</v>
      </c>
      <c r="F20" s="170">
        <f t="shared" si="9"/>
        <v>90404</v>
      </c>
      <c r="G20" s="170">
        <f t="shared" si="9"/>
        <v>99953</v>
      </c>
      <c r="H20" s="170">
        <f t="shared" si="9"/>
        <v>106697</v>
      </c>
      <c r="I20" s="171">
        <f t="shared" si="4"/>
        <v>6.7471711704501169E-2</v>
      </c>
      <c r="J20" s="171">
        <f t="shared" si="1"/>
        <v>0.28621821869081659</v>
      </c>
      <c r="K20" s="170">
        <f t="shared" ref="K20:P20" si="10">K12-SUM(K13:K19)</f>
        <v>114707</v>
      </c>
      <c r="L20" s="170">
        <f t="shared" si="10"/>
        <v>68506</v>
      </c>
      <c r="M20" s="170">
        <f t="shared" si="10"/>
        <v>276469</v>
      </c>
      <c r="N20" s="170">
        <f t="shared" si="10"/>
        <v>330877</v>
      </c>
      <c r="O20" s="170">
        <f t="shared" si="10"/>
        <v>367442</v>
      </c>
      <c r="P20" s="170">
        <f t="shared" si="10"/>
        <v>364485</v>
      </c>
      <c r="Q20" s="171">
        <f t="shared" si="5"/>
        <v>-8.0475285895461601E-3</v>
      </c>
      <c r="R20" s="171">
        <f t="shared" si="3"/>
        <v>0.21636614576376831</v>
      </c>
      <c r="S20" s="170">
        <f>S12-SUM(S13:S19)</f>
        <v>154839</v>
      </c>
      <c r="T20" s="170">
        <f>T12-SUM(T13:T19)</f>
        <v>361263</v>
      </c>
      <c r="U20" s="170">
        <f>U12-SUM(U13:U19)</f>
        <v>421281</v>
      </c>
      <c r="V20" s="170">
        <f>V12-SUM(V13:V19)</f>
        <v>467395</v>
      </c>
      <c r="W20" s="170">
        <f>W12-SUM(W13:W19)</f>
        <v>471182</v>
      </c>
      <c r="X20" s="171">
        <f t="shared" si="6"/>
        <v>8.1023545395222385E-3</v>
      </c>
      <c r="Y20" s="171">
        <f t="shared" si="7"/>
        <v>0.22902296490108426</v>
      </c>
    </row>
    <row r="21" spans="1:25" x14ac:dyDescent="0.25">
      <c r="A21" s="57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</row>
    <row r="22" spans="1:25" x14ac:dyDescent="0.25">
      <c r="A22" s="57"/>
      <c r="B22" s="157" t="s">
        <v>70</v>
      </c>
      <c r="C22" s="177">
        <f t="shared" ref="C22:H22" si="11">C23+C26</f>
        <v>35847</v>
      </c>
      <c r="D22" s="177">
        <f t="shared" si="11"/>
        <v>3659</v>
      </c>
      <c r="E22" s="177">
        <f t="shared" si="11"/>
        <v>75055</v>
      </c>
      <c r="F22" s="177">
        <f t="shared" si="11"/>
        <v>81791</v>
      </c>
      <c r="G22" s="177">
        <f t="shared" si="11"/>
        <v>76873</v>
      </c>
      <c r="H22" s="177">
        <f t="shared" si="11"/>
        <v>78987</v>
      </c>
      <c r="I22" s="178">
        <f>IFERROR(H22/G22-1,"-")</f>
        <v>2.7499902436486146E-2</v>
      </c>
      <c r="J22" s="178">
        <f t="shared" ref="J22:J34" si="12">H22/H$8</f>
        <v>0.21188523051005681</v>
      </c>
      <c r="K22" s="177">
        <f t="shared" ref="K22:P22" si="13">K23+K26</f>
        <v>243977</v>
      </c>
      <c r="L22" s="177">
        <f t="shared" si="13"/>
        <v>147521</v>
      </c>
      <c r="M22" s="177">
        <f t="shared" si="13"/>
        <v>638621</v>
      </c>
      <c r="N22" s="177">
        <f t="shared" si="13"/>
        <v>669357</v>
      </c>
      <c r="O22" s="177">
        <f t="shared" si="13"/>
        <v>705143</v>
      </c>
      <c r="P22" s="177">
        <f t="shared" si="13"/>
        <v>656124</v>
      </c>
      <c r="Q22" s="178">
        <f>IFERROR(P22/O22-1,"-")</f>
        <v>-6.9516395965073752E-2</v>
      </c>
      <c r="R22" s="178">
        <f t="shared" ref="R22:R34" si="14">P22/P$8</f>
        <v>0.38948933707314903</v>
      </c>
      <c r="S22" s="177">
        <f>S23+S26</f>
        <v>279824</v>
      </c>
      <c r="T22" s="177">
        <f>T23+T26</f>
        <v>713676</v>
      </c>
      <c r="U22" s="177">
        <f>U23+U26</f>
        <v>751148</v>
      </c>
      <c r="V22" s="177">
        <f>V23+V26</f>
        <v>782016</v>
      </c>
      <c r="W22" s="177">
        <f>W23+W26</f>
        <v>735111</v>
      </c>
      <c r="X22" s="178">
        <f>IFERROR(W22/V22-1,"-")</f>
        <v>-5.9979591210409966E-2</v>
      </c>
      <c r="Y22" s="178">
        <f>W22/W$8</f>
        <v>0.35730843018494118</v>
      </c>
    </row>
    <row r="23" spans="1:25" x14ac:dyDescent="0.25">
      <c r="A23" s="57"/>
      <c r="B23" s="160" t="s">
        <v>99</v>
      </c>
      <c r="C23" s="161">
        <v>1527</v>
      </c>
      <c r="D23" s="161">
        <v>1234</v>
      </c>
      <c r="E23" s="161">
        <v>5900</v>
      </c>
      <c r="F23" s="161">
        <v>5529</v>
      </c>
      <c r="G23" s="161">
        <v>3207</v>
      </c>
      <c r="H23" s="161">
        <v>3980</v>
      </c>
      <c r="I23" s="162">
        <f>IFERROR(H23/G23-1,"-")</f>
        <v>0.24103523542251315</v>
      </c>
      <c r="J23" s="162">
        <f t="shared" si="12"/>
        <v>1.0676481160571058E-2</v>
      </c>
      <c r="K23" s="161">
        <v>15120</v>
      </c>
      <c r="L23" s="161">
        <v>74246</v>
      </c>
      <c r="M23" s="161">
        <v>68811</v>
      </c>
      <c r="N23" s="161">
        <v>57743</v>
      </c>
      <c r="O23" s="161">
        <v>50844</v>
      </c>
      <c r="P23" s="161">
        <v>44728</v>
      </c>
      <c r="Q23" s="162">
        <f>IFERROR(P23/O23-1,"-")</f>
        <v>-0.12028951302021873</v>
      </c>
      <c r="R23" s="162">
        <f t="shared" si="14"/>
        <v>2.6551504088568333E-2</v>
      </c>
      <c r="S23" s="161">
        <v>16647</v>
      </c>
      <c r="T23" s="161">
        <v>74711</v>
      </c>
      <c r="U23" s="161">
        <v>63272</v>
      </c>
      <c r="V23" s="161">
        <v>54051</v>
      </c>
      <c r="W23" s="161">
        <v>48708</v>
      </c>
      <c r="X23" s="162">
        <f>IFERROR(W23/V23-1,"-")</f>
        <v>-9.8851085086307355E-2</v>
      </c>
      <c r="Y23" s="162">
        <f>W23/W$8</f>
        <v>2.3675035494569004E-2</v>
      </c>
    </row>
    <row r="24" spans="1:25" x14ac:dyDescent="0.25">
      <c r="A24" s="57"/>
      <c r="B24" s="164" t="s">
        <v>105</v>
      </c>
      <c r="C24" s="165">
        <v>1004</v>
      </c>
      <c r="D24" s="165">
        <v>707</v>
      </c>
      <c r="E24" s="165">
        <v>3487</v>
      </c>
      <c r="F24" s="165">
        <v>2842</v>
      </c>
      <c r="G24" s="165">
        <v>1030</v>
      </c>
      <c r="H24" s="165">
        <v>1371</v>
      </c>
      <c r="I24" s="166">
        <f>IFERROR(H24/G24-1,"-")</f>
        <v>0.33106796116504844</v>
      </c>
      <c r="J24" s="166">
        <f t="shared" si="12"/>
        <v>3.6777526811916884E-3</v>
      </c>
      <c r="K24" s="165">
        <v>5468</v>
      </c>
      <c r="L24" s="165">
        <v>43372</v>
      </c>
      <c r="M24" s="165">
        <v>28351</v>
      </c>
      <c r="N24" s="165">
        <v>22457</v>
      </c>
      <c r="O24" s="165">
        <v>17534</v>
      </c>
      <c r="P24" s="165">
        <v>20459</v>
      </c>
      <c r="Q24" s="166">
        <f>IFERROR(P24/O24-1,"-")</f>
        <v>0.1668187521387019</v>
      </c>
      <c r="R24" s="166">
        <f t="shared" si="14"/>
        <v>1.214490301708146E-2</v>
      </c>
      <c r="S24" s="165">
        <v>6472</v>
      </c>
      <c r="T24" s="165">
        <v>31838</v>
      </c>
      <c r="U24" s="165">
        <v>25299</v>
      </c>
      <c r="V24" s="165">
        <v>18564</v>
      </c>
      <c r="W24" s="165">
        <v>21830</v>
      </c>
      <c r="X24" s="166">
        <f>IFERROR(W24/V24-1,"-")</f>
        <v>0.17593191122602891</v>
      </c>
      <c r="Y24" s="166">
        <f>W24/W$8</f>
        <v>1.0610701011054473E-2</v>
      </c>
    </row>
    <row r="25" spans="1:25" x14ac:dyDescent="0.25">
      <c r="A25" s="57"/>
      <c r="B25" s="164" t="s">
        <v>102</v>
      </c>
      <c r="C25" s="165">
        <v>523</v>
      </c>
      <c r="D25" s="165">
        <v>527</v>
      </c>
      <c r="E25" s="165">
        <v>2413</v>
      </c>
      <c r="F25" s="165">
        <v>2687</v>
      </c>
      <c r="G25" s="165">
        <v>2177</v>
      </c>
      <c r="H25" s="165">
        <v>2609</v>
      </c>
      <c r="I25" s="166">
        <f>IFERROR(H25/G25-1,"-")</f>
        <v>0.19843821773082215</v>
      </c>
      <c r="J25" s="166">
        <f t="shared" si="12"/>
        <v>6.9987284793793696E-3</v>
      </c>
      <c r="K25" s="165">
        <v>9652</v>
      </c>
      <c r="L25" s="165">
        <v>30874</v>
      </c>
      <c r="M25" s="165">
        <v>40460</v>
      </c>
      <c r="N25" s="165">
        <v>35286</v>
      </c>
      <c r="O25" s="165">
        <v>33310</v>
      </c>
      <c r="P25" s="165">
        <v>24269</v>
      </c>
      <c r="Q25" s="166">
        <f>IFERROR(P25/O25-1,"-")</f>
        <v>-0.27141999399579708</v>
      </c>
      <c r="R25" s="166">
        <f t="shared" si="14"/>
        <v>1.4406601071486873E-2</v>
      </c>
      <c r="S25" s="165">
        <v>10175</v>
      </c>
      <c r="T25" s="165">
        <v>42873</v>
      </c>
      <c r="U25" s="165">
        <v>37973</v>
      </c>
      <c r="V25" s="165">
        <v>35487</v>
      </c>
      <c r="W25" s="165">
        <v>26878</v>
      </c>
      <c r="X25" s="166">
        <f>IFERROR(W25/V25-1,"-")</f>
        <v>-0.24259588018147493</v>
      </c>
      <c r="Y25" s="166">
        <f>W25/W$8</f>
        <v>1.3064334483514529E-2</v>
      </c>
    </row>
    <row r="26" spans="1:25" x14ac:dyDescent="0.25">
      <c r="A26" s="57"/>
      <c r="B26" s="160" t="s">
        <v>109</v>
      </c>
      <c r="C26" s="161">
        <v>34320</v>
      </c>
      <c r="D26" s="161">
        <v>2425</v>
      </c>
      <c r="E26" s="161">
        <v>69155</v>
      </c>
      <c r="F26" s="161">
        <v>76262</v>
      </c>
      <c r="G26" s="161">
        <v>73666</v>
      </c>
      <c r="H26" s="161">
        <v>75007</v>
      </c>
      <c r="I26" s="162">
        <f>IFERROR(H26/G26-1,"-")</f>
        <v>1.8203784649634791E-2</v>
      </c>
      <c r="J26" s="162">
        <f t="shared" si="12"/>
        <v>0.20120874934948577</v>
      </c>
      <c r="K26" s="161">
        <v>228857</v>
      </c>
      <c r="L26" s="161">
        <v>73275</v>
      </c>
      <c r="M26" s="161">
        <v>569810</v>
      </c>
      <c r="N26" s="161">
        <v>611614</v>
      </c>
      <c r="O26" s="161">
        <v>654299</v>
      </c>
      <c r="P26" s="161">
        <v>611396</v>
      </c>
      <c r="Q26" s="162">
        <f>IFERROR(P26/O26-1,"-")</f>
        <v>-6.5570939280053975E-2</v>
      </c>
      <c r="R26" s="162">
        <f t="shared" si="14"/>
        <v>0.36293783298458066</v>
      </c>
      <c r="S26" s="161">
        <v>263177</v>
      </c>
      <c r="T26" s="161">
        <v>638965</v>
      </c>
      <c r="U26" s="161">
        <v>687876</v>
      </c>
      <c r="V26" s="161">
        <v>727965</v>
      </c>
      <c r="W26" s="161">
        <v>686403</v>
      </c>
      <c r="X26" s="162">
        <f>IFERROR(W26/V26-1,"-")</f>
        <v>-5.7093404215862065E-2</v>
      </c>
      <c r="Y26" s="162">
        <f>W26/W$8</f>
        <v>0.33363339469037218</v>
      </c>
    </row>
    <row r="27" spans="1:25" s="57" customFormat="1" x14ac:dyDescent="0.25">
      <c r="B27" s="164" t="s">
        <v>112</v>
      </c>
      <c r="C27" s="165">
        <v>13636</v>
      </c>
      <c r="D27" s="165">
        <v>32</v>
      </c>
      <c r="E27" s="165">
        <v>28289</v>
      </c>
      <c r="F27" s="165">
        <v>32638</v>
      </c>
      <c r="G27" s="165">
        <v>32449</v>
      </c>
      <c r="H27" s="165">
        <v>32060</v>
      </c>
      <c r="I27" s="166">
        <f t="shared" ref="I27:I34" si="15">IFERROR(H27/G27-1,"-")</f>
        <v>-1.198804277481591E-2</v>
      </c>
      <c r="J27" s="166">
        <f t="shared" si="12"/>
        <v>8.6002006534650274E-2</v>
      </c>
      <c r="K27" s="165">
        <v>101958</v>
      </c>
      <c r="L27" s="165">
        <v>3718</v>
      </c>
      <c r="M27" s="165">
        <v>283619</v>
      </c>
      <c r="N27" s="165">
        <v>309104</v>
      </c>
      <c r="O27" s="165">
        <v>331871</v>
      </c>
      <c r="P27" s="165">
        <v>314942</v>
      </c>
      <c r="Q27" s="166">
        <f t="shared" ref="Q27:Q34" si="16">IFERROR(P27/O27-1,"-")</f>
        <v>-5.1010784310771329E-2</v>
      </c>
      <c r="R27" s="166">
        <f t="shared" si="14"/>
        <v>0.18695635397652227</v>
      </c>
      <c r="S27" s="165">
        <v>115594</v>
      </c>
      <c r="T27" s="165">
        <v>311908</v>
      </c>
      <c r="U27" s="165">
        <v>341742</v>
      </c>
      <c r="V27" s="165">
        <v>364320</v>
      </c>
      <c r="W27" s="165">
        <v>347002</v>
      </c>
      <c r="X27" s="166">
        <f t="shared" ref="X27:X34" si="17">IFERROR(W27/V27-1,"-")</f>
        <v>-4.7535133948177433E-2</v>
      </c>
      <c r="Y27" s="166">
        <f t="shared" ref="Y27:Y34" si="18">W27/W$8</f>
        <v>0.16866397032697777</v>
      </c>
    </row>
    <row r="28" spans="1:25" s="57" customFormat="1" x14ac:dyDescent="0.25">
      <c r="B28" s="164" t="s">
        <v>115</v>
      </c>
      <c r="C28" s="165">
        <v>5913</v>
      </c>
      <c r="D28" s="165">
        <v>325</v>
      </c>
      <c r="E28" s="165">
        <v>12422</v>
      </c>
      <c r="F28" s="165">
        <v>14878</v>
      </c>
      <c r="G28" s="165">
        <v>13852</v>
      </c>
      <c r="H28" s="165">
        <v>14561</v>
      </c>
      <c r="I28" s="166">
        <f t="shared" si="15"/>
        <v>5.11839445567428E-2</v>
      </c>
      <c r="J28" s="166">
        <f t="shared" si="12"/>
        <v>3.9060362356551553E-2</v>
      </c>
      <c r="K28" s="165">
        <v>28236</v>
      </c>
      <c r="L28" s="165">
        <v>12866</v>
      </c>
      <c r="M28" s="165">
        <v>61573</v>
      </c>
      <c r="N28" s="165">
        <v>67700</v>
      </c>
      <c r="O28" s="165">
        <v>69664</v>
      </c>
      <c r="P28" s="165">
        <v>62357</v>
      </c>
      <c r="Q28" s="166">
        <f t="shared" si="16"/>
        <v>-0.10488918236104727</v>
      </c>
      <c r="R28" s="166">
        <f t="shared" si="14"/>
        <v>3.7016458157101938E-2</v>
      </c>
      <c r="S28" s="165">
        <v>34149</v>
      </c>
      <c r="T28" s="165">
        <v>73995</v>
      </c>
      <c r="U28" s="165">
        <v>82578</v>
      </c>
      <c r="V28" s="165">
        <v>83516</v>
      </c>
      <c r="W28" s="165">
        <v>76918</v>
      </c>
      <c r="X28" s="166">
        <f t="shared" si="17"/>
        <v>-7.9002825805833621E-2</v>
      </c>
      <c r="Y28" s="166">
        <f t="shared" si="18"/>
        <v>3.7386802582147875E-2</v>
      </c>
    </row>
    <row r="29" spans="1:25" x14ac:dyDescent="0.25">
      <c r="A29" s="57"/>
      <c r="B29" s="164" t="s">
        <v>118</v>
      </c>
      <c r="C29" s="165">
        <v>2029</v>
      </c>
      <c r="D29" s="165">
        <v>1460</v>
      </c>
      <c r="E29" s="165">
        <v>2093</v>
      </c>
      <c r="F29" s="165">
        <v>1739</v>
      </c>
      <c r="G29" s="165">
        <v>1555</v>
      </c>
      <c r="H29" s="165">
        <v>1702</v>
      </c>
      <c r="I29" s="166">
        <f t="shared" si="15"/>
        <v>9.453376205787789E-2</v>
      </c>
      <c r="J29" s="166">
        <f t="shared" si="12"/>
        <v>4.5656710892693318E-3</v>
      </c>
      <c r="K29" s="165">
        <v>8997</v>
      </c>
      <c r="L29" s="165">
        <v>11399</v>
      </c>
      <c r="M29" s="165">
        <v>24634</v>
      </c>
      <c r="N29" s="165">
        <v>23419</v>
      </c>
      <c r="O29" s="165">
        <v>21089</v>
      </c>
      <c r="P29" s="165">
        <v>19226</v>
      </c>
      <c r="Q29" s="166">
        <f t="shared" si="16"/>
        <v>-8.8339892835127332E-2</v>
      </c>
      <c r="R29" s="166">
        <f t="shared" si="14"/>
        <v>1.1412967662466795E-2</v>
      </c>
      <c r="S29" s="165">
        <v>11026</v>
      </c>
      <c r="T29" s="165">
        <v>26727</v>
      </c>
      <c r="U29" s="165">
        <v>25158</v>
      </c>
      <c r="V29" s="165">
        <v>22644</v>
      </c>
      <c r="W29" s="165">
        <v>20928</v>
      </c>
      <c r="X29" s="166">
        <f t="shared" si="17"/>
        <v>-7.5781664016958183E-2</v>
      </c>
      <c r="Y29" s="166">
        <f t="shared" si="18"/>
        <v>1.0172274427821716E-2</v>
      </c>
    </row>
    <row r="30" spans="1:25" x14ac:dyDescent="0.25">
      <c r="A30" s="57"/>
      <c r="B30" s="164" t="s">
        <v>125</v>
      </c>
      <c r="C30" s="165">
        <v>1607</v>
      </c>
      <c r="D30" s="165">
        <v>24</v>
      </c>
      <c r="E30" s="165">
        <v>3772</v>
      </c>
      <c r="F30" s="165">
        <v>2097</v>
      </c>
      <c r="G30" s="165">
        <v>1607</v>
      </c>
      <c r="H30" s="165">
        <v>1707</v>
      </c>
      <c r="I30" s="166">
        <f t="shared" si="15"/>
        <v>6.2227753578095735E-2</v>
      </c>
      <c r="J30" s="166">
        <f t="shared" si="12"/>
        <v>4.5790837540439187E-3</v>
      </c>
      <c r="K30" s="165">
        <v>8621</v>
      </c>
      <c r="L30" s="165">
        <v>3071</v>
      </c>
      <c r="M30" s="165">
        <v>30838</v>
      </c>
      <c r="N30" s="165">
        <v>25442</v>
      </c>
      <c r="O30" s="165">
        <v>28150</v>
      </c>
      <c r="P30" s="165">
        <v>25171</v>
      </c>
      <c r="Q30" s="166">
        <f t="shared" si="16"/>
        <v>-0.1058259325044405</v>
      </c>
      <c r="R30" s="166">
        <f t="shared" si="14"/>
        <v>1.4942047697490465E-2</v>
      </c>
      <c r="S30" s="165">
        <v>10228</v>
      </c>
      <c r="T30" s="165">
        <v>34610</v>
      </c>
      <c r="U30" s="165">
        <v>27539</v>
      </c>
      <c r="V30" s="165">
        <v>29757</v>
      </c>
      <c r="W30" s="165">
        <v>26878</v>
      </c>
      <c r="X30" s="166">
        <f t="shared" si="17"/>
        <v>-9.6750344456766446E-2</v>
      </c>
      <c r="Y30" s="166">
        <f t="shared" si="18"/>
        <v>1.3064334483514529E-2</v>
      </c>
    </row>
    <row r="31" spans="1:25" x14ac:dyDescent="0.25">
      <c r="A31" s="57"/>
      <c r="B31" s="164" t="s">
        <v>121</v>
      </c>
      <c r="C31" s="165">
        <v>1003</v>
      </c>
      <c r="D31" s="165">
        <v>79</v>
      </c>
      <c r="E31" s="165">
        <v>2111</v>
      </c>
      <c r="F31" s="165">
        <v>1557</v>
      </c>
      <c r="G31" s="165">
        <v>1181</v>
      </c>
      <c r="H31" s="165">
        <v>1205</v>
      </c>
      <c r="I31" s="166">
        <f t="shared" si="15"/>
        <v>2.0321761219305623E-2</v>
      </c>
      <c r="J31" s="166">
        <f t="shared" si="12"/>
        <v>3.2324522106754084E-3</v>
      </c>
      <c r="K31" s="165">
        <v>13673</v>
      </c>
      <c r="L31" s="165">
        <v>6597</v>
      </c>
      <c r="M31" s="165">
        <v>37193</v>
      </c>
      <c r="N31" s="165">
        <v>33833</v>
      </c>
      <c r="O31" s="165">
        <v>35579</v>
      </c>
      <c r="P31" s="165">
        <v>34035</v>
      </c>
      <c r="Q31" s="166">
        <f t="shared" si="16"/>
        <v>-4.3396385508305491E-2</v>
      </c>
      <c r="R31" s="166">
        <f t="shared" si="14"/>
        <v>2.0203908997818442E-2</v>
      </c>
      <c r="S31" s="165">
        <v>14676</v>
      </c>
      <c r="T31" s="165">
        <v>39304</v>
      </c>
      <c r="U31" s="165">
        <v>35390</v>
      </c>
      <c r="V31" s="165">
        <v>36760</v>
      </c>
      <c r="W31" s="165">
        <v>35240</v>
      </c>
      <c r="X31" s="166">
        <f t="shared" si="17"/>
        <v>-4.1349292709466856E-2</v>
      </c>
      <c r="Y31" s="166">
        <f t="shared" si="18"/>
        <v>1.7128772497918446E-2</v>
      </c>
    </row>
    <row r="32" spans="1:25" x14ac:dyDescent="0.25">
      <c r="A32" s="57"/>
      <c r="B32" s="164" t="s">
        <v>130</v>
      </c>
      <c r="C32" s="165">
        <v>1374</v>
      </c>
      <c r="D32" s="165">
        <v>0</v>
      </c>
      <c r="E32" s="165">
        <v>1094</v>
      </c>
      <c r="F32" s="165">
        <v>1507</v>
      </c>
      <c r="G32" s="165">
        <v>1552</v>
      </c>
      <c r="H32" s="165">
        <v>1355</v>
      </c>
      <c r="I32" s="166">
        <f t="shared" si="15"/>
        <v>-0.12693298969072164</v>
      </c>
      <c r="J32" s="166">
        <f t="shared" si="12"/>
        <v>3.634832153913011E-3</v>
      </c>
      <c r="K32" s="165">
        <v>8151</v>
      </c>
      <c r="L32" s="165">
        <v>129</v>
      </c>
      <c r="M32" s="165">
        <v>10449</v>
      </c>
      <c r="N32" s="165">
        <v>11370</v>
      </c>
      <c r="O32" s="165">
        <v>10400</v>
      </c>
      <c r="P32" s="165">
        <v>9404</v>
      </c>
      <c r="Q32" s="166">
        <f t="shared" si="16"/>
        <v>-9.5769230769230718E-2</v>
      </c>
      <c r="R32" s="166">
        <f t="shared" si="14"/>
        <v>5.582416930086224E-3</v>
      </c>
      <c r="S32" s="165">
        <v>9525</v>
      </c>
      <c r="T32" s="165">
        <v>11543</v>
      </c>
      <c r="U32" s="165">
        <v>12877</v>
      </c>
      <c r="V32" s="165">
        <v>11952</v>
      </c>
      <c r="W32" s="165">
        <v>10759</v>
      </c>
      <c r="X32" s="166">
        <f t="shared" si="17"/>
        <v>-9.9815930388219565E-2</v>
      </c>
      <c r="Y32" s="166">
        <f t="shared" si="18"/>
        <v>5.2295250654115933E-3</v>
      </c>
    </row>
    <row r="33" spans="1:25" x14ac:dyDescent="0.25">
      <c r="A33" s="57"/>
      <c r="B33" s="164" t="s">
        <v>133</v>
      </c>
      <c r="C33" s="165">
        <v>662</v>
      </c>
      <c r="D33" s="165">
        <v>3</v>
      </c>
      <c r="E33" s="165">
        <v>373</v>
      </c>
      <c r="F33" s="165">
        <v>543</v>
      </c>
      <c r="G33" s="165">
        <v>322</v>
      </c>
      <c r="H33" s="165">
        <v>277</v>
      </c>
      <c r="I33" s="166">
        <f t="shared" si="15"/>
        <v>-0.13975155279503104</v>
      </c>
      <c r="J33" s="166">
        <f t="shared" si="12"/>
        <v>7.4306162851210623E-4</v>
      </c>
      <c r="K33" s="165">
        <v>10437</v>
      </c>
      <c r="L33" s="165">
        <v>205</v>
      </c>
      <c r="M33" s="165">
        <v>6748</v>
      </c>
      <c r="N33" s="165">
        <v>11186</v>
      </c>
      <c r="O33" s="165">
        <v>10892</v>
      </c>
      <c r="P33" s="165">
        <v>9362</v>
      </c>
      <c r="Q33" s="166">
        <f t="shared" si="16"/>
        <v>-0.14047006977598242</v>
      </c>
      <c r="R33" s="166">
        <f t="shared" si="14"/>
        <v>5.5574848255494714E-3</v>
      </c>
      <c r="S33" s="165">
        <v>11099</v>
      </c>
      <c r="T33" s="165">
        <v>7121</v>
      </c>
      <c r="U33" s="165">
        <v>11729</v>
      </c>
      <c r="V33" s="165">
        <v>11214</v>
      </c>
      <c r="W33" s="165">
        <v>9639</v>
      </c>
      <c r="X33" s="166">
        <f t="shared" si="17"/>
        <v>-0.1404494382022472</v>
      </c>
      <c r="Y33" s="166">
        <f t="shared" si="18"/>
        <v>4.6851372902223581E-3</v>
      </c>
    </row>
    <row r="34" spans="1:25" x14ac:dyDescent="0.25">
      <c r="A34" s="57"/>
      <c r="B34" s="169" t="s">
        <v>147</v>
      </c>
      <c r="C34" s="170">
        <f t="shared" ref="C34" si="19">C26-SUM(C27:C33)</f>
        <v>8096</v>
      </c>
      <c r="D34" s="170">
        <f t="shared" ref="D34:H34" si="20">D26-SUM(D27:D33)</f>
        <v>502</v>
      </c>
      <c r="E34" s="170">
        <f t="shared" si="20"/>
        <v>19001</v>
      </c>
      <c r="F34" s="170">
        <f t="shared" si="20"/>
        <v>21303</v>
      </c>
      <c r="G34" s="170">
        <f t="shared" si="20"/>
        <v>21148</v>
      </c>
      <c r="H34" s="170">
        <f t="shared" si="20"/>
        <v>22140</v>
      </c>
      <c r="I34" s="171">
        <f t="shared" si="15"/>
        <v>4.6907508984301183E-2</v>
      </c>
      <c r="J34" s="171">
        <f t="shared" si="12"/>
        <v>5.9391279621870158E-2</v>
      </c>
      <c r="K34" s="170">
        <f t="shared" ref="K34:P34" si="21">K26-SUM(K27:K33)</f>
        <v>48784</v>
      </c>
      <c r="L34" s="170">
        <f t="shared" si="21"/>
        <v>35290</v>
      </c>
      <c r="M34" s="170">
        <f t="shared" si="21"/>
        <v>114756</v>
      </c>
      <c r="N34" s="170">
        <f t="shared" si="21"/>
        <v>129560</v>
      </c>
      <c r="O34" s="170">
        <f t="shared" si="21"/>
        <v>146654</v>
      </c>
      <c r="P34" s="170">
        <f t="shared" si="21"/>
        <v>136899</v>
      </c>
      <c r="Q34" s="171">
        <f t="shared" si="16"/>
        <v>-6.6517108295716443E-2</v>
      </c>
      <c r="R34" s="171">
        <f t="shared" si="14"/>
        <v>8.126619473754508E-2</v>
      </c>
      <c r="S34" s="170">
        <f>S26-SUM(S27:S33)</f>
        <v>56880</v>
      </c>
      <c r="T34" s="170">
        <f>T26-SUM(T27:T33)</f>
        <v>133757</v>
      </c>
      <c r="U34" s="170">
        <f>U26-SUM(U27:U33)</f>
        <v>150863</v>
      </c>
      <c r="V34" s="170">
        <f>V26-SUM(V27:V33)</f>
        <v>167802</v>
      </c>
      <c r="W34" s="170">
        <f>W26-SUM(W27:W33)</f>
        <v>159039</v>
      </c>
      <c r="X34" s="171">
        <f t="shared" si="17"/>
        <v>-5.2222261951585747E-2</v>
      </c>
      <c r="Y34" s="171">
        <f t="shared" si="18"/>
        <v>7.7302578016357884E-2</v>
      </c>
    </row>
    <row r="35" spans="1:25" x14ac:dyDescent="0.25">
      <c r="A35" s="57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</row>
    <row r="36" spans="1:25" x14ac:dyDescent="0.25">
      <c r="A36" s="57"/>
      <c r="B36" s="157" t="s">
        <v>70</v>
      </c>
      <c r="C36" s="177">
        <f t="shared" ref="C36:H36" si="22">C37+C40</f>
        <v>39616</v>
      </c>
      <c r="D36" s="177">
        <f t="shared" si="22"/>
        <v>4640</v>
      </c>
      <c r="E36" s="177">
        <f t="shared" si="22"/>
        <v>82311</v>
      </c>
      <c r="F36" s="177">
        <f t="shared" si="22"/>
        <v>98641</v>
      </c>
      <c r="G36" s="177">
        <f t="shared" si="22"/>
        <v>100861</v>
      </c>
      <c r="H36" s="177">
        <f t="shared" si="22"/>
        <v>95008</v>
      </c>
      <c r="I36" s="178">
        <f>IFERROR(H36/G36-1,"-")</f>
        <v>-5.8030358612347732E-2</v>
      </c>
      <c r="J36" s="178">
        <f t="shared" ref="J36:J48" si="23">H36/H$8</f>
        <v>0.25486209098078771</v>
      </c>
      <c r="K36" s="177">
        <f t="shared" ref="K36:P36" si="24">K37+K40</f>
        <v>107490</v>
      </c>
      <c r="L36" s="177">
        <f t="shared" si="24"/>
        <v>19317</v>
      </c>
      <c r="M36" s="177">
        <f t="shared" si="24"/>
        <v>257587</v>
      </c>
      <c r="N36" s="177">
        <f t="shared" si="24"/>
        <v>292456</v>
      </c>
      <c r="O36" s="177">
        <f t="shared" si="24"/>
        <v>311918</v>
      </c>
      <c r="P36" s="177">
        <f t="shared" si="24"/>
        <v>332717</v>
      </c>
      <c r="Q36" s="178">
        <f>IFERROR(P36/O36-1,"-")</f>
        <v>6.668098666957345E-2</v>
      </c>
      <c r="R36" s="178">
        <f t="shared" ref="R36:R48" si="25">P36/P$8</f>
        <v>0.19750797678939791</v>
      </c>
      <c r="S36" s="177">
        <f>S37+S40</f>
        <v>147106</v>
      </c>
      <c r="T36" s="177">
        <f>T37+T40</f>
        <v>339898</v>
      </c>
      <c r="U36" s="177">
        <f>U37+U40</f>
        <v>391097</v>
      </c>
      <c r="V36" s="177">
        <f>V37+V40</f>
        <v>412779</v>
      </c>
      <c r="W36" s="177">
        <f>W37+W40</f>
        <v>427725</v>
      </c>
      <c r="X36" s="178">
        <f>IFERROR(W36/V36-1,"-")</f>
        <v>3.6208237337655325E-2</v>
      </c>
      <c r="Y36" s="178">
        <f>W36/W$8</f>
        <v>0.20790023316322837</v>
      </c>
    </row>
    <row r="37" spans="1:25" x14ac:dyDescent="0.25">
      <c r="A37" s="57"/>
      <c r="B37" s="160" t="s">
        <v>99</v>
      </c>
      <c r="C37" s="161">
        <v>2530</v>
      </c>
      <c r="D37" s="161">
        <v>1583</v>
      </c>
      <c r="E37" s="161">
        <v>10369</v>
      </c>
      <c r="F37" s="161">
        <v>13961</v>
      </c>
      <c r="G37" s="161">
        <v>13301</v>
      </c>
      <c r="H37" s="161">
        <v>10125</v>
      </c>
      <c r="I37" s="162">
        <f>IFERROR(H37/G37-1,"-")</f>
        <v>-0.23877903916998722</v>
      </c>
      <c r="J37" s="162">
        <f t="shared" si="23"/>
        <v>2.716064616853818E-2</v>
      </c>
      <c r="K37" s="161">
        <v>7136</v>
      </c>
      <c r="L37" s="161">
        <v>4977</v>
      </c>
      <c r="M37" s="161">
        <v>24024</v>
      </c>
      <c r="N37" s="161">
        <v>20566</v>
      </c>
      <c r="O37" s="161">
        <v>19475</v>
      </c>
      <c r="P37" s="161">
        <v>24026</v>
      </c>
      <c r="Q37" s="162">
        <f>IFERROR(P37/O37-1,"-")</f>
        <v>0.23368421052631572</v>
      </c>
      <c r="R37" s="162">
        <f t="shared" si="25"/>
        <v>1.4262351038095662E-2</v>
      </c>
      <c r="S37" s="161">
        <v>9666</v>
      </c>
      <c r="T37" s="161">
        <v>34393</v>
      </c>
      <c r="U37" s="161">
        <v>34527</v>
      </c>
      <c r="V37" s="161">
        <v>32776</v>
      </c>
      <c r="W37" s="161">
        <v>34151</v>
      </c>
      <c r="X37" s="162">
        <f>IFERROR(W37/V37-1,"-")</f>
        <v>4.1951427874054259E-2</v>
      </c>
      <c r="Y37" s="162">
        <f>W37/W$8</f>
        <v>1.6599452598649627E-2</v>
      </c>
    </row>
    <row r="38" spans="1:25" x14ac:dyDescent="0.25">
      <c r="A38" s="57"/>
      <c r="B38" s="164" t="s">
        <v>105</v>
      </c>
      <c r="C38" s="165">
        <v>1111</v>
      </c>
      <c r="D38" s="165">
        <v>1360</v>
      </c>
      <c r="E38" s="165">
        <v>5108</v>
      </c>
      <c r="F38" s="165">
        <v>7015</v>
      </c>
      <c r="G38" s="165">
        <v>9238</v>
      </c>
      <c r="H38" s="165">
        <v>5839</v>
      </c>
      <c r="I38" s="166">
        <f>IFERROR(H38/G38-1,"-")</f>
        <v>-0.36793678285343145</v>
      </c>
      <c r="J38" s="166">
        <f t="shared" si="23"/>
        <v>1.5663309923762414E-2</v>
      </c>
      <c r="K38" s="165">
        <v>954</v>
      </c>
      <c r="L38" s="165">
        <v>1758</v>
      </c>
      <c r="M38" s="165">
        <v>3863</v>
      </c>
      <c r="N38" s="165">
        <v>3628</v>
      </c>
      <c r="O38" s="165">
        <v>3788</v>
      </c>
      <c r="P38" s="165">
        <v>6534</v>
      </c>
      <c r="Q38" s="166">
        <f>IFERROR(P38/O38-1,"-")</f>
        <v>0.72492080253431901</v>
      </c>
      <c r="R38" s="166">
        <f t="shared" si="25"/>
        <v>3.8787231200747962E-3</v>
      </c>
      <c r="S38" s="165">
        <v>2065</v>
      </c>
      <c r="T38" s="165">
        <v>8971</v>
      </c>
      <c r="U38" s="165">
        <v>10643</v>
      </c>
      <c r="V38" s="165">
        <v>13026</v>
      </c>
      <c r="W38" s="165">
        <v>12373</v>
      </c>
      <c r="X38" s="166">
        <f>IFERROR(W38/V38-1,"-")</f>
        <v>-5.0130508214340508E-2</v>
      </c>
      <c r="Y38" s="166">
        <f>W38/W$8</f>
        <v>6.0140267343003666E-3</v>
      </c>
    </row>
    <row r="39" spans="1:25" x14ac:dyDescent="0.25">
      <c r="A39" s="57"/>
      <c r="B39" s="164" t="s">
        <v>102</v>
      </c>
      <c r="C39" s="165">
        <v>1419</v>
      </c>
      <c r="D39" s="165">
        <v>223</v>
      </c>
      <c r="E39" s="165">
        <v>5261</v>
      </c>
      <c r="F39" s="165">
        <v>6946</v>
      </c>
      <c r="G39" s="165">
        <v>4063</v>
      </c>
      <c r="H39" s="165">
        <v>4286</v>
      </c>
      <c r="I39" s="166">
        <f>IFERROR(H39/G39-1,"-")</f>
        <v>5.4885552547378813E-2</v>
      </c>
      <c r="J39" s="166">
        <f t="shared" si="23"/>
        <v>1.1497336244775768E-2</v>
      </c>
      <c r="K39" s="165">
        <v>6182</v>
      </c>
      <c r="L39" s="165">
        <v>3219</v>
      </c>
      <c r="M39" s="165">
        <v>20161</v>
      </c>
      <c r="N39" s="165">
        <v>16938</v>
      </c>
      <c r="O39" s="165">
        <v>15687</v>
      </c>
      <c r="P39" s="165">
        <v>17492</v>
      </c>
      <c r="Q39" s="166">
        <f>IFERROR(P39/O39-1,"-")</f>
        <v>0.11506342831644045</v>
      </c>
      <c r="R39" s="166">
        <f t="shared" si="25"/>
        <v>1.0383627918020865E-2</v>
      </c>
      <c r="S39" s="165">
        <v>7601</v>
      </c>
      <c r="T39" s="165">
        <v>25422</v>
      </c>
      <c r="U39" s="165">
        <v>23884</v>
      </c>
      <c r="V39" s="165">
        <v>19750</v>
      </c>
      <c r="W39" s="165">
        <v>21778</v>
      </c>
      <c r="X39" s="166">
        <f>IFERROR(W39/V39-1,"-")</f>
        <v>0.10268354430379745</v>
      </c>
      <c r="Y39" s="166">
        <f>W39/W$8</f>
        <v>1.058542586434926E-2</v>
      </c>
    </row>
    <row r="40" spans="1:25" x14ac:dyDescent="0.25">
      <c r="A40" s="57"/>
      <c r="B40" s="160" t="s">
        <v>109</v>
      </c>
      <c r="C40" s="161">
        <v>37086</v>
      </c>
      <c r="D40" s="161">
        <v>3057</v>
      </c>
      <c r="E40" s="161">
        <v>71942</v>
      </c>
      <c r="F40" s="161">
        <v>84680</v>
      </c>
      <c r="G40" s="161">
        <v>87560</v>
      </c>
      <c r="H40" s="161">
        <v>84883</v>
      </c>
      <c r="I40" s="162">
        <f>IFERROR(H40/G40-1,"-")</f>
        <v>-3.0573321151210586E-2</v>
      </c>
      <c r="J40" s="162">
        <f t="shared" si="23"/>
        <v>0.22770144481224952</v>
      </c>
      <c r="K40" s="161">
        <v>100354</v>
      </c>
      <c r="L40" s="161">
        <v>14340</v>
      </c>
      <c r="M40" s="161">
        <v>233563</v>
      </c>
      <c r="N40" s="161">
        <v>271890</v>
      </c>
      <c r="O40" s="161">
        <v>292443</v>
      </c>
      <c r="P40" s="161">
        <v>308691</v>
      </c>
      <c r="Q40" s="162">
        <f>IFERROR(P40/O40-1,"-")</f>
        <v>5.5559544936962135E-2</v>
      </c>
      <c r="R40" s="162">
        <f t="shared" si="25"/>
        <v>0.18324562575130227</v>
      </c>
      <c r="S40" s="161">
        <v>137440</v>
      </c>
      <c r="T40" s="161">
        <v>305505</v>
      </c>
      <c r="U40" s="161">
        <v>356570</v>
      </c>
      <c r="V40" s="161">
        <v>380003</v>
      </c>
      <c r="W40" s="161">
        <v>393574</v>
      </c>
      <c r="X40" s="162">
        <f>IFERROR(W40/V40-1,"-")</f>
        <v>3.5712875950979273E-2</v>
      </c>
      <c r="Y40" s="162">
        <f>W40/W$8</f>
        <v>0.19130078056457872</v>
      </c>
    </row>
    <row r="41" spans="1:25" s="57" customFormat="1" x14ac:dyDescent="0.25">
      <c r="B41" s="164" t="s">
        <v>112</v>
      </c>
      <c r="C41" s="165">
        <v>18060</v>
      </c>
      <c r="D41" s="165">
        <v>85</v>
      </c>
      <c r="E41" s="165">
        <v>34390</v>
      </c>
      <c r="F41" s="165">
        <v>36718</v>
      </c>
      <c r="G41" s="165">
        <v>36555</v>
      </c>
      <c r="H41" s="165">
        <v>33076</v>
      </c>
      <c r="I41" s="166">
        <f t="shared" ref="I41:I48" si="26">IFERROR(H41/G41-1,"-")</f>
        <v>-9.5171659143756027E-2</v>
      </c>
      <c r="J41" s="166">
        <f t="shared" si="23"/>
        <v>8.872746001684631E-2</v>
      </c>
      <c r="K41" s="165">
        <v>48199</v>
      </c>
      <c r="L41" s="165">
        <v>596</v>
      </c>
      <c r="M41" s="165">
        <v>118443</v>
      </c>
      <c r="N41" s="165">
        <v>141293</v>
      </c>
      <c r="O41" s="165">
        <v>159154</v>
      </c>
      <c r="P41" s="165">
        <v>166370</v>
      </c>
      <c r="Q41" s="166">
        <f t="shared" ref="Q41:Q48" si="27">IFERROR(P41/O41-1,"-")</f>
        <v>4.5339733842693297E-2</v>
      </c>
      <c r="R41" s="166">
        <f t="shared" si="25"/>
        <v>9.8760815042369735E-2</v>
      </c>
      <c r="S41" s="165">
        <v>66259</v>
      </c>
      <c r="T41" s="165">
        <v>152833</v>
      </c>
      <c r="U41" s="165">
        <v>178011</v>
      </c>
      <c r="V41" s="165">
        <v>195709</v>
      </c>
      <c r="W41" s="165">
        <v>199446</v>
      </c>
      <c r="X41" s="166">
        <f t="shared" ref="X41:X48" si="28">IFERROR(W41/V41-1,"-")</f>
        <v>1.9094676279578282E-2</v>
      </c>
      <c r="Y41" s="166">
        <f t="shared" ref="Y41:Y48" si="29">W41/W$8</f>
        <v>9.6942825187850232E-2</v>
      </c>
    </row>
    <row r="42" spans="1:25" s="57" customFormat="1" x14ac:dyDescent="0.25">
      <c r="B42" s="164" t="s">
        <v>115</v>
      </c>
      <c r="C42" s="165">
        <v>2861</v>
      </c>
      <c r="D42" s="165">
        <v>120</v>
      </c>
      <c r="E42" s="165">
        <v>3125</v>
      </c>
      <c r="F42" s="165">
        <v>5279</v>
      </c>
      <c r="G42" s="165">
        <v>5543</v>
      </c>
      <c r="H42" s="165">
        <v>6114</v>
      </c>
      <c r="I42" s="166">
        <f t="shared" si="26"/>
        <v>0.10301280894822296</v>
      </c>
      <c r="J42" s="166">
        <f t="shared" si="23"/>
        <v>1.6401006486364684E-2</v>
      </c>
      <c r="K42" s="165">
        <v>5618</v>
      </c>
      <c r="L42" s="165">
        <v>1331</v>
      </c>
      <c r="M42" s="165">
        <v>9399</v>
      </c>
      <c r="N42" s="165">
        <v>11997</v>
      </c>
      <c r="O42" s="165">
        <v>10496</v>
      </c>
      <c r="P42" s="165">
        <v>10421</v>
      </c>
      <c r="Q42" s="166">
        <f t="shared" si="27"/>
        <v>-7.1455792682927344E-3</v>
      </c>
      <c r="R42" s="166">
        <f t="shared" si="25"/>
        <v>6.1861300327975899E-3</v>
      </c>
      <c r="S42" s="165">
        <v>8479</v>
      </c>
      <c r="T42" s="165">
        <v>12524</v>
      </c>
      <c r="U42" s="165">
        <v>17276</v>
      </c>
      <c r="V42" s="165">
        <v>16039</v>
      </c>
      <c r="W42" s="165">
        <v>16535</v>
      </c>
      <c r="X42" s="166">
        <f t="shared" si="28"/>
        <v>3.0924621235737915E-2</v>
      </c>
      <c r="Y42" s="166">
        <f t="shared" si="29"/>
        <v>8.0370105917446505E-3</v>
      </c>
    </row>
    <row r="43" spans="1:25" x14ac:dyDescent="0.25">
      <c r="A43" s="57"/>
      <c r="B43" s="164" t="s">
        <v>118</v>
      </c>
      <c r="C43" s="165">
        <v>1616</v>
      </c>
      <c r="D43" s="165">
        <v>211</v>
      </c>
      <c r="E43" s="165">
        <v>2329</v>
      </c>
      <c r="F43" s="165">
        <v>3750</v>
      </c>
      <c r="G43" s="165">
        <v>3969</v>
      </c>
      <c r="H43" s="165">
        <v>3810</v>
      </c>
      <c r="I43" s="166">
        <f t="shared" si="26"/>
        <v>-4.0060468631897161E-2</v>
      </c>
      <c r="J43" s="166">
        <f t="shared" si="23"/>
        <v>1.0220450558235108E-2</v>
      </c>
      <c r="K43" s="165">
        <v>2576</v>
      </c>
      <c r="L43" s="165">
        <v>2145</v>
      </c>
      <c r="M43" s="165">
        <v>5958</v>
      </c>
      <c r="N43" s="165">
        <v>6490</v>
      </c>
      <c r="O43" s="165">
        <v>5721</v>
      </c>
      <c r="P43" s="165">
        <v>6584</v>
      </c>
      <c r="Q43" s="166">
        <f t="shared" si="27"/>
        <v>0.15084775388918015</v>
      </c>
      <c r="R43" s="166">
        <f t="shared" si="25"/>
        <v>3.9084041969042636E-3</v>
      </c>
      <c r="S43" s="165">
        <v>4192</v>
      </c>
      <c r="T43" s="165">
        <v>8287</v>
      </c>
      <c r="U43" s="165">
        <v>10240</v>
      </c>
      <c r="V43" s="165">
        <v>9690</v>
      </c>
      <c r="W43" s="165">
        <v>10394</v>
      </c>
      <c r="X43" s="166">
        <f t="shared" si="28"/>
        <v>7.2652218782249811E-2</v>
      </c>
      <c r="Y43" s="166">
        <f t="shared" si="29"/>
        <v>5.0521129779615304E-3</v>
      </c>
    </row>
    <row r="44" spans="1:25" x14ac:dyDescent="0.25">
      <c r="A44" s="57"/>
      <c r="B44" s="164" t="s">
        <v>125</v>
      </c>
      <c r="C44" s="165">
        <v>711</v>
      </c>
      <c r="D44" s="165">
        <v>36</v>
      </c>
      <c r="E44" s="165">
        <v>1420</v>
      </c>
      <c r="F44" s="165">
        <v>1583</v>
      </c>
      <c r="G44" s="165">
        <v>1742</v>
      </c>
      <c r="H44" s="165">
        <v>1469</v>
      </c>
      <c r="I44" s="166">
        <f t="shared" si="26"/>
        <v>-0.15671641791044777</v>
      </c>
      <c r="J44" s="166">
        <f t="shared" si="23"/>
        <v>3.940640910773589E-3</v>
      </c>
      <c r="K44" s="165">
        <v>4692</v>
      </c>
      <c r="L44" s="165">
        <v>868</v>
      </c>
      <c r="M44" s="165">
        <v>13564</v>
      </c>
      <c r="N44" s="165">
        <v>12240</v>
      </c>
      <c r="O44" s="165">
        <v>13313</v>
      </c>
      <c r="P44" s="165">
        <v>11788</v>
      </c>
      <c r="Q44" s="166">
        <f t="shared" si="27"/>
        <v>-0.11454968827461876</v>
      </c>
      <c r="R44" s="166">
        <f t="shared" si="25"/>
        <v>6.9976106733152278E-3</v>
      </c>
      <c r="S44" s="165">
        <v>5403</v>
      </c>
      <c r="T44" s="165">
        <v>14984</v>
      </c>
      <c r="U44" s="165">
        <v>13823</v>
      </c>
      <c r="V44" s="165">
        <v>15055</v>
      </c>
      <c r="W44" s="165">
        <v>13257</v>
      </c>
      <c r="X44" s="166">
        <f t="shared" si="28"/>
        <v>-0.11942876120890067</v>
      </c>
      <c r="Y44" s="166">
        <f t="shared" si="29"/>
        <v>6.4437042282890133E-3</v>
      </c>
    </row>
    <row r="45" spans="1:25" x14ac:dyDescent="0.25">
      <c r="A45" s="57"/>
      <c r="B45" s="164" t="s">
        <v>121</v>
      </c>
      <c r="C45" s="165">
        <v>694</v>
      </c>
      <c r="D45" s="165">
        <v>58</v>
      </c>
      <c r="E45" s="165">
        <v>770</v>
      </c>
      <c r="F45" s="165">
        <v>1002</v>
      </c>
      <c r="G45" s="165">
        <v>1153</v>
      </c>
      <c r="H45" s="165">
        <v>1280</v>
      </c>
      <c r="I45" s="166">
        <f t="shared" si="26"/>
        <v>0.11014744145706845</v>
      </c>
      <c r="J45" s="166">
        <f t="shared" si="23"/>
        <v>3.4336421822942094E-3</v>
      </c>
      <c r="K45" s="165">
        <v>6876</v>
      </c>
      <c r="L45" s="165">
        <v>1315</v>
      </c>
      <c r="M45" s="165">
        <v>13453</v>
      </c>
      <c r="N45" s="165">
        <v>15707</v>
      </c>
      <c r="O45" s="165">
        <v>16377</v>
      </c>
      <c r="P45" s="165">
        <v>13061</v>
      </c>
      <c r="Q45" s="166">
        <f t="shared" si="27"/>
        <v>-0.20247908652378332</v>
      </c>
      <c r="R45" s="166">
        <f t="shared" si="25"/>
        <v>7.7532908893934672E-3</v>
      </c>
      <c r="S45" s="165">
        <v>7570</v>
      </c>
      <c r="T45" s="165">
        <v>14223</v>
      </c>
      <c r="U45" s="165">
        <v>16709</v>
      </c>
      <c r="V45" s="165">
        <v>17530</v>
      </c>
      <c r="W45" s="165">
        <v>14341</v>
      </c>
      <c r="X45" s="166">
        <f t="shared" si="28"/>
        <v>-0.18191671420422129</v>
      </c>
      <c r="Y45" s="166">
        <f t="shared" si="29"/>
        <v>6.970593824990024E-3</v>
      </c>
    </row>
    <row r="46" spans="1:25" x14ac:dyDescent="0.25">
      <c r="A46" s="57"/>
      <c r="B46" s="164" t="s">
        <v>130</v>
      </c>
      <c r="C46" s="165">
        <v>1093</v>
      </c>
      <c r="D46" s="165">
        <v>6</v>
      </c>
      <c r="E46" s="165">
        <v>1389</v>
      </c>
      <c r="F46" s="165">
        <v>1539</v>
      </c>
      <c r="G46" s="165">
        <v>854</v>
      </c>
      <c r="H46" s="165">
        <v>1144</v>
      </c>
      <c r="I46" s="166">
        <f t="shared" si="26"/>
        <v>0.33957845433255263</v>
      </c>
      <c r="J46" s="166">
        <f t="shared" si="23"/>
        <v>3.0688177004254496E-3</v>
      </c>
      <c r="K46" s="165">
        <v>2222</v>
      </c>
      <c r="L46" s="165">
        <v>114</v>
      </c>
      <c r="M46" s="165">
        <v>3118</v>
      </c>
      <c r="N46" s="165">
        <v>4414</v>
      </c>
      <c r="O46" s="165">
        <v>4024</v>
      </c>
      <c r="P46" s="165">
        <v>4923</v>
      </c>
      <c r="Q46" s="166">
        <f t="shared" si="27"/>
        <v>0.22340954274353875</v>
      </c>
      <c r="R46" s="166">
        <f t="shared" si="25"/>
        <v>2.9223988246293575E-3</v>
      </c>
      <c r="S46" s="165">
        <v>3315</v>
      </c>
      <c r="T46" s="165">
        <v>4507</v>
      </c>
      <c r="U46" s="165">
        <v>5953</v>
      </c>
      <c r="V46" s="165">
        <v>4878</v>
      </c>
      <c r="W46" s="165">
        <v>6067</v>
      </c>
      <c r="X46" s="166">
        <f t="shared" si="28"/>
        <v>0.24374743747437466</v>
      </c>
      <c r="Y46" s="166">
        <f t="shared" si="29"/>
        <v>2.9489291357795463E-3</v>
      </c>
    </row>
    <row r="47" spans="1:25" x14ac:dyDescent="0.25">
      <c r="A47" s="57"/>
      <c r="B47" s="164" t="s">
        <v>133</v>
      </c>
      <c r="C47" s="165">
        <v>1061</v>
      </c>
      <c r="D47" s="165">
        <v>3</v>
      </c>
      <c r="E47" s="165">
        <v>747</v>
      </c>
      <c r="F47" s="165">
        <v>1027</v>
      </c>
      <c r="G47" s="165">
        <v>846</v>
      </c>
      <c r="H47" s="165">
        <v>724</v>
      </c>
      <c r="I47" s="166">
        <f t="shared" si="26"/>
        <v>-0.14420803782505909</v>
      </c>
      <c r="J47" s="166">
        <f t="shared" si="23"/>
        <v>1.9421538593601623E-3</v>
      </c>
      <c r="K47" s="165">
        <v>3677</v>
      </c>
      <c r="L47" s="165">
        <v>616</v>
      </c>
      <c r="M47" s="165">
        <v>3039</v>
      </c>
      <c r="N47" s="165">
        <v>4721</v>
      </c>
      <c r="O47" s="165">
        <v>4479</v>
      </c>
      <c r="P47" s="165">
        <v>3848</v>
      </c>
      <c r="Q47" s="166">
        <f t="shared" si="27"/>
        <v>-0.14087966063853541</v>
      </c>
      <c r="R47" s="166">
        <f t="shared" si="25"/>
        <v>2.2842556727958089E-3</v>
      </c>
      <c r="S47" s="165">
        <v>4738</v>
      </c>
      <c r="T47" s="165">
        <v>3786</v>
      </c>
      <c r="U47" s="165">
        <v>5748</v>
      </c>
      <c r="V47" s="165">
        <v>5325</v>
      </c>
      <c r="W47" s="165">
        <v>4572</v>
      </c>
      <c r="X47" s="166">
        <f t="shared" si="28"/>
        <v>-0.14140845070422536</v>
      </c>
      <c r="Y47" s="166">
        <f t="shared" si="29"/>
        <v>2.2222686680046294E-3</v>
      </c>
    </row>
    <row r="48" spans="1:25" x14ac:dyDescent="0.25">
      <c r="A48" s="57"/>
      <c r="B48" s="169" t="s">
        <v>147</v>
      </c>
      <c r="C48" s="170">
        <f t="shared" ref="C48" si="30">C40-SUM(C41:C47)</f>
        <v>10990</v>
      </c>
      <c r="D48" s="170">
        <f t="shared" ref="D48:H48" si="31">D40-SUM(D41:D47)</f>
        <v>2538</v>
      </c>
      <c r="E48" s="170">
        <f t="shared" si="31"/>
        <v>27772</v>
      </c>
      <c r="F48" s="170">
        <f t="shared" si="31"/>
        <v>33782</v>
      </c>
      <c r="G48" s="170">
        <f t="shared" si="31"/>
        <v>36898</v>
      </c>
      <c r="H48" s="170">
        <f t="shared" si="31"/>
        <v>37266</v>
      </c>
      <c r="I48" s="171">
        <f t="shared" si="26"/>
        <v>9.9734402948670198E-3</v>
      </c>
      <c r="J48" s="171">
        <f t="shared" si="23"/>
        <v>9.9967273097950005E-2</v>
      </c>
      <c r="K48" s="170">
        <f t="shared" ref="K48:P48" si="32">K40-SUM(K41:K47)</f>
        <v>26494</v>
      </c>
      <c r="L48" s="170">
        <f t="shared" si="32"/>
        <v>7355</v>
      </c>
      <c r="M48" s="170">
        <f t="shared" si="32"/>
        <v>66589</v>
      </c>
      <c r="N48" s="170">
        <f t="shared" si="32"/>
        <v>75028</v>
      </c>
      <c r="O48" s="170">
        <f t="shared" si="32"/>
        <v>78879</v>
      </c>
      <c r="P48" s="170">
        <f t="shared" si="32"/>
        <v>91696</v>
      </c>
      <c r="Q48" s="171">
        <f t="shared" si="27"/>
        <v>0.16248938247188738</v>
      </c>
      <c r="R48" s="171">
        <f t="shared" si="25"/>
        <v>5.4432720419096803E-2</v>
      </c>
      <c r="S48" s="170">
        <f>S40-SUM(S41:S47)</f>
        <v>37484</v>
      </c>
      <c r="T48" s="170">
        <f>T40-SUM(T41:T47)</f>
        <v>94361</v>
      </c>
      <c r="U48" s="170">
        <f>U40-SUM(U41:U47)</f>
        <v>108810</v>
      </c>
      <c r="V48" s="170">
        <f>V40-SUM(V41:V47)</f>
        <v>115777</v>
      </c>
      <c r="W48" s="170">
        <f>W40-SUM(W41:W47)</f>
        <v>128962</v>
      </c>
      <c r="X48" s="171">
        <f t="shared" si="28"/>
        <v>0.11388272282059475</v>
      </c>
      <c r="Y48" s="171">
        <f t="shared" si="29"/>
        <v>6.2683335949959104E-2</v>
      </c>
    </row>
    <row r="49" spans="1:25" x14ac:dyDescent="0.25">
      <c r="A49" s="57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</row>
    <row r="50" spans="1:25" x14ac:dyDescent="0.25">
      <c r="A50" s="57"/>
      <c r="B50" s="157" t="s">
        <v>70</v>
      </c>
      <c r="C50" s="177">
        <f t="shared" ref="C50:H50" si="33">C51+C54</f>
        <v>0</v>
      </c>
      <c r="D50" s="177">
        <f t="shared" si="33"/>
        <v>3463</v>
      </c>
      <c r="E50" s="177">
        <f t="shared" si="33"/>
        <v>0</v>
      </c>
      <c r="F50" s="177">
        <f t="shared" si="33"/>
        <v>0</v>
      </c>
      <c r="G50" s="177">
        <f t="shared" si="33"/>
        <v>0</v>
      </c>
      <c r="H50" s="177">
        <f t="shared" si="33"/>
        <v>0</v>
      </c>
      <c r="I50" s="178" t="str">
        <f>IFERROR(H50/G50-1,"-")</f>
        <v>-</v>
      </c>
      <c r="J50" s="178">
        <f t="shared" ref="J50:J62" si="34">H50/H$8</f>
        <v>0</v>
      </c>
      <c r="K50" s="177">
        <f t="shared" ref="K50:P50" si="35">K51+K54</f>
        <v>0</v>
      </c>
      <c r="L50" s="177">
        <f t="shared" si="35"/>
        <v>0</v>
      </c>
      <c r="M50" s="177">
        <f t="shared" si="35"/>
        <v>0</v>
      </c>
      <c r="N50" s="177">
        <f t="shared" si="35"/>
        <v>0</v>
      </c>
      <c r="O50" s="177">
        <f t="shared" si="35"/>
        <v>0</v>
      </c>
      <c r="P50" s="177">
        <f t="shared" si="35"/>
        <v>0</v>
      </c>
      <c r="Q50" s="178" t="str">
        <f>IFERROR(P50/O50-1,"-")</f>
        <v>-</v>
      </c>
      <c r="R50" s="178">
        <f t="shared" ref="R50:R62" si="36">P50/P$8</f>
        <v>0</v>
      </c>
      <c r="S50" s="177">
        <f>S51+S54</f>
        <v>8192</v>
      </c>
      <c r="T50" s="177">
        <f>T51+T54</f>
        <v>16823</v>
      </c>
      <c r="U50" s="177">
        <f>U51+U54</f>
        <v>27125</v>
      </c>
      <c r="V50" s="177">
        <f>V51+V54</f>
        <v>22938</v>
      </c>
      <c r="W50" s="177">
        <f>W51+W54</f>
        <v>21490</v>
      </c>
      <c r="X50" s="178">
        <f>IFERROR(W50/V50-1,"-")</f>
        <v>-6.3126689336472253E-2</v>
      </c>
      <c r="Y50" s="178">
        <f>W50/W$8</f>
        <v>1.0445440436443456E-2</v>
      </c>
    </row>
    <row r="51" spans="1:25" x14ac:dyDescent="0.25">
      <c r="A51" s="57"/>
      <c r="B51" s="160" t="s">
        <v>99</v>
      </c>
      <c r="C51" s="161">
        <v>0</v>
      </c>
      <c r="D51" s="161">
        <v>787</v>
      </c>
      <c r="E51" s="161">
        <v>0</v>
      </c>
      <c r="F51" s="161">
        <v>0</v>
      </c>
      <c r="G51" s="161">
        <v>0</v>
      </c>
      <c r="H51" s="161">
        <v>0</v>
      </c>
      <c r="I51" s="162" t="str">
        <f>IFERROR(H51/G51-1,"-")</f>
        <v>-</v>
      </c>
      <c r="J51" s="162">
        <f t="shared" si="34"/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2" t="str">
        <f>IFERROR(P51/O51-1,"-")</f>
        <v>-</v>
      </c>
      <c r="R51" s="162">
        <f t="shared" si="36"/>
        <v>0</v>
      </c>
      <c r="S51" s="161">
        <v>773</v>
      </c>
      <c r="T51" s="161">
        <v>2015</v>
      </c>
      <c r="U51" s="161">
        <v>11992</v>
      </c>
      <c r="V51" s="161">
        <v>6278</v>
      </c>
      <c r="W51" s="161">
        <v>4341</v>
      </c>
      <c r="X51" s="162">
        <f>IFERROR(W51/V51-1,"-")</f>
        <v>-0.30853775087607516</v>
      </c>
      <c r="Y51" s="162">
        <f>W51/W$8</f>
        <v>2.1099886893718492E-3</v>
      </c>
    </row>
    <row r="52" spans="1:25" x14ac:dyDescent="0.25">
      <c r="A52" s="57"/>
      <c r="B52" s="164" t="s">
        <v>105</v>
      </c>
      <c r="C52" s="165">
        <v>0</v>
      </c>
      <c r="D52" s="165">
        <v>309</v>
      </c>
      <c r="E52" s="165">
        <v>0</v>
      </c>
      <c r="F52" s="165">
        <v>0</v>
      </c>
      <c r="G52" s="165">
        <v>0</v>
      </c>
      <c r="H52" s="165">
        <v>0</v>
      </c>
      <c r="I52" s="166" t="str">
        <f>IFERROR(H52/G52-1,"-")</f>
        <v>-</v>
      </c>
      <c r="J52" s="166">
        <f t="shared" si="34"/>
        <v>0</v>
      </c>
      <c r="K52" s="165">
        <v>0</v>
      </c>
      <c r="L52" s="165">
        <v>0</v>
      </c>
      <c r="M52" s="165">
        <v>0</v>
      </c>
      <c r="N52" s="165">
        <v>0</v>
      </c>
      <c r="O52" s="165">
        <v>0</v>
      </c>
      <c r="P52" s="165">
        <v>0</v>
      </c>
      <c r="Q52" s="166" t="str">
        <f>IFERROR(P52/O52-1,"-")</f>
        <v>-</v>
      </c>
      <c r="R52" s="166">
        <f t="shared" si="36"/>
        <v>0</v>
      </c>
      <c r="S52" s="165">
        <v>367</v>
      </c>
      <c r="T52" s="165">
        <v>774</v>
      </c>
      <c r="U52" s="165">
        <v>8931</v>
      </c>
      <c r="V52" s="165">
        <v>4223</v>
      </c>
      <c r="W52" s="165">
        <v>2810</v>
      </c>
      <c r="X52" s="166">
        <f>IFERROR(W52/V52-1,"-")</f>
        <v>-0.33459625858394504</v>
      </c>
      <c r="Y52" s="166">
        <f>W52/W$8</f>
        <v>1.3658300431087069E-3</v>
      </c>
    </row>
    <row r="53" spans="1:25" x14ac:dyDescent="0.25">
      <c r="A53" s="57"/>
      <c r="B53" s="164" t="s">
        <v>102</v>
      </c>
      <c r="C53" s="165">
        <v>0</v>
      </c>
      <c r="D53" s="165">
        <v>478</v>
      </c>
      <c r="E53" s="165">
        <v>0</v>
      </c>
      <c r="F53" s="165">
        <v>0</v>
      </c>
      <c r="G53" s="165">
        <v>0</v>
      </c>
      <c r="H53" s="165">
        <v>0</v>
      </c>
      <c r="I53" s="166" t="str">
        <f>IFERROR(H53/G53-1,"-")</f>
        <v>-</v>
      </c>
      <c r="J53" s="166">
        <f t="shared" si="34"/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5">
        <v>0</v>
      </c>
      <c r="Q53" s="166" t="str">
        <f>IFERROR(P53/O53-1,"-")</f>
        <v>-</v>
      </c>
      <c r="R53" s="166">
        <f t="shared" si="36"/>
        <v>0</v>
      </c>
      <c r="S53" s="165">
        <v>406</v>
      </c>
      <c r="T53" s="165">
        <v>1241</v>
      </c>
      <c r="U53" s="165">
        <v>3061</v>
      </c>
      <c r="V53" s="165">
        <v>2055</v>
      </c>
      <c r="W53" s="165">
        <v>1531</v>
      </c>
      <c r="X53" s="166">
        <f>IFERROR(W53/V53-1,"-")</f>
        <v>-0.25498783454987839</v>
      </c>
      <c r="Y53" s="166">
        <f>W53/W$8</f>
        <v>7.4415864626314247E-4</v>
      </c>
    </row>
    <row r="54" spans="1:25" x14ac:dyDescent="0.25">
      <c r="A54" s="57"/>
      <c r="B54" s="160" t="s">
        <v>109</v>
      </c>
      <c r="C54" s="161">
        <v>0</v>
      </c>
      <c r="D54" s="161">
        <v>2676</v>
      </c>
      <c r="E54" s="161">
        <v>0</v>
      </c>
      <c r="F54" s="161">
        <v>0</v>
      </c>
      <c r="G54" s="161">
        <v>0</v>
      </c>
      <c r="H54" s="161">
        <v>0</v>
      </c>
      <c r="I54" s="162" t="str">
        <f>IFERROR(H54/G54-1,"-")</f>
        <v>-</v>
      </c>
      <c r="J54" s="162">
        <f t="shared" si="34"/>
        <v>0</v>
      </c>
      <c r="K54" s="161">
        <v>0</v>
      </c>
      <c r="L54" s="161">
        <v>0</v>
      </c>
      <c r="M54" s="161">
        <v>0</v>
      </c>
      <c r="N54" s="161">
        <v>0</v>
      </c>
      <c r="O54" s="161">
        <v>0</v>
      </c>
      <c r="P54" s="161">
        <v>0</v>
      </c>
      <c r="Q54" s="162" t="str">
        <f>IFERROR(P54/O54-1,"-")</f>
        <v>-</v>
      </c>
      <c r="R54" s="162">
        <f t="shared" si="36"/>
        <v>0</v>
      </c>
      <c r="S54" s="161">
        <v>7419</v>
      </c>
      <c r="T54" s="161">
        <v>14808</v>
      </c>
      <c r="U54" s="161">
        <v>15133</v>
      </c>
      <c r="V54" s="161">
        <v>16660</v>
      </c>
      <c r="W54" s="161">
        <v>17149</v>
      </c>
      <c r="X54" s="162">
        <f>IFERROR(W54/V54-1,"-")</f>
        <v>2.9351740696278439E-2</v>
      </c>
      <c r="Y54" s="162">
        <f>W54/W$8</f>
        <v>8.3354517470716066E-3</v>
      </c>
    </row>
    <row r="55" spans="1:25" s="57" customFormat="1" x14ac:dyDescent="0.25">
      <c r="B55" s="164" t="s">
        <v>112</v>
      </c>
      <c r="C55" s="165">
        <v>0</v>
      </c>
      <c r="D55" s="165">
        <v>55</v>
      </c>
      <c r="E55" s="165">
        <v>0</v>
      </c>
      <c r="F55" s="165">
        <v>0</v>
      </c>
      <c r="G55" s="165">
        <v>0</v>
      </c>
      <c r="H55" s="165">
        <v>0</v>
      </c>
      <c r="I55" s="166" t="str">
        <f t="shared" ref="I55:I62" si="37">IFERROR(H55/G55-1,"-")</f>
        <v>-</v>
      </c>
      <c r="J55" s="166">
        <f t="shared" si="34"/>
        <v>0</v>
      </c>
      <c r="K55" s="165">
        <v>0</v>
      </c>
      <c r="L55" s="165">
        <v>0</v>
      </c>
      <c r="M55" s="165">
        <v>0</v>
      </c>
      <c r="N55" s="165">
        <v>0</v>
      </c>
      <c r="O55" s="165">
        <v>0</v>
      </c>
      <c r="P55" s="165">
        <v>0</v>
      </c>
      <c r="Q55" s="166" t="str">
        <f t="shared" ref="Q55:Q62" si="38">IFERROR(P55/O55-1,"-")</f>
        <v>-</v>
      </c>
      <c r="R55" s="166">
        <f t="shared" si="36"/>
        <v>0</v>
      </c>
      <c r="S55" s="165">
        <v>2301</v>
      </c>
      <c r="T55" s="165">
        <v>5195</v>
      </c>
      <c r="U55" s="165">
        <v>4693</v>
      </c>
      <c r="V55" s="165">
        <v>5678</v>
      </c>
      <c r="W55" s="165">
        <v>6076</v>
      </c>
      <c r="X55" s="166">
        <f t="shared" ref="X55:X62" si="39">IFERROR(W55/V55-1,"-")</f>
        <v>7.0095103909827428E-2</v>
      </c>
      <c r="Y55" s="166">
        <f t="shared" ref="Y55:Y62" si="40">W55/W$8</f>
        <v>2.9533036804016027E-3</v>
      </c>
    </row>
    <row r="56" spans="1:25" s="57" customFormat="1" x14ac:dyDescent="0.25">
      <c r="B56" s="164" t="s">
        <v>115</v>
      </c>
      <c r="C56" s="165">
        <v>0</v>
      </c>
      <c r="D56" s="165">
        <v>1007</v>
      </c>
      <c r="E56" s="165">
        <v>0</v>
      </c>
      <c r="F56" s="165">
        <v>0</v>
      </c>
      <c r="G56" s="165">
        <v>0</v>
      </c>
      <c r="H56" s="165">
        <v>0</v>
      </c>
      <c r="I56" s="166" t="str">
        <f t="shared" si="37"/>
        <v>-</v>
      </c>
      <c r="J56" s="166">
        <f t="shared" si="34"/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5">
        <v>0</v>
      </c>
      <c r="Q56" s="166" t="str">
        <f t="shared" si="38"/>
        <v>-</v>
      </c>
      <c r="R56" s="166">
        <f t="shared" si="36"/>
        <v>0</v>
      </c>
      <c r="S56" s="165">
        <v>2164</v>
      </c>
      <c r="T56" s="165">
        <v>3627</v>
      </c>
      <c r="U56" s="165">
        <v>2689</v>
      </c>
      <c r="V56" s="165">
        <v>3388</v>
      </c>
      <c r="W56" s="165">
        <v>3491</v>
      </c>
      <c r="X56" s="166">
        <f t="shared" si="39"/>
        <v>3.0401416765053035E-2</v>
      </c>
      <c r="Y56" s="166">
        <f t="shared" si="40"/>
        <v>1.6968372528443046E-3</v>
      </c>
    </row>
    <row r="57" spans="1:25" x14ac:dyDescent="0.25">
      <c r="A57" s="57"/>
      <c r="B57" s="164" t="s">
        <v>118</v>
      </c>
      <c r="C57" s="165">
        <v>0</v>
      </c>
      <c r="D57" s="165">
        <v>446</v>
      </c>
      <c r="E57" s="165">
        <v>0</v>
      </c>
      <c r="F57" s="165">
        <v>0</v>
      </c>
      <c r="G57" s="165">
        <v>0</v>
      </c>
      <c r="H57" s="165">
        <v>0</v>
      </c>
      <c r="I57" s="166" t="str">
        <f t="shared" si="37"/>
        <v>-</v>
      </c>
      <c r="J57" s="166">
        <f t="shared" si="34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5">
        <v>0</v>
      </c>
      <c r="Q57" s="166" t="str">
        <f t="shared" si="38"/>
        <v>-</v>
      </c>
      <c r="R57" s="166">
        <f t="shared" si="36"/>
        <v>0</v>
      </c>
      <c r="S57" s="165">
        <v>393</v>
      </c>
      <c r="T57" s="165">
        <v>1130</v>
      </c>
      <c r="U57" s="165">
        <v>1547</v>
      </c>
      <c r="V57" s="165">
        <v>1228</v>
      </c>
      <c r="W57" s="165">
        <v>1091</v>
      </c>
      <c r="X57" s="166">
        <f t="shared" si="39"/>
        <v>-0.1115635179153095</v>
      </c>
      <c r="Y57" s="166">
        <f t="shared" si="40"/>
        <v>5.3029202029594279E-4</v>
      </c>
    </row>
    <row r="58" spans="1:25" x14ac:dyDescent="0.25">
      <c r="A58" s="57"/>
      <c r="B58" s="164" t="s">
        <v>125</v>
      </c>
      <c r="C58" s="165">
        <v>0</v>
      </c>
      <c r="D58" s="165">
        <v>55</v>
      </c>
      <c r="E58" s="165">
        <v>0</v>
      </c>
      <c r="F58" s="165">
        <v>0</v>
      </c>
      <c r="G58" s="165">
        <v>0</v>
      </c>
      <c r="H58" s="165">
        <v>0</v>
      </c>
      <c r="I58" s="166" t="str">
        <f t="shared" si="37"/>
        <v>-</v>
      </c>
      <c r="J58" s="166">
        <f t="shared" si="34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5">
        <v>0</v>
      </c>
      <c r="Q58" s="166" t="str">
        <f t="shared" si="38"/>
        <v>-</v>
      </c>
      <c r="R58" s="166">
        <f t="shared" si="36"/>
        <v>0</v>
      </c>
      <c r="S58" s="165">
        <v>205</v>
      </c>
      <c r="T58" s="165">
        <v>420</v>
      </c>
      <c r="U58" s="165">
        <v>349</v>
      </c>
      <c r="V58" s="165">
        <v>535</v>
      </c>
      <c r="W58" s="165">
        <v>519</v>
      </c>
      <c r="X58" s="166">
        <f t="shared" si="39"/>
        <v>-2.9906542056074792E-2</v>
      </c>
      <c r="Y58" s="166">
        <f t="shared" si="40"/>
        <v>2.5226540653858323E-4</v>
      </c>
    </row>
    <row r="59" spans="1:25" x14ac:dyDescent="0.25">
      <c r="A59" s="57"/>
      <c r="B59" s="164" t="s">
        <v>121</v>
      </c>
      <c r="C59" s="165">
        <v>0</v>
      </c>
      <c r="D59" s="165">
        <v>80</v>
      </c>
      <c r="E59" s="165">
        <v>0</v>
      </c>
      <c r="F59" s="165">
        <v>0</v>
      </c>
      <c r="G59" s="165">
        <v>0</v>
      </c>
      <c r="H59" s="165">
        <v>0</v>
      </c>
      <c r="I59" s="166" t="str">
        <f t="shared" si="37"/>
        <v>-</v>
      </c>
      <c r="J59" s="166">
        <f t="shared" si="34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5">
        <v>0</v>
      </c>
      <c r="Q59" s="166" t="str">
        <f t="shared" si="38"/>
        <v>-</v>
      </c>
      <c r="R59" s="166">
        <f t="shared" si="36"/>
        <v>0</v>
      </c>
      <c r="S59" s="165">
        <v>135</v>
      </c>
      <c r="T59" s="165">
        <v>385</v>
      </c>
      <c r="U59" s="165">
        <v>348</v>
      </c>
      <c r="V59" s="165">
        <v>390</v>
      </c>
      <c r="W59" s="165">
        <v>475</v>
      </c>
      <c r="X59" s="166">
        <f t="shared" si="39"/>
        <v>0.21794871794871784</v>
      </c>
      <c r="Y59" s="166">
        <f t="shared" si="40"/>
        <v>2.3087874394186328E-4</v>
      </c>
    </row>
    <row r="60" spans="1:25" x14ac:dyDescent="0.25">
      <c r="A60" s="57"/>
      <c r="B60" s="164" t="s">
        <v>130</v>
      </c>
      <c r="C60" s="165">
        <v>0</v>
      </c>
      <c r="D60" s="165">
        <v>22</v>
      </c>
      <c r="E60" s="165">
        <v>0</v>
      </c>
      <c r="F60" s="165">
        <v>0</v>
      </c>
      <c r="G60" s="165">
        <v>0</v>
      </c>
      <c r="H60" s="165">
        <v>0</v>
      </c>
      <c r="I60" s="166" t="str">
        <f t="shared" si="37"/>
        <v>-</v>
      </c>
      <c r="J60" s="166">
        <f t="shared" si="34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5">
        <v>0</v>
      </c>
      <c r="Q60" s="166" t="str">
        <f t="shared" si="38"/>
        <v>-</v>
      </c>
      <c r="R60" s="166">
        <f t="shared" si="36"/>
        <v>0</v>
      </c>
      <c r="S60" s="165">
        <v>76</v>
      </c>
      <c r="T60" s="165">
        <v>44</v>
      </c>
      <c r="U60" s="165">
        <v>151</v>
      </c>
      <c r="V60" s="165">
        <v>78</v>
      </c>
      <c r="W60" s="165">
        <v>164</v>
      </c>
      <c r="X60" s="166">
        <f t="shared" si="39"/>
        <v>1.1025641025641026</v>
      </c>
      <c r="Y60" s="166">
        <f t="shared" si="40"/>
        <v>7.9713924224138059E-5</v>
      </c>
    </row>
    <row r="61" spans="1:25" x14ac:dyDescent="0.25">
      <c r="A61" s="57"/>
      <c r="B61" s="164" t="s">
        <v>133</v>
      </c>
      <c r="C61" s="165">
        <v>0</v>
      </c>
      <c r="D61" s="165">
        <v>14</v>
      </c>
      <c r="E61" s="165">
        <v>0</v>
      </c>
      <c r="F61" s="165">
        <v>0</v>
      </c>
      <c r="G61" s="165">
        <v>0</v>
      </c>
      <c r="H61" s="165">
        <v>0</v>
      </c>
      <c r="I61" s="166" t="str">
        <f t="shared" si="37"/>
        <v>-</v>
      </c>
      <c r="J61" s="166">
        <f t="shared" si="34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5">
        <v>0</v>
      </c>
      <c r="Q61" s="166" t="str">
        <f t="shared" si="38"/>
        <v>-</v>
      </c>
      <c r="R61" s="166">
        <f t="shared" si="36"/>
        <v>0</v>
      </c>
      <c r="S61" s="165">
        <v>105</v>
      </c>
      <c r="T61" s="165">
        <v>89</v>
      </c>
      <c r="U61" s="165">
        <v>138</v>
      </c>
      <c r="V61" s="165">
        <v>84</v>
      </c>
      <c r="W61" s="165">
        <v>405</v>
      </c>
      <c r="X61" s="166">
        <f t="shared" si="39"/>
        <v>3.8214285714285712</v>
      </c>
      <c r="Y61" s="166">
        <f t="shared" si="40"/>
        <v>1.9685450799253605E-4</v>
      </c>
    </row>
    <row r="62" spans="1:25" x14ac:dyDescent="0.25">
      <c r="A62" s="57"/>
      <c r="B62" s="169" t="s">
        <v>147</v>
      </c>
      <c r="C62" s="170">
        <f t="shared" ref="C62" si="41">C54-SUM(C55:C61)</f>
        <v>0</v>
      </c>
      <c r="D62" s="170">
        <f t="shared" ref="D62:H62" si="42">D54-SUM(D55:D61)</f>
        <v>997</v>
      </c>
      <c r="E62" s="170">
        <f t="shared" si="42"/>
        <v>0</v>
      </c>
      <c r="F62" s="170">
        <f t="shared" si="42"/>
        <v>0</v>
      </c>
      <c r="G62" s="170">
        <f t="shared" si="42"/>
        <v>0</v>
      </c>
      <c r="H62" s="170">
        <f t="shared" si="42"/>
        <v>0</v>
      </c>
      <c r="I62" s="171" t="str">
        <f t="shared" si="37"/>
        <v>-</v>
      </c>
      <c r="J62" s="171">
        <f t="shared" si="34"/>
        <v>0</v>
      </c>
      <c r="K62" s="170">
        <f t="shared" ref="K62:P62" si="43">K54-SUM(K55:K61)</f>
        <v>0</v>
      </c>
      <c r="L62" s="170">
        <f t="shared" si="43"/>
        <v>0</v>
      </c>
      <c r="M62" s="170">
        <f t="shared" si="43"/>
        <v>0</v>
      </c>
      <c r="N62" s="170">
        <f t="shared" si="43"/>
        <v>0</v>
      </c>
      <c r="O62" s="170">
        <f t="shared" si="43"/>
        <v>0</v>
      </c>
      <c r="P62" s="170">
        <f t="shared" si="43"/>
        <v>0</v>
      </c>
      <c r="Q62" s="171" t="str">
        <f t="shared" si="38"/>
        <v>-</v>
      </c>
      <c r="R62" s="171">
        <f t="shared" si="36"/>
        <v>0</v>
      </c>
      <c r="S62" s="170">
        <f>S54-SUM(S55:S61)</f>
        <v>2040</v>
      </c>
      <c r="T62" s="170">
        <f>T54-SUM(T55:T61)</f>
        <v>3918</v>
      </c>
      <c r="U62" s="170">
        <f>U54-SUM(U55:U61)</f>
        <v>5218</v>
      </c>
      <c r="V62" s="170">
        <f>V54-SUM(V55:V61)</f>
        <v>5279</v>
      </c>
      <c r="W62" s="170">
        <f>W54-SUM(W55:W61)</f>
        <v>4928</v>
      </c>
      <c r="X62" s="171">
        <f t="shared" si="39"/>
        <v>-6.6489865504830492E-2</v>
      </c>
      <c r="Y62" s="171">
        <f t="shared" si="40"/>
        <v>2.3953062108326363E-3</v>
      </c>
    </row>
    <row r="63" spans="1:25" x14ac:dyDescent="0.25">
      <c r="A63" s="57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</row>
    <row r="64" spans="1:25" x14ac:dyDescent="0.25">
      <c r="A64" s="57"/>
      <c r="B64" s="157" t="s">
        <v>70</v>
      </c>
      <c r="C64" s="177">
        <f t="shared" ref="C64:H64" si="44">C65+C68</f>
        <v>1940</v>
      </c>
      <c r="D64" s="177">
        <f t="shared" si="44"/>
        <v>0</v>
      </c>
      <c r="E64" s="177">
        <f t="shared" si="44"/>
        <v>0</v>
      </c>
      <c r="F64" s="177">
        <f t="shared" si="44"/>
        <v>0</v>
      </c>
      <c r="G64" s="177">
        <f t="shared" si="44"/>
        <v>0</v>
      </c>
      <c r="H64" s="177">
        <f t="shared" si="44"/>
        <v>0</v>
      </c>
      <c r="I64" s="178" t="str">
        <f>IFERROR(H64/G64-1,"-")</f>
        <v>-</v>
      </c>
      <c r="J64" s="178">
        <f t="shared" ref="J64:J76" si="45">H64/H$8</f>
        <v>0</v>
      </c>
      <c r="K64" s="177">
        <f t="shared" ref="K64:P64" si="46">K65+K68</f>
        <v>21395</v>
      </c>
      <c r="L64" s="177">
        <f t="shared" si="46"/>
        <v>16603</v>
      </c>
      <c r="M64" s="177">
        <f t="shared" si="46"/>
        <v>0</v>
      </c>
      <c r="N64" s="177">
        <f t="shared" si="46"/>
        <v>21288</v>
      </c>
      <c r="O64" s="177">
        <f t="shared" si="46"/>
        <v>0</v>
      </c>
      <c r="P64" s="177">
        <f t="shared" si="46"/>
        <v>0</v>
      </c>
      <c r="Q64" s="178" t="str">
        <f>IFERROR(P64/O64-1,"-")</f>
        <v>-</v>
      </c>
      <c r="R64" s="178">
        <f t="shared" ref="R64:R76" si="47">P64/P$8</f>
        <v>0</v>
      </c>
      <c r="S64" s="177">
        <f>S65+S68</f>
        <v>23335</v>
      </c>
      <c r="T64" s="177">
        <f>T65+T68</f>
        <v>62155</v>
      </c>
      <c r="U64" s="177">
        <f>U65+U68</f>
        <v>82441</v>
      </c>
      <c r="V64" s="177">
        <f>V65+V68</f>
        <v>96861</v>
      </c>
      <c r="W64" s="177">
        <f>W65+W68</f>
        <v>75400</v>
      </c>
      <c r="X64" s="178">
        <f>IFERROR(W64/V64-1,"-")</f>
        <v>-0.22156492293079777</v>
      </c>
      <c r="Y64" s="178">
        <f>W64/W$8</f>
        <v>3.6648962722561032E-2</v>
      </c>
    </row>
    <row r="65" spans="1:25" x14ac:dyDescent="0.25">
      <c r="A65" s="57"/>
      <c r="B65" s="160" t="s">
        <v>99</v>
      </c>
      <c r="C65" s="161">
        <v>97</v>
      </c>
      <c r="D65" s="161">
        <v>0</v>
      </c>
      <c r="E65" s="161">
        <v>0</v>
      </c>
      <c r="F65" s="161">
        <v>0</v>
      </c>
      <c r="G65" s="161">
        <v>0</v>
      </c>
      <c r="H65" s="161">
        <v>0</v>
      </c>
      <c r="I65" s="162" t="str">
        <f>IFERROR(H65/G65-1,"-")</f>
        <v>-</v>
      </c>
      <c r="J65" s="162">
        <f t="shared" si="45"/>
        <v>0</v>
      </c>
      <c r="K65" s="161">
        <v>5384</v>
      </c>
      <c r="L65" s="161">
        <v>8791</v>
      </c>
      <c r="M65" s="161">
        <v>0</v>
      </c>
      <c r="N65" s="161">
        <v>9045</v>
      </c>
      <c r="O65" s="161">
        <v>0</v>
      </c>
      <c r="P65" s="161">
        <v>0</v>
      </c>
      <c r="Q65" s="162" t="str">
        <f>IFERROR(P65/O65-1,"-")</f>
        <v>-</v>
      </c>
      <c r="R65" s="162">
        <f t="shared" si="47"/>
        <v>0</v>
      </c>
      <c r="S65" s="161">
        <v>5481</v>
      </c>
      <c r="T65" s="161">
        <v>14618</v>
      </c>
      <c r="U65" s="161">
        <v>14854</v>
      </c>
      <c r="V65" s="161">
        <v>27285</v>
      </c>
      <c r="W65" s="161">
        <v>18281</v>
      </c>
      <c r="X65" s="162">
        <f>IFERROR(W65/V65-1,"-")</f>
        <v>-0.32999816749129562</v>
      </c>
      <c r="Y65" s="162">
        <f>W65/W$8</f>
        <v>8.8856722484235845E-3</v>
      </c>
    </row>
    <row r="66" spans="1:25" x14ac:dyDescent="0.25">
      <c r="A66" s="57"/>
      <c r="B66" s="164" t="s">
        <v>105</v>
      </c>
      <c r="C66" s="165">
        <v>57</v>
      </c>
      <c r="D66" s="165">
        <v>0</v>
      </c>
      <c r="E66" s="165">
        <v>0</v>
      </c>
      <c r="F66" s="165">
        <v>0</v>
      </c>
      <c r="G66" s="165">
        <v>0</v>
      </c>
      <c r="H66" s="165">
        <v>0</v>
      </c>
      <c r="I66" s="166" t="str">
        <f>IFERROR(H66/G66-1,"-")</f>
        <v>-</v>
      </c>
      <c r="J66" s="166">
        <f t="shared" si="45"/>
        <v>0</v>
      </c>
      <c r="K66" s="165">
        <v>2142</v>
      </c>
      <c r="L66" s="165">
        <v>8533</v>
      </c>
      <c r="M66" s="165">
        <v>0</v>
      </c>
      <c r="N66" s="165">
        <v>6774</v>
      </c>
      <c r="O66" s="165">
        <v>0</v>
      </c>
      <c r="P66" s="165">
        <v>0</v>
      </c>
      <c r="Q66" s="166" t="str">
        <f>IFERROR(P66/O66-1,"-")</f>
        <v>-</v>
      </c>
      <c r="R66" s="166">
        <f t="shared" si="47"/>
        <v>0</v>
      </c>
      <c r="S66" s="165">
        <v>2199</v>
      </c>
      <c r="T66" s="165">
        <v>10990</v>
      </c>
      <c r="U66" s="165">
        <v>11125</v>
      </c>
      <c r="V66" s="165">
        <v>16363</v>
      </c>
      <c r="W66" s="165">
        <v>6550</v>
      </c>
      <c r="X66" s="166">
        <f>IFERROR(W66/V66-1,"-")</f>
        <v>-0.59970665525881561</v>
      </c>
      <c r="Y66" s="166">
        <f>W66/W$8</f>
        <v>3.1836963638299039E-3</v>
      </c>
    </row>
    <row r="67" spans="1:25" x14ac:dyDescent="0.25">
      <c r="A67" s="57"/>
      <c r="B67" s="164" t="s">
        <v>102</v>
      </c>
      <c r="C67" s="165">
        <v>40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  <c r="I67" s="166" t="str">
        <f>IFERROR(H67/G67-1,"-")</f>
        <v>-</v>
      </c>
      <c r="J67" s="166">
        <f t="shared" si="45"/>
        <v>0</v>
      </c>
      <c r="K67" s="165">
        <v>3242</v>
      </c>
      <c r="L67" s="165">
        <v>258</v>
      </c>
      <c r="M67" s="165">
        <v>0</v>
      </c>
      <c r="N67" s="165">
        <v>2271</v>
      </c>
      <c r="O67" s="165">
        <v>0</v>
      </c>
      <c r="P67" s="165">
        <v>0</v>
      </c>
      <c r="Q67" s="166" t="str">
        <f>IFERROR(P67/O67-1,"-")</f>
        <v>-</v>
      </c>
      <c r="R67" s="166">
        <f t="shared" si="47"/>
        <v>0</v>
      </c>
      <c r="S67" s="165">
        <v>3282</v>
      </c>
      <c r="T67" s="165">
        <v>3628</v>
      </c>
      <c r="U67" s="165">
        <v>3729</v>
      </c>
      <c r="V67" s="165">
        <v>10922</v>
      </c>
      <c r="W67" s="165">
        <v>11731</v>
      </c>
      <c r="X67" s="166">
        <f>IFERROR(W67/V67-1,"-")</f>
        <v>7.4070683025087014E-2</v>
      </c>
      <c r="Y67" s="166">
        <f>W67/W$8</f>
        <v>5.7019758845936802E-3</v>
      </c>
    </row>
    <row r="68" spans="1:25" x14ac:dyDescent="0.25">
      <c r="A68" s="57"/>
      <c r="B68" s="160" t="s">
        <v>109</v>
      </c>
      <c r="C68" s="161">
        <v>1843</v>
      </c>
      <c r="D68" s="161">
        <v>0</v>
      </c>
      <c r="E68" s="161">
        <v>0</v>
      </c>
      <c r="F68" s="161">
        <v>0</v>
      </c>
      <c r="G68" s="161">
        <v>0</v>
      </c>
      <c r="H68" s="161">
        <v>0</v>
      </c>
      <c r="I68" s="162" t="str">
        <f>IFERROR(H68/G68-1,"-")</f>
        <v>-</v>
      </c>
      <c r="J68" s="162">
        <f t="shared" si="45"/>
        <v>0</v>
      </c>
      <c r="K68" s="161">
        <v>16011</v>
      </c>
      <c r="L68" s="161">
        <v>7812</v>
      </c>
      <c r="M68" s="161">
        <v>0</v>
      </c>
      <c r="N68" s="161">
        <v>12243</v>
      </c>
      <c r="O68" s="161">
        <v>0</v>
      </c>
      <c r="P68" s="161">
        <v>0</v>
      </c>
      <c r="Q68" s="162" t="str">
        <f>IFERROR(P68/O68-1,"-")</f>
        <v>-</v>
      </c>
      <c r="R68" s="162">
        <f t="shared" si="47"/>
        <v>0</v>
      </c>
      <c r="S68" s="161">
        <v>17854</v>
      </c>
      <c r="T68" s="161">
        <v>47537</v>
      </c>
      <c r="U68" s="161">
        <v>67587</v>
      </c>
      <c r="V68" s="161">
        <v>69576</v>
      </c>
      <c r="W68" s="161">
        <v>57119</v>
      </c>
      <c r="X68" s="162">
        <f>IFERROR(W68/V68-1,"-")</f>
        <v>-0.17904162354834996</v>
      </c>
      <c r="Y68" s="162">
        <f>W68/W$8</f>
        <v>2.7763290474137448E-2</v>
      </c>
    </row>
    <row r="69" spans="1:25" s="57" customFormat="1" x14ac:dyDescent="0.25">
      <c r="B69" s="164" t="s">
        <v>112</v>
      </c>
      <c r="C69" s="165">
        <v>217</v>
      </c>
      <c r="D69" s="165">
        <v>0</v>
      </c>
      <c r="E69" s="165">
        <v>0</v>
      </c>
      <c r="F69" s="165">
        <v>0</v>
      </c>
      <c r="G69" s="165">
        <v>0</v>
      </c>
      <c r="H69" s="165">
        <v>0</v>
      </c>
      <c r="I69" s="166" t="str">
        <f t="shared" ref="I69:I76" si="48">IFERROR(H69/G69-1,"-")</f>
        <v>-</v>
      </c>
      <c r="J69" s="166">
        <f t="shared" si="45"/>
        <v>0</v>
      </c>
      <c r="K69" s="165">
        <v>6895</v>
      </c>
      <c r="L69" s="165">
        <v>869</v>
      </c>
      <c r="M69" s="165">
        <v>0</v>
      </c>
      <c r="N69" s="165">
        <v>3814</v>
      </c>
      <c r="O69" s="165">
        <v>0</v>
      </c>
      <c r="P69" s="165">
        <v>0</v>
      </c>
      <c r="Q69" s="166" t="str">
        <f t="shared" ref="Q69:Q76" si="49">IFERROR(P69/O69-1,"-")</f>
        <v>-</v>
      </c>
      <c r="R69" s="166">
        <f t="shared" si="47"/>
        <v>0</v>
      </c>
      <c r="S69" s="165">
        <v>7112</v>
      </c>
      <c r="T69" s="165">
        <v>18994</v>
      </c>
      <c r="U69" s="165">
        <v>23900</v>
      </c>
      <c r="V69" s="165">
        <v>21936</v>
      </c>
      <c r="W69" s="165">
        <v>24121</v>
      </c>
      <c r="X69" s="166">
        <f t="shared" ref="X69:X76" si="50">IFERROR(W69/V69-1,"-")</f>
        <v>9.96079504011671E-2</v>
      </c>
      <c r="Y69" s="166">
        <f t="shared" ref="Y69:Y76" si="51">W69/W$8</f>
        <v>1.1724265647624597E-2</v>
      </c>
    </row>
    <row r="70" spans="1:25" s="57" customFormat="1" x14ac:dyDescent="0.25">
      <c r="B70" s="164" t="s">
        <v>115</v>
      </c>
      <c r="C70" s="165">
        <v>271</v>
      </c>
      <c r="D70" s="165">
        <v>0</v>
      </c>
      <c r="E70" s="165">
        <v>0</v>
      </c>
      <c r="F70" s="165">
        <v>0</v>
      </c>
      <c r="G70" s="165">
        <v>0</v>
      </c>
      <c r="H70" s="165">
        <v>0</v>
      </c>
      <c r="I70" s="166" t="str">
        <f t="shared" si="48"/>
        <v>-</v>
      </c>
      <c r="J70" s="166">
        <f t="shared" si="45"/>
        <v>0</v>
      </c>
      <c r="K70" s="165">
        <v>1796</v>
      </c>
      <c r="L70" s="165">
        <v>1195</v>
      </c>
      <c r="M70" s="165">
        <v>0</v>
      </c>
      <c r="N70" s="165">
        <v>1993</v>
      </c>
      <c r="O70" s="165">
        <v>0</v>
      </c>
      <c r="P70" s="165">
        <v>0</v>
      </c>
      <c r="Q70" s="166" t="str">
        <f t="shared" si="49"/>
        <v>-</v>
      </c>
      <c r="R70" s="166">
        <f t="shared" si="47"/>
        <v>0</v>
      </c>
      <c r="S70" s="165">
        <v>2067</v>
      </c>
      <c r="T70" s="165">
        <v>5107</v>
      </c>
      <c r="U70" s="165">
        <v>5122</v>
      </c>
      <c r="V70" s="165">
        <v>5111</v>
      </c>
      <c r="W70" s="165">
        <v>5483</v>
      </c>
      <c r="X70" s="166">
        <f t="shared" si="50"/>
        <v>7.2784190960673012E-2</v>
      </c>
      <c r="Y70" s="166">
        <f t="shared" si="51"/>
        <v>2.6650697958594447E-3</v>
      </c>
    </row>
    <row r="71" spans="1:25" x14ac:dyDescent="0.25">
      <c r="A71" s="57"/>
      <c r="B71" s="164" t="s">
        <v>118</v>
      </c>
      <c r="C71" s="165">
        <v>564</v>
      </c>
      <c r="D71" s="165">
        <v>0</v>
      </c>
      <c r="E71" s="165">
        <v>0</v>
      </c>
      <c r="F71" s="165">
        <v>0</v>
      </c>
      <c r="G71" s="165">
        <v>0</v>
      </c>
      <c r="H71" s="165">
        <v>0</v>
      </c>
      <c r="I71" s="166" t="str">
        <f t="shared" si="48"/>
        <v>-</v>
      </c>
      <c r="J71" s="166">
        <f t="shared" si="45"/>
        <v>0</v>
      </c>
      <c r="K71" s="165">
        <v>1867</v>
      </c>
      <c r="L71" s="165">
        <v>1158</v>
      </c>
      <c r="M71" s="165">
        <v>0</v>
      </c>
      <c r="N71" s="165">
        <v>1042</v>
      </c>
      <c r="O71" s="165">
        <v>0</v>
      </c>
      <c r="P71" s="165">
        <v>0</v>
      </c>
      <c r="Q71" s="166" t="str">
        <f t="shared" si="49"/>
        <v>-</v>
      </c>
      <c r="R71" s="166">
        <f t="shared" si="47"/>
        <v>0</v>
      </c>
      <c r="S71" s="165">
        <v>2431</v>
      </c>
      <c r="T71" s="165">
        <v>6745</v>
      </c>
      <c r="U71" s="165">
        <v>8527</v>
      </c>
      <c r="V71" s="165">
        <v>10065</v>
      </c>
      <c r="W71" s="165">
        <v>5029</v>
      </c>
      <c r="X71" s="166">
        <f t="shared" si="50"/>
        <v>-0.50034773969200197</v>
      </c>
      <c r="Y71" s="166">
        <f t="shared" si="51"/>
        <v>2.44439832270238E-3</v>
      </c>
    </row>
    <row r="72" spans="1:25" x14ac:dyDescent="0.25">
      <c r="A72" s="57"/>
      <c r="B72" s="164" t="s">
        <v>125</v>
      </c>
      <c r="C72" s="165">
        <v>22</v>
      </c>
      <c r="D72" s="165">
        <v>0</v>
      </c>
      <c r="E72" s="165">
        <v>0</v>
      </c>
      <c r="F72" s="165">
        <v>0</v>
      </c>
      <c r="G72" s="165">
        <v>0</v>
      </c>
      <c r="H72" s="165">
        <v>0</v>
      </c>
      <c r="I72" s="166" t="str">
        <f t="shared" si="48"/>
        <v>-</v>
      </c>
      <c r="J72" s="166">
        <f t="shared" si="45"/>
        <v>0</v>
      </c>
      <c r="K72" s="165">
        <v>182</v>
      </c>
      <c r="L72" s="165">
        <v>415</v>
      </c>
      <c r="M72" s="165">
        <v>0</v>
      </c>
      <c r="N72" s="165">
        <v>289</v>
      </c>
      <c r="O72" s="165">
        <v>0</v>
      </c>
      <c r="P72" s="165">
        <v>0</v>
      </c>
      <c r="Q72" s="166" t="str">
        <f t="shared" si="49"/>
        <v>-</v>
      </c>
      <c r="R72" s="166">
        <f t="shared" si="47"/>
        <v>0</v>
      </c>
      <c r="S72" s="165">
        <v>204</v>
      </c>
      <c r="T72" s="165">
        <v>787</v>
      </c>
      <c r="U72" s="165">
        <v>1669</v>
      </c>
      <c r="V72" s="165">
        <v>2367</v>
      </c>
      <c r="W72" s="165">
        <v>1356</v>
      </c>
      <c r="X72" s="166">
        <f t="shared" si="50"/>
        <v>-0.42712294043092525</v>
      </c>
      <c r="Y72" s="166">
        <f t="shared" si="51"/>
        <v>6.5909805638982445E-4</v>
      </c>
    </row>
    <row r="73" spans="1:25" x14ac:dyDescent="0.25">
      <c r="A73" s="57"/>
      <c r="B73" s="164" t="s">
        <v>121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5">
        <v>0</v>
      </c>
      <c r="I73" s="166" t="str">
        <f t="shared" si="48"/>
        <v>-</v>
      </c>
      <c r="J73" s="166">
        <f t="shared" si="45"/>
        <v>0</v>
      </c>
      <c r="K73" s="165">
        <v>442</v>
      </c>
      <c r="L73" s="165">
        <v>413</v>
      </c>
      <c r="M73" s="165">
        <v>0</v>
      </c>
      <c r="N73" s="165">
        <v>337</v>
      </c>
      <c r="O73" s="165">
        <v>0</v>
      </c>
      <c r="P73" s="165">
        <v>0</v>
      </c>
      <c r="Q73" s="166" t="str">
        <f t="shared" si="49"/>
        <v>-</v>
      </c>
      <c r="R73" s="166">
        <f t="shared" si="47"/>
        <v>0</v>
      </c>
      <c r="S73" s="165">
        <v>442</v>
      </c>
      <c r="T73" s="165">
        <v>1343</v>
      </c>
      <c r="U73" s="165">
        <v>1273</v>
      </c>
      <c r="V73" s="165">
        <v>1710</v>
      </c>
      <c r="W73" s="165">
        <v>1550</v>
      </c>
      <c r="X73" s="166">
        <f t="shared" si="50"/>
        <v>-9.3567251461988299E-2</v>
      </c>
      <c r="Y73" s="166">
        <f t="shared" si="51"/>
        <v>7.5339379602081696E-4</v>
      </c>
    </row>
    <row r="74" spans="1:25" x14ac:dyDescent="0.25">
      <c r="A74" s="57"/>
      <c r="B74" s="164" t="s">
        <v>130</v>
      </c>
      <c r="C74" s="165">
        <v>83</v>
      </c>
      <c r="D74" s="165">
        <v>0</v>
      </c>
      <c r="E74" s="165">
        <v>0</v>
      </c>
      <c r="F74" s="165">
        <v>0</v>
      </c>
      <c r="G74" s="165">
        <v>0</v>
      </c>
      <c r="H74" s="165">
        <v>0</v>
      </c>
      <c r="I74" s="166" t="str">
        <f t="shared" si="48"/>
        <v>-</v>
      </c>
      <c r="J74" s="166">
        <f t="shared" si="45"/>
        <v>0</v>
      </c>
      <c r="K74" s="165">
        <v>551</v>
      </c>
      <c r="L74" s="165">
        <v>0</v>
      </c>
      <c r="M74" s="165">
        <v>0</v>
      </c>
      <c r="N74" s="165">
        <v>1</v>
      </c>
      <c r="O74" s="165">
        <v>0</v>
      </c>
      <c r="P74" s="165">
        <v>0</v>
      </c>
      <c r="Q74" s="166" t="str">
        <f t="shared" si="49"/>
        <v>-</v>
      </c>
      <c r="R74" s="166">
        <f t="shared" si="47"/>
        <v>0</v>
      </c>
      <c r="S74" s="165">
        <v>634</v>
      </c>
      <c r="T74" s="165">
        <v>878</v>
      </c>
      <c r="U74" s="165">
        <v>3180</v>
      </c>
      <c r="V74" s="165">
        <v>1641</v>
      </c>
      <c r="W74" s="165">
        <v>810</v>
      </c>
      <c r="X74" s="166">
        <f t="shared" si="50"/>
        <v>-0.50639853747714803</v>
      </c>
      <c r="Y74" s="166">
        <f t="shared" si="51"/>
        <v>3.9370901598507211E-4</v>
      </c>
    </row>
    <row r="75" spans="1:25" x14ac:dyDescent="0.25">
      <c r="A75" s="57"/>
      <c r="B75" s="164" t="s">
        <v>133</v>
      </c>
      <c r="C75" s="165">
        <v>63</v>
      </c>
      <c r="D75" s="165">
        <v>0</v>
      </c>
      <c r="E75" s="165">
        <v>0</v>
      </c>
      <c r="F75" s="165">
        <v>0</v>
      </c>
      <c r="G75" s="165">
        <v>0</v>
      </c>
      <c r="H75" s="165">
        <v>0</v>
      </c>
      <c r="I75" s="166" t="str">
        <f t="shared" si="48"/>
        <v>-</v>
      </c>
      <c r="J75" s="166">
        <f t="shared" si="45"/>
        <v>0</v>
      </c>
      <c r="K75" s="165">
        <v>710</v>
      </c>
      <c r="L75" s="165">
        <v>0</v>
      </c>
      <c r="M75" s="165">
        <v>0</v>
      </c>
      <c r="N75" s="165">
        <v>18</v>
      </c>
      <c r="O75" s="165">
        <v>0</v>
      </c>
      <c r="P75" s="165">
        <v>0</v>
      </c>
      <c r="Q75" s="166" t="str">
        <f t="shared" si="49"/>
        <v>-</v>
      </c>
      <c r="R75" s="166">
        <f t="shared" si="47"/>
        <v>0</v>
      </c>
      <c r="S75" s="165">
        <v>773</v>
      </c>
      <c r="T75" s="165">
        <v>278</v>
      </c>
      <c r="U75" s="165">
        <v>906</v>
      </c>
      <c r="V75" s="165">
        <v>203</v>
      </c>
      <c r="W75" s="165">
        <v>521</v>
      </c>
      <c r="X75" s="166">
        <f t="shared" si="50"/>
        <v>1.5665024630541873</v>
      </c>
      <c r="Y75" s="166">
        <f t="shared" si="51"/>
        <v>2.532375275657069E-4</v>
      </c>
    </row>
    <row r="76" spans="1:25" x14ac:dyDescent="0.25">
      <c r="A76" s="57"/>
      <c r="B76" s="169" t="s">
        <v>147</v>
      </c>
      <c r="C76" s="170">
        <f t="shared" ref="C76" si="52">C68-SUM(C69:C75)</f>
        <v>623</v>
      </c>
      <c r="D76" s="170">
        <f t="shared" ref="D76:H76" si="53">D68-SUM(D69:D75)</f>
        <v>0</v>
      </c>
      <c r="E76" s="170">
        <f t="shared" si="53"/>
        <v>0</v>
      </c>
      <c r="F76" s="170">
        <f t="shared" si="53"/>
        <v>0</v>
      </c>
      <c r="G76" s="170">
        <f t="shared" si="53"/>
        <v>0</v>
      </c>
      <c r="H76" s="170">
        <f t="shared" si="53"/>
        <v>0</v>
      </c>
      <c r="I76" s="171" t="str">
        <f t="shared" si="48"/>
        <v>-</v>
      </c>
      <c r="J76" s="171">
        <f t="shared" si="45"/>
        <v>0</v>
      </c>
      <c r="K76" s="170">
        <f t="shared" ref="K76:P76" si="54">K68-SUM(K69:K75)</f>
        <v>3568</v>
      </c>
      <c r="L76" s="170">
        <f t="shared" si="54"/>
        <v>3762</v>
      </c>
      <c r="M76" s="170">
        <f t="shared" si="54"/>
        <v>0</v>
      </c>
      <c r="N76" s="170">
        <f t="shared" si="54"/>
        <v>4749</v>
      </c>
      <c r="O76" s="170">
        <f t="shared" si="54"/>
        <v>0</v>
      </c>
      <c r="P76" s="170">
        <f t="shared" si="54"/>
        <v>0</v>
      </c>
      <c r="Q76" s="171" t="str">
        <f t="shared" si="49"/>
        <v>-</v>
      </c>
      <c r="R76" s="171">
        <f t="shared" si="47"/>
        <v>0</v>
      </c>
      <c r="S76" s="170">
        <f>S68-SUM(S69:S75)</f>
        <v>4191</v>
      </c>
      <c r="T76" s="170">
        <f>T68-SUM(T69:T75)</f>
        <v>13405</v>
      </c>
      <c r="U76" s="170">
        <f>U68-SUM(U69:U75)</f>
        <v>23010</v>
      </c>
      <c r="V76" s="170">
        <f>V68-SUM(V69:V75)</f>
        <v>26543</v>
      </c>
      <c r="W76" s="170">
        <f>W68-SUM(W69:W75)</f>
        <v>18249</v>
      </c>
      <c r="X76" s="171">
        <f t="shared" si="50"/>
        <v>-0.31247409863240783</v>
      </c>
      <c r="Y76" s="171">
        <f t="shared" si="51"/>
        <v>8.8701183119896058E-3</v>
      </c>
    </row>
    <row r="77" spans="1:25" x14ac:dyDescent="0.25">
      <c r="A77" s="57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</row>
    <row r="78" spans="1:25" x14ac:dyDescent="0.25">
      <c r="A78" s="57"/>
      <c r="B78" s="157" t="s">
        <v>70</v>
      </c>
      <c r="C78" s="177">
        <f t="shared" ref="C78:H78" si="55">C79+C82</f>
        <v>22825</v>
      </c>
      <c r="D78" s="177">
        <f t="shared" si="55"/>
        <v>20205</v>
      </c>
      <c r="E78" s="177">
        <f t="shared" si="55"/>
        <v>51269</v>
      </c>
      <c r="F78" s="177">
        <f t="shared" si="55"/>
        <v>50097</v>
      </c>
      <c r="G78" s="177">
        <f t="shared" si="55"/>
        <v>56290</v>
      </c>
      <c r="H78" s="177">
        <f t="shared" si="55"/>
        <v>59742</v>
      </c>
      <c r="I78" s="178">
        <f>IFERROR(H78/G78-1,"-")</f>
        <v>6.1325279801030419E-2</v>
      </c>
      <c r="J78" s="178">
        <f t="shared" ref="J78:J90" si="56">H78/H$8</f>
        <v>0.16025988379267239</v>
      </c>
      <c r="K78" s="177">
        <f t="shared" ref="K78:P78" si="57">K79+K82</f>
        <v>93394</v>
      </c>
      <c r="L78" s="177">
        <f t="shared" si="57"/>
        <v>30999</v>
      </c>
      <c r="M78" s="177">
        <f t="shared" si="57"/>
        <v>210056</v>
      </c>
      <c r="N78" s="177">
        <f t="shared" si="57"/>
        <v>256421</v>
      </c>
      <c r="O78" s="177">
        <f t="shared" si="57"/>
        <v>297132</v>
      </c>
      <c r="P78" s="177">
        <f t="shared" si="57"/>
        <v>291861</v>
      </c>
      <c r="Q78" s="178">
        <f>IFERROR(P78/O78-1,"-")</f>
        <v>-1.7739590485036927E-2</v>
      </c>
      <c r="R78" s="178">
        <f t="shared" ref="R78:R90" si="58">P78/P$8</f>
        <v>0.17325497529050354</v>
      </c>
      <c r="S78" s="177">
        <f>S79+S82</f>
        <v>116219</v>
      </c>
      <c r="T78" s="177">
        <f>T79+T82</f>
        <v>261325</v>
      </c>
      <c r="U78" s="177">
        <f>U79+U82</f>
        <v>306518</v>
      </c>
      <c r="V78" s="177">
        <f>V79+V82</f>
        <v>353422</v>
      </c>
      <c r="W78" s="177">
        <f>W79+W82</f>
        <v>351603</v>
      </c>
      <c r="X78" s="178">
        <f>IFERROR(W78/V78-1,"-")</f>
        <v>-5.1468216466433736E-3</v>
      </c>
      <c r="Y78" s="178">
        <f>W78/W$8</f>
        <v>0.17090033474987568</v>
      </c>
    </row>
    <row r="79" spans="1:25" x14ac:dyDescent="0.25">
      <c r="A79" s="57"/>
      <c r="B79" s="160" t="s">
        <v>99</v>
      </c>
      <c r="C79" s="161">
        <v>7130</v>
      </c>
      <c r="D79" s="161">
        <v>11886</v>
      </c>
      <c r="E79" s="161">
        <v>24698</v>
      </c>
      <c r="F79" s="161">
        <v>23276</v>
      </c>
      <c r="G79" s="161">
        <v>25800</v>
      </c>
      <c r="H79" s="161">
        <v>28395</v>
      </c>
      <c r="I79" s="162">
        <f>IFERROR(H79/G79-1,"-")</f>
        <v>0.10058139534883725</v>
      </c>
      <c r="J79" s="162">
        <f t="shared" si="56"/>
        <v>7.6170523254878192E-2</v>
      </c>
      <c r="K79" s="161">
        <v>33582</v>
      </c>
      <c r="L79" s="161">
        <v>16882</v>
      </c>
      <c r="M79" s="161">
        <v>101615</v>
      </c>
      <c r="N79" s="161">
        <v>112041</v>
      </c>
      <c r="O79" s="161">
        <v>114422</v>
      </c>
      <c r="P79" s="161">
        <v>112058</v>
      </c>
      <c r="Q79" s="162">
        <f>IFERROR(P79/O79-1,"-")</f>
        <v>-2.066036251769765E-2</v>
      </c>
      <c r="R79" s="162">
        <f t="shared" si="58"/>
        <v>6.6520042147129102E-2</v>
      </c>
      <c r="S79" s="161">
        <v>40712</v>
      </c>
      <c r="T79" s="161">
        <v>126313</v>
      </c>
      <c r="U79" s="161">
        <v>135317</v>
      </c>
      <c r="V79" s="161">
        <v>140222</v>
      </c>
      <c r="W79" s="161">
        <v>140453</v>
      </c>
      <c r="X79" s="162">
        <f>IFERROR(W79/V79-1,"-")</f>
        <v>1.6473877137681558E-3</v>
      </c>
      <c r="Y79" s="162">
        <f>W79/W$8</f>
        <v>6.8268657311297942E-2</v>
      </c>
    </row>
    <row r="80" spans="1:25" x14ac:dyDescent="0.25">
      <c r="A80" s="57"/>
      <c r="B80" s="164" t="s">
        <v>105</v>
      </c>
      <c r="C80" s="165">
        <v>2296</v>
      </c>
      <c r="D80" s="165">
        <v>8324</v>
      </c>
      <c r="E80" s="165">
        <v>14831</v>
      </c>
      <c r="F80" s="165">
        <v>13951</v>
      </c>
      <c r="G80" s="165">
        <v>13560</v>
      </c>
      <c r="H80" s="165">
        <v>13516</v>
      </c>
      <c r="I80" s="166">
        <f>IFERROR(H80/G80-1,"-")</f>
        <v>-3.244837758112129E-3</v>
      </c>
      <c r="J80" s="166">
        <f t="shared" si="56"/>
        <v>3.6257115418662916E-2</v>
      </c>
      <c r="K80" s="165">
        <v>4508</v>
      </c>
      <c r="L80" s="165">
        <v>3387</v>
      </c>
      <c r="M80" s="165">
        <v>14424</v>
      </c>
      <c r="N80" s="165">
        <v>13000</v>
      </c>
      <c r="O80" s="165">
        <v>20650</v>
      </c>
      <c r="P80" s="165">
        <v>15133</v>
      </c>
      <c r="Q80" s="166">
        <f>IFERROR(P80/O80-1,"-")</f>
        <v>-0.26716707021791763</v>
      </c>
      <c r="R80" s="166">
        <f t="shared" si="58"/>
        <v>8.9832747132065956E-3</v>
      </c>
      <c r="S80" s="165">
        <v>6804</v>
      </c>
      <c r="T80" s="165">
        <v>29255</v>
      </c>
      <c r="U80" s="165">
        <v>26951</v>
      </c>
      <c r="V80" s="165">
        <v>34210</v>
      </c>
      <c r="W80" s="165">
        <v>28649</v>
      </c>
      <c r="X80" s="166">
        <f>IFERROR(W80/V80-1,"-")</f>
        <v>-0.16255480853551596</v>
      </c>
      <c r="Y80" s="166">
        <f>W80/W$8</f>
        <v>1.3925147653032507E-2</v>
      </c>
    </row>
    <row r="81" spans="1:25" x14ac:dyDescent="0.25">
      <c r="A81" s="57"/>
      <c r="B81" s="164" t="s">
        <v>102</v>
      </c>
      <c r="C81" s="165">
        <v>4834</v>
      </c>
      <c r="D81" s="165">
        <v>3562</v>
      </c>
      <c r="E81" s="165">
        <v>9867</v>
      </c>
      <c r="F81" s="165">
        <v>9325</v>
      </c>
      <c r="G81" s="165">
        <v>12240</v>
      </c>
      <c r="H81" s="165">
        <v>14879</v>
      </c>
      <c r="I81" s="166">
        <f>IFERROR(H81/G81-1,"-")</f>
        <v>0.21560457516339859</v>
      </c>
      <c r="J81" s="166">
        <f t="shared" si="56"/>
        <v>3.9913407836215269E-2</v>
      </c>
      <c r="K81" s="165">
        <v>29074</v>
      </c>
      <c r="L81" s="165">
        <v>13495</v>
      </c>
      <c r="M81" s="165">
        <v>87191</v>
      </c>
      <c r="N81" s="165">
        <v>99041</v>
      </c>
      <c r="O81" s="165">
        <v>93772</v>
      </c>
      <c r="P81" s="165">
        <v>96925</v>
      </c>
      <c r="Q81" s="166">
        <f>IFERROR(P81/O81-1,"-")</f>
        <v>3.3624109542294001E-2</v>
      </c>
      <c r="R81" s="166">
        <f t="shared" si="58"/>
        <v>5.7536767433922505E-2</v>
      </c>
      <c r="S81" s="165">
        <v>33908</v>
      </c>
      <c r="T81" s="165">
        <v>97058</v>
      </c>
      <c r="U81" s="165">
        <v>108366</v>
      </c>
      <c r="V81" s="165">
        <v>106012</v>
      </c>
      <c r="W81" s="165">
        <v>111804</v>
      </c>
      <c r="X81" s="166">
        <f>IFERROR(W81/V81-1,"-")</f>
        <v>5.4635324302909183E-2</v>
      </c>
      <c r="Y81" s="166">
        <f>W81/W$8</f>
        <v>5.4343509658265433E-2</v>
      </c>
    </row>
    <row r="82" spans="1:25" x14ac:dyDescent="0.25">
      <c r="A82" s="57"/>
      <c r="B82" s="160" t="s">
        <v>109</v>
      </c>
      <c r="C82" s="161">
        <v>15695</v>
      </c>
      <c r="D82" s="161">
        <v>8319</v>
      </c>
      <c r="E82" s="161">
        <v>26571</v>
      </c>
      <c r="F82" s="161">
        <v>26821</v>
      </c>
      <c r="G82" s="161">
        <v>30490</v>
      </c>
      <c r="H82" s="161">
        <v>31347</v>
      </c>
      <c r="I82" s="162">
        <f>IFERROR(H82/G82-1,"-")</f>
        <v>2.810757625450977E-2</v>
      </c>
      <c r="J82" s="162">
        <f t="shared" si="56"/>
        <v>8.40893605377942E-2</v>
      </c>
      <c r="K82" s="161">
        <v>59812</v>
      </c>
      <c r="L82" s="161">
        <v>14117</v>
      </c>
      <c r="M82" s="161">
        <v>108441</v>
      </c>
      <c r="N82" s="161">
        <v>144380</v>
      </c>
      <c r="O82" s="161">
        <v>182710</v>
      </c>
      <c r="P82" s="161">
        <v>179803</v>
      </c>
      <c r="Q82" s="162">
        <f>IFERROR(P82/O82-1,"-")</f>
        <v>-1.5910459197635562E-2</v>
      </c>
      <c r="R82" s="162">
        <f t="shared" si="58"/>
        <v>0.10673493314337444</v>
      </c>
      <c r="S82" s="161">
        <v>75507</v>
      </c>
      <c r="T82" s="161">
        <v>135012</v>
      </c>
      <c r="U82" s="161">
        <v>171201</v>
      </c>
      <c r="V82" s="161">
        <v>213200</v>
      </c>
      <c r="W82" s="161">
        <v>211150</v>
      </c>
      <c r="X82" s="162">
        <f>IFERROR(W82/V82-1,"-")</f>
        <v>-9.6153846153845812E-3</v>
      </c>
      <c r="Y82" s="162">
        <f>W82/W$8</f>
        <v>0.10263167743857775</v>
      </c>
    </row>
    <row r="83" spans="1:25" s="57" customFormat="1" x14ac:dyDescent="0.25">
      <c r="B83" s="164" t="s">
        <v>112</v>
      </c>
      <c r="C83" s="165">
        <v>2122</v>
      </c>
      <c r="D83" s="165">
        <v>1060</v>
      </c>
      <c r="E83" s="165">
        <v>2705</v>
      </c>
      <c r="F83" s="165">
        <v>3631</v>
      </c>
      <c r="G83" s="165">
        <v>4400</v>
      </c>
      <c r="H83" s="165">
        <v>4182</v>
      </c>
      <c r="I83" s="166">
        <f t="shared" ref="I83:I90" si="59">IFERROR(H83/G83-1,"-")</f>
        <v>-4.9545454545454559E-2</v>
      </c>
      <c r="J83" s="166">
        <f t="shared" si="56"/>
        <v>1.1218352817464363E-2</v>
      </c>
      <c r="K83" s="165">
        <v>12866</v>
      </c>
      <c r="L83" s="165">
        <v>679</v>
      </c>
      <c r="M83" s="165">
        <v>23164</v>
      </c>
      <c r="N83" s="165">
        <v>31605</v>
      </c>
      <c r="O83" s="165">
        <v>39873</v>
      </c>
      <c r="P83" s="165">
        <v>41088</v>
      </c>
      <c r="Q83" s="166">
        <f t="shared" ref="Q83:Q90" si="60">IFERROR(P83/O83-1,"-")</f>
        <v>3.047174779926265E-2</v>
      </c>
      <c r="R83" s="166">
        <f t="shared" si="58"/>
        <v>2.4390721695383109E-2</v>
      </c>
      <c r="S83" s="165">
        <v>14988</v>
      </c>
      <c r="T83" s="165">
        <v>25869</v>
      </c>
      <c r="U83" s="165">
        <v>35236</v>
      </c>
      <c r="V83" s="165">
        <v>44273</v>
      </c>
      <c r="W83" s="165">
        <v>45270</v>
      </c>
      <c r="X83" s="166">
        <f t="shared" ref="X83:X90" si="61">IFERROR(W83/V83-1,"-")</f>
        <v>2.2519368463849387E-2</v>
      </c>
      <c r="Y83" s="166">
        <f t="shared" ref="Y83:Y90" si="62">W83/W$8</f>
        <v>2.2003959448943476E-2</v>
      </c>
    </row>
    <row r="84" spans="1:25" s="57" customFormat="1" x14ac:dyDescent="0.25">
      <c r="B84" s="164" t="s">
        <v>115</v>
      </c>
      <c r="C84" s="165">
        <v>4630</v>
      </c>
      <c r="D84" s="165">
        <v>1738</v>
      </c>
      <c r="E84" s="165">
        <v>6811</v>
      </c>
      <c r="F84" s="165">
        <v>7673</v>
      </c>
      <c r="G84" s="165">
        <v>7923</v>
      </c>
      <c r="H84" s="165">
        <v>7608</v>
      </c>
      <c r="I84" s="166">
        <f t="shared" si="59"/>
        <v>-3.9757667550170406E-2</v>
      </c>
      <c r="J84" s="166">
        <f t="shared" si="56"/>
        <v>2.0408710721011209E-2</v>
      </c>
      <c r="K84" s="165">
        <v>23780</v>
      </c>
      <c r="L84" s="165">
        <v>2853</v>
      </c>
      <c r="M84" s="165">
        <v>38807</v>
      </c>
      <c r="N84" s="165">
        <v>48521</v>
      </c>
      <c r="O84" s="165">
        <v>56382</v>
      </c>
      <c r="P84" s="165">
        <v>54274</v>
      </c>
      <c r="Q84" s="166">
        <f t="shared" si="60"/>
        <v>-3.7387818807420814E-2</v>
      </c>
      <c r="R84" s="166">
        <f t="shared" si="58"/>
        <v>3.2218215276850246E-2</v>
      </c>
      <c r="S84" s="165">
        <v>28410</v>
      </c>
      <c r="T84" s="165">
        <v>45618</v>
      </c>
      <c r="U84" s="165">
        <v>56194</v>
      </c>
      <c r="V84" s="165">
        <v>64305</v>
      </c>
      <c r="W84" s="165">
        <v>61882</v>
      </c>
      <c r="X84" s="166">
        <f t="shared" si="61"/>
        <v>-3.7679807168960466E-2</v>
      </c>
      <c r="Y84" s="166">
        <f t="shared" si="62"/>
        <v>3.0078396700232386E-2</v>
      </c>
    </row>
    <row r="85" spans="1:25" x14ac:dyDescent="0.25">
      <c r="A85" s="57"/>
      <c r="B85" s="164" t="s">
        <v>118</v>
      </c>
      <c r="C85" s="165">
        <v>1312</v>
      </c>
      <c r="D85" s="165">
        <v>2160</v>
      </c>
      <c r="E85" s="165">
        <v>3353</v>
      </c>
      <c r="F85" s="165">
        <v>3076</v>
      </c>
      <c r="G85" s="165">
        <v>3044</v>
      </c>
      <c r="H85" s="165">
        <v>3130</v>
      </c>
      <c r="I85" s="166">
        <f t="shared" si="59"/>
        <v>2.8252299605781905E-2</v>
      </c>
      <c r="J85" s="166">
        <f t="shared" si="56"/>
        <v>8.3963281488913088E-3</v>
      </c>
      <c r="K85" s="165">
        <v>3742</v>
      </c>
      <c r="L85" s="165">
        <v>2367</v>
      </c>
      <c r="M85" s="165">
        <v>9700</v>
      </c>
      <c r="N85" s="165">
        <v>14025</v>
      </c>
      <c r="O85" s="165">
        <v>23111</v>
      </c>
      <c r="P85" s="165">
        <v>20211</v>
      </c>
      <c r="Q85" s="166">
        <f t="shared" si="60"/>
        <v>-0.12548137250659863</v>
      </c>
      <c r="R85" s="166">
        <f t="shared" si="58"/>
        <v>1.1997684876007301E-2</v>
      </c>
      <c r="S85" s="165">
        <v>5054</v>
      </c>
      <c r="T85" s="165">
        <v>13053</v>
      </c>
      <c r="U85" s="165">
        <v>17101</v>
      </c>
      <c r="V85" s="165">
        <v>26155</v>
      </c>
      <c r="W85" s="165">
        <v>23341</v>
      </c>
      <c r="X85" s="166">
        <f t="shared" si="61"/>
        <v>-0.10758937105715927</v>
      </c>
      <c r="Y85" s="166">
        <f t="shared" si="62"/>
        <v>1.134513844704638E-2</v>
      </c>
    </row>
    <row r="86" spans="1:25" x14ac:dyDescent="0.25">
      <c r="A86" s="57"/>
      <c r="B86" s="164" t="s">
        <v>125</v>
      </c>
      <c r="C86" s="165">
        <v>223</v>
      </c>
      <c r="D86" s="165">
        <v>71</v>
      </c>
      <c r="E86" s="165">
        <v>678</v>
      </c>
      <c r="F86" s="165">
        <v>597</v>
      </c>
      <c r="G86" s="165">
        <v>767</v>
      </c>
      <c r="H86" s="165">
        <v>752</v>
      </c>
      <c r="I86" s="166">
        <f t="shared" si="59"/>
        <v>-1.9556714471968717E-2</v>
      </c>
      <c r="J86" s="166">
        <f t="shared" si="56"/>
        <v>2.0172647820978482E-3</v>
      </c>
      <c r="K86" s="165">
        <v>951</v>
      </c>
      <c r="L86" s="165">
        <v>246</v>
      </c>
      <c r="M86" s="165">
        <v>2194</v>
      </c>
      <c r="N86" s="165">
        <v>2146</v>
      </c>
      <c r="O86" s="165">
        <v>4217</v>
      </c>
      <c r="P86" s="165">
        <v>4809</v>
      </c>
      <c r="Q86" s="166">
        <f t="shared" si="60"/>
        <v>0.14038415935499171</v>
      </c>
      <c r="R86" s="166">
        <f t="shared" si="58"/>
        <v>2.854725969458172E-3</v>
      </c>
      <c r="S86" s="165">
        <v>1174</v>
      </c>
      <c r="T86" s="165">
        <v>2872</v>
      </c>
      <c r="U86" s="165">
        <v>2743</v>
      </c>
      <c r="V86" s="165">
        <v>4984</v>
      </c>
      <c r="W86" s="165">
        <v>5561</v>
      </c>
      <c r="X86" s="166">
        <f t="shared" si="61"/>
        <v>0.1157704654895666</v>
      </c>
      <c r="Y86" s="166">
        <f t="shared" si="62"/>
        <v>2.7029825159172668E-3</v>
      </c>
    </row>
    <row r="87" spans="1:25" x14ac:dyDescent="0.25">
      <c r="A87" s="57"/>
      <c r="B87" s="164" t="s">
        <v>121</v>
      </c>
      <c r="C87" s="165">
        <v>139</v>
      </c>
      <c r="D87" s="165">
        <v>186</v>
      </c>
      <c r="E87" s="165">
        <v>490</v>
      </c>
      <c r="F87" s="165">
        <v>383</v>
      </c>
      <c r="G87" s="165">
        <v>373</v>
      </c>
      <c r="H87" s="165">
        <v>394</v>
      </c>
      <c r="I87" s="166">
        <f t="shared" si="59"/>
        <v>5.6300268096514783E-2</v>
      </c>
      <c r="J87" s="166">
        <f t="shared" si="56"/>
        <v>1.0569179842374364E-3</v>
      </c>
      <c r="K87" s="165">
        <v>854</v>
      </c>
      <c r="L87" s="165">
        <v>392</v>
      </c>
      <c r="M87" s="165">
        <v>2031</v>
      </c>
      <c r="N87" s="165">
        <v>2061</v>
      </c>
      <c r="O87" s="165">
        <v>2858</v>
      </c>
      <c r="P87" s="165">
        <v>3007</v>
      </c>
      <c r="Q87" s="166">
        <f t="shared" si="60"/>
        <v>5.2134359692092458E-2</v>
      </c>
      <c r="R87" s="166">
        <f t="shared" si="58"/>
        <v>1.7850199605241679E-3</v>
      </c>
      <c r="S87" s="165">
        <v>993</v>
      </c>
      <c r="T87" s="165">
        <v>2521</v>
      </c>
      <c r="U87" s="165">
        <v>2444</v>
      </c>
      <c r="V87" s="165">
        <v>3231</v>
      </c>
      <c r="W87" s="165">
        <v>3401</v>
      </c>
      <c r="X87" s="166">
        <f t="shared" si="61"/>
        <v>5.2615289384091657E-2</v>
      </c>
      <c r="Y87" s="166">
        <f t="shared" si="62"/>
        <v>1.6530918066237411E-3</v>
      </c>
    </row>
    <row r="88" spans="1:25" x14ac:dyDescent="0.25">
      <c r="A88" s="57"/>
      <c r="B88" s="164" t="s">
        <v>130</v>
      </c>
      <c r="C88" s="165">
        <v>282</v>
      </c>
      <c r="D88" s="165">
        <v>26</v>
      </c>
      <c r="E88" s="165">
        <v>230</v>
      </c>
      <c r="F88" s="165">
        <v>273</v>
      </c>
      <c r="G88" s="165">
        <v>314</v>
      </c>
      <c r="H88" s="165">
        <v>338</v>
      </c>
      <c r="I88" s="166">
        <f t="shared" si="59"/>
        <v>7.6433121019108263E-2</v>
      </c>
      <c r="J88" s="166">
        <f t="shared" si="56"/>
        <v>9.0669613876206469E-4</v>
      </c>
      <c r="K88" s="165">
        <v>1406</v>
      </c>
      <c r="L88" s="165">
        <v>25</v>
      </c>
      <c r="M88" s="165">
        <v>1453</v>
      </c>
      <c r="N88" s="165">
        <v>2158</v>
      </c>
      <c r="O88" s="165">
        <v>2077</v>
      </c>
      <c r="P88" s="165">
        <v>2149</v>
      </c>
      <c r="Q88" s="166">
        <f t="shared" si="60"/>
        <v>3.4665382763601427E-2</v>
      </c>
      <c r="R88" s="166">
        <f t="shared" si="58"/>
        <v>1.2756926821305076E-3</v>
      </c>
      <c r="S88" s="165">
        <v>1688</v>
      </c>
      <c r="T88" s="165">
        <v>1683</v>
      </c>
      <c r="U88" s="165">
        <v>2431</v>
      </c>
      <c r="V88" s="165">
        <v>2391</v>
      </c>
      <c r="W88" s="165">
        <v>2487</v>
      </c>
      <c r="X88" s="166">
        <f t="shared" si="61"/>
        <v>4.0150564617315032E-2</v>
      </c>
      <c r="Y88" s="166">
        <f t="shared" si="62"/>
        <v>1.2088324972282399E-3</v>
      </c>
    </row>
    <row r="89" spans="1:25" x14ac:dyDescent="0.25">
      <c r="A89" s="57"/>
      <c r="B89" s="164" t="s">
        <v>133</v>
      </c>
      <c r="C89" s="165">
        <v>378</v>
      </c>
      <c r="D89" s="165">
        <v>90</v>
      </c>
      <c r="E89" s="165">
        <v>383</v>
      </c>
      <c r="F89" s="165">
        <v>366</v>
      </c>
      <c r="G89" s="165">
        <v>353</v>
      </c>
      <c r="H89" s="165">
        <v>426</v>
      </c>
      <c r="I89" s="166">
        <f t="shared" si="59"/>
        <v>0.20679886685552407</v>
      </c>
      <c r="J89" s="166">
        <f t="shared" si="56"/>
        <v>1.1427590387947915E-3</v>
      </c>
      <c r="K89" s="165">
        <v>1875</v>
      </c>
      <c r="L89" s="165">
        <v>110</v>
      </c>
      <c r="M89" s="165">
        <v>1032</v>
      </c>
      <c r="N89" s="165">
        <v>2083</v>
      </c>
      <c r="O89" s="165">
        <v>2560</v>
      </c>
      <c r="P89" s="165">
        <v>1632</v>
      </c>
      <c r="Q89" s="166">
        <f t="shared" si="60"/>
        <v>-0.36250000000000004</v>
      </c>
      <c r="R89" s="166">
        <f t="shared" si="58"/>
        <v>9.6879034771381507E-4</v>
      </c>
      <c r="S89" s="165">
        <v>2253</v>
      </c>
      <c r="T89" s="165">
        <v>1415</v>
      </c>
      <c r="U89" s="165">
        <v>2449</v>
      </c>
      <c r="V89" s="165">
        <v>2913</v>
      </c>
      <c r="W89" s="165">
        <v>2058</v>
      </c>
      <c r="X89" s="166">
        <f t="shared" si="61"/>
        <v>-0.2935118434603502</v>
      </c>
      <c r="Y89" s="166">
        <f t="shared" si="62"/>
        <v>1.0003125369102202E-3</v>
      </c>
    </row>
    <row r="90" spans="1:25" x14ac:dyDescent="0.25">
      <c r="A90" s="57"/>
      <c r="B90" s="169" t="s">
        <v>147</v>
      </c>
      <c r="C90" s="170">
        <f t="shared" ref="C90" si="63">C82-SUM(C83:C89)</f>
        <v>6609</v>
      </c>
      <c r="D90" s="170">
        <f t="shared" ref="D90:H90" si="64">D82-SUM(D83:D89)</f>
        <v>2988</v>
      </c>
      <c r="E90" s="170">
        <f t="shared" si="64"/>
        <v>11921</v>
      </c>
      <c r="F90" s="170">
        <f t="shared" si="64"/>
        <v>10822</v>
      </c>
      <c r="G90" s="170">
        <f t="shared" si="64"/>
        <v>13316</v>
      </c>
      <c r="H90" s="170">
        <f t="shared" si="64"/>
        <v>14517</v>
      </c>
      <c r="I90" s="171">
        <f t="shared" si="59"/>
        <v>9.0192249924902379E-2</v>
      </c>
      <c r="J90" s="171">
        <f t="shared" si="56"/>
        <v>3.8942330906535184E-2</v>
      </c>
      <c r="K90" s="170">
        <f t="shared" ref="K90:P90" si="65">K82-SUM(K83:K89)</f>
        <v>14338</v>
      </c>
      <c r="L90" s="170">
        <f t="shared" si="65"/>
        <v>7445</v>
      </c>
      <c r="M90" s="170">
        <f t="shared" si="65"/>
        <v>30060</v>
      </c>
      <c r="N90" s="170">
        <f t="shared" si="65"/>
        <v>41781</v>
      </c>
      <c r="O90" s="170">
        <f t="shared" si="65"/>
        <v>51632</v>
      </c>
      <c r="P90" s="170">
        <f t="shared" si="65"/>
        <v>52633</v>
      </c>
      <c r="Q90" s="171">
        <f t="shared" si="60"/>
        <v>1.9387201735358017E-2</v>
      </c>
      <c r="R90" s="171">
        <f t="shared" si="58"/>
        <v>3.1244082335307125E-2</v>
      </c>
      <c r="S90" s="170">
        <f>S82-SUM(S83:S89)</f>
        <v>20947</v>
      </c>
      <c r="T90" s="170">
        <f>T82-SUM(T83:T89)</f>
        <v>41981</v>
      </c>
      <c r="U90" s="170">
        <f>U82-SUM(U83:U89)</f>
        <v>52603</v>
      </c>
      <c r="V90" s="170">
        <f>V82-SUM(V83:V89)</f>
        <v>64948</v>
      </c>
      <c r="W90" s="170">
        <f>W82-SUM(W83:W89)</f>
        <v>67150</v>
      </c>
      <c r="X90" s="171">
        <f t="shared" si="61"/>
        <v>3.3904046313974145E-2</v>
      </c>
      <c r="Y90" s="171">
        <f t="shared" si="62"/>
        <v>3.2638963485676041E-2</v>
      </c>
    </row>
    <row r="91" spans="1:25" x14ac:dyDescent="0.25">
      <c r="A91" s="57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</row>
    <row r="92" spans="1:25" x14ac:dyDescent="0.25">
      <c r="A92" s="57"/>
      <c r="B92" s="157" t="s">
        <v>70</v>
      </c>
      <c r="C92" s="177">
        <f t="shared" ref="C92:H92" si="66">C93+C96</f>
        <v>4061</v>
      </c>
      <c r="D92" s="177">
        <f t="shared" si="66"/>
        <v>0</v>
      </c>
      <c r="E92" s="177">
        <f t="shared" si="66"/>
        <v>1382</v>
      </c>
      <c r="F92" s="177">
        <f t="shared" si="66"/>
        <v>4009</v>
      </c>
      <c r="G92" s="177">
        <f t="shared" si="66"/>
        <v>3918</v>
      </c>
      <c r="H92" s="177">
        <f t="shared" si="66"/>
        <v>4494</v>
      </c>
      <c r="I92" s="178">
        <f>IFERROR(H92/G92-1,"-")</f>
        <v>0.14701378254211339</v>
      </c>
      <c r="J92" s="178">
        <f t="shared" ref="J92:J104" si="67">H92/H$8</f>
        <v>1.2055303099398576E-2</v>
      </c>
      <c r="K92" s="177">
        <f t="shared" ref="K92:P92" si="68">K93+K96</f>
        <v>8693</v>
      </c>
      <c r="L92" s="177">
        <f t="shared" si="68"/>
        <v>0</v>
      </c>
      <c r="M92" s="177">
        <f t="shared" si="68"/>
        <v>10845</v>
      </c>
      <c r="N92" s="177">
        <f t="shared" si="68"/>
        <v>26674</v>
      </c>
      <c r="O92" s="177">
        <f t="shared" si="68"/>
        <v>25280</v>
      </c>
      <c r="P92" s="177">
        <f t="shared" si="68"/>
        <v>23778</v>
      </c>
      <c r="Q92" s="178">
        <f>IFERROR(P92/O92-1,"-")</f>
        <v>-5.9414556962025356E-2</v>
      </c>
      <c r="R92" s="178">
        <f t="shared" ref="R92:R104" si="69">P92/P$8</f>
        <v>1.4115132897021505E-2</v>
      </c>
      <c r="S92" s="177">
        <f>S93+S96</f>
        <v>12754</v>
      </c>
      <c r="T92" s="177">
        <f>T93+T96</f>
        <v>24671</v>
      </c>
      <c r="U92" s="177">
        <f>U93+U96</f>
        <v>30683</v>
      </c>
      <c r="V92" s="177">
        <f>V93+V96</f>
        <v>29198</v>
      </c>
      <c r="W92" s="177">
        <f>W93+W96</f>
        <v>28272</v>
      </c>
      <c r="X92" s="178">
        <f>IFERROR(W92/V92-1,"-")</f>
        <v>-3.1714500993218708E-2</v>
      </c>
      <c r="Y92" s="178">
        <f>W92/W$8</f>
        <v>1.3741902839419702E-2</v>
      </c>
    </row>
    <row r="93" spans="1:25" x14ac:dyDescent="0.25">
      <c r="A93" s="57"/>
      <c r="B93" s="160" t="s">
        <v>99</v>
      </c>
      <c r="C93" s="161">
        <v>2731</v>
      </c>
      <c r="D93" s="161">
        <v>0</v>
      </c>
      <c r="E93" s="161">
        <v>1140</v>
      </c>
      <c r="F93" s="161">
        <v>2733</v>
      </c>
      <c r="G93" s="161">
        <v>2789</v>
      </c>
      <c r="H93" s="161">
        <v>3156</v>
      </c>
      <c r="I93" s="162">
        <f>IFERROR(H93/G93-1,"-")</f>
        <v>0.13158838293295094</v>
      </c>
      <c r="J93" s="162">
        <f t="shared" si="67"/>
        <v>8.46607400571916E-3</v>
      </c>
      <c r="K93" s="161">
        <v>4723</v>
      </c>
      <c r="L93" s="161">
        <v>0</v>
      </c>
      <c r="M93" s="161">
        <v>7540</v>
      </c>
      <c r="N93" s="161">
        <v>17187</v>
      </c>
      <c r="O93" s="161">
        <v>14107</v>
      </c>
      <c r="P93" s="161">
        <v>13488</v>
      </c>
      <c r="Q93" s="162">
        <f>IFERROR(P93/O93-1,"-")</f>
        <v>-4.3878925356206189E-2</v>
      </c>
      <c r="R93" s="162">
        <f t="shared" si="69"/>
        <v>8.0067672855171183E-3</v>
      </c>
      <c r="S93" s="161">
        <v>7454</v>
      </c>
      <c r="T93" s="161">
        <v>15383</v>
      </c>
      <c r="U93" s="161">
        <v>19920</v>
      </c>
      <c r="V93" s="161">
        <v>16896</v>
      </c>
      <c r="W93" s="161">
        <v>16644</v>
      </c>
      <c r="X93" s="162">
        <f>IFERROR(W93/V93-1,"-")</f>
        <v>-1.4914772727272707E-2</v>
      </c>
      <c r="Y93" s="162">
        <f>W93/W$8</f>
        <v>8.0899911877228888E-3</v>
      </c>
    </row>
    <row r="94" spans="1:25" x14ac:dyDescent="0.25">
      <c r="A94" s="57"/>
      <c r="B94" s="164" t="s">
        <v>105</v>
      </c>
      <c r="C94" s="165">
        <v>2063</v>
      </c>
      <c r="D94" s="165">
        <v>0</v>
      </c>
      <c r="E94" s="165">
        <v>865</v>
      </c>
      <c r="F94" s="165">
        <v>1913</v>
      </c>
      <c r="G94" s="165">
        <v>1926</v>
      </c>
      <c r="H94" s="165">
        <v>2281</v>
      </c>
      <c r="I94" s="166">
        <f>IFERROR(H94/G94-1,"-")</f>
        <v>0.18431983385254402</v>
      </c>
      <c r="J94" s="166">
        <f t="shared" si="67"/>
        <v>6.118857670166478E-3</v>
      </c>
      <c r="K94" s="165">
        <v>2176</v>
      </c>
      <c r="L94" s="165">
        <v>0</v>
      </c>
      <c r="M94" s="165">
        <v>3401</v>
      </c>
      <c r="N94" s="165">
        <v>4042</v>
      </c>
      <c r="O94" s="165">
        <v>2738</v>
      </c>
      <c r="P94" s="165">
        <v>3113</v>
      </c>
      <c r="Q94" s="166">
        <f>IFERROR(P94/O94-1,"-")</f>
        <v>0.13696128560993426</v>
      </c>
      <c r="R94" s="166">
        <f t="shared" si="69"/>
        <v>1.8479438434026386E-3</v>
      </c>
      <c r="S94" s="165">
        <v>4239</v>
      </c>
      <c r="T94" s="165">
        <v>7500</v>
      </c>
      <c r="U94" s="165">
        <v>5955</v>
      </c>
      <c r="V94" s="165">
        <v>4664</v>
      </c>
      <c r="W94" s="165">
        <v>5394</v>
      </c>
      <c r="X94" s="166">
        <f>IFERROR(W94/V94-1,"-")</f>
        <v>0.15651801029159529</v>
      </c>
      <c r="Y94" s="166">
        <f>W94/W$8</f>
        <v>2.6218104101524433E-3</v>
      </c>
    </row>
    <row r="95" spans="1:25" x14ac:dyDescent="0.25">
      <c r="A95" s="57"/>
      <c r="B95" s="164" t="s">
        <v>102</v>
      </c>
      <c r="C95" s="165">
        <v>668</v>
      </c>
      <c r="D95" s="165">
        <v>0</v>
      </c>
      <c r="E95" s="165">
        <v>275</v>
      </c>
      <c r="F95" s="165">
        <v>820</v>
      </c>
      <c r="G95" s="165">
        <v>863</v>
      </c>
      <c r="H95" s="165">
        <v>875</v>
      </c>
      <c r="I95" s="166">
        <f>IFERROR(H95/G95-1,"-")</f>
        <v>1.3904982618771822E-2</v>
      </c>
      <c r="J95" s="166">
        <f t="shared" si="67"/>
        <v>2.3472163355526821E-3</v>
      </c>
      <c r="K95" s="165">
        <v>2547</v>
      </c>
      <c r="L95" s="165">
        <v>0</v>
      </c>
      <c r="M95" s="165">
        <v>4139</v>
      </c>
      <c r="N95" s="165">
        <v>13145</v>
      </c>
      <c r="O95" s="165">
        <v>11369</v>
      </c>
      <c r="P95" s="165">
        <v>10375</v>
      </c>
      <c r="Q95" s="166">
        <f>IFERROR(P95/O95-1,"-")</f>
        <v>-8.7430732694168345E-2</v>
      </c>
      <c r="R95" s="166">
        <f t="shared" si="69"/>
        <v>6.1588234421144803E-3</v>
      </c>
      <c r="S95" s="165">
        <v>3215</v>
      </c>
      <c r="T95" s="165">
        <v>7883</v>
      </c>
      <c r="U95" s="165">
        <v>13965</v>
      </c>
      <c r="V95" s="165">
        <v>12232</v>
      </c>
      <c r="W95" s="165">
        <v>11250</v>
      </c>
      <c r="X95" s="166">
        <f>IFERROR(W95/V95-1,"-")</f>
        <v>-8.0281229561805056E-2</v>
      </c>
      <c r="Y95" s="166">
        <f>W95/W$8</f>
        <v>5.468180777570446E-3</v>
      </c>
    </row>
    <row r="96" spans="1:25" x14ac:dyDescent="0.25">
      <c r="A96" s="57"/>
      <c r="B96" s="160" t="s">
        <v>109</v>
      </c>
      <c r="C96" s="161">
        <v>1330</v>
      </c>
      <c r="D96" s="161">
        <v>0</v>
      </c>
      <c r="E96" s="161">
        <v>242</v>
      </c>
      <c r="F96" s="161">
        <v>1276</v>
      </c>
      <c r="G96" s="161">
        <v>1129</v>
      </c>
      <c r="H96" s="161">
        <v>1338</v>
      </c>
      <c r="I96" s="162">
        <f>IFERROR(H96/G96-1,"-")</f>
        <v>0.18511957484499564</v>
      </c>
      <c r="J96" s="162">
        <f t="shared" si="67"/>
        <v>3.589229093679416E-3</v>
      </c>
      <c r="K96" s="161">
        <v>3970</v>
      </c>
      <c r="L96" s="161">
        <v>0</v>
      </c>
      <c r="M96" s="161">
        <v>3305</v>
      </c>
      <c r="N96" s="161">
        <v>9487</v>
      </c>
      <c r="O96" s="161">
        <v>11173</v>
      </c>
      <c r="P96" s="161">
        <v>10290</v>
      </c>
      <c r="Q96" s="162">
        <f>IFERROR(P96/O96-1,"-")</f>
        <v>-7.9029803991765846E-2</v>
      </c>
      <c r="R96" s="162">
        <f t="shared" si="69"/>
        <v>6.1083656115043855E-3</v>
      </c>
      <c r="S96" s="161">
        <v>5300</v>
      </c>
      <c r="T96" s="161">
        <v>9288</v>
      </c>
      <c r="U96" s="161">
        <v>10763</v>
      </c>
      <c r="V96" s="161">
        <v>12302</v>
      </c>
      <c r="W96" s="161">
        <v>11628</v>
      </c>
      <c r="X96" s="162">
        <f>IFERROR(W96/V96-1,"-")</f>
        <v>-5.47878393757113E-2</v>
      </c>
      <c r="Y96" s="162">
        <f>W96/W$8</f>
        <v>5.6519116516968127E-3</v>
      </c>
    </row>
    <row r="97" spans="1:25" s="57" customFormat="1" x14ac:dyDescent="0.25">
      <c r="B97" s="164" t="s">
        <v>112</v>
      </c>
      <c r="C97" s="165">
        <v>79</v>
      </c>
      <c r="D97" s="165">
        <v>0</v>
      </c>
      <c r="E97" s="165">
        <v>8</v>
      </c>
      <c r="F97" s="165">
        <v>65</v>
      </c>
      <c r="G97" s="165">
        <v>89</v>
      </c>
      <c r="H97" s="165">
        <v>76</v>
      </c>
      <c r="I97" s="166">
        <f t="shared" ref="I97:I104" si="70">IFERROR(H97/G97-1,"-")</f>
        <v>-0.1460674157303371</v>
      </c>
      <c r="J97" s="166">
        <f t="shared" si="67"/>
        <v>2.0387250457371868E-4</v>
      </c>
      <c r="K97" s="165">
        <v>915</v>
      </c>
      <c r="L97" s="165">
        <v>0</v>
      </c>
      <c r="M97" s="165">
        <v>384</v>
      </c>
      <c r="N97" s="165">
        <v>1496</v>
      </c>
      <c r="O97" s="165">
        <v>1756</v>
      </c>
      <c r="P97" s="165">
        <v>1476</v>
      </c>
      <c r="Q97" s="166">
        <f t="shared" ref="Q97:Q104" si="71">IFERROR(P97/O97-1,"-")</f>
        <v>-0.15945330296127558</v>
      </c>
      <c r="R97" s="166">
        <f t="shared" si="69"/>
        <v>8.7618538800587681E-4</v>
      </c>
      <c r="S97" s="165">
        <v>994</v>
      </c>
      <c r="T97" s="165">
        <v>1307</v>
      </c>
      <c r="U97" s="165">
        <v>1561</v>
      </c>
      <c r="V97" s="165">
        <v>1845</v>
      </c>
      <c r="W97" s="165">
        <v>1552</v>
      </c>
      <c r="X97" s="166">
        <f t="shared" ref="X97:X104" si="72">IFERROR(W97/V97-1,"-")</f>
        <v>-0.1588075880758808</v>
      </c>
      <c r="Y97" s="166">
        <f t="shared" ref="Y97:Y104" si="73">W97/W$8</f>
        <v>7.5436591704794063E-4</v>
      </c>
    </row>
    <row r="98" spans="1:25" s="57" customFormat="1" x14ac:dyDescent="0.25">
      <c r="B98" s="164" t="s">
        <v>115</v>
      </c>
      <c r="C98" s="165">
        <v>299</v>
      </c>
      <c r="D98" s="165">
        <v>0</v>
      </c>
      <c r="E98" s="165">
        <v>40</v>
      </c>
      <c r="F98" s="165">
        <v>157</v>
      </c>
      <c r="G98" s="165">
        <v>208</v>
      </c>
      <c r="H98" s="165">
        <v>185</v>
      </c>
      <c r="I98" s="166">
        <f t="shared" si="70"/>
        <v>-0.11057692307692313</v>
      </c>
      <c r="J98" s="166">
        <f t="shared" si="67"/>
        <v>4.9626859665970993E-4</v>
      </c>
      <c r="K98" s="165">
        <v>772</v>
      </c>
      <c r="L98" s="165">
        <v>0</v>
      </c>
      <c r="M98" s="165">
        <v>673</v>
      </c>
      <c r="N98" s="165">
        <v>1867</v>
      </c>
      <c r="O98" s="165">
        <v>2281</v>
      </c>
      <c r="P98" s="165">
        <v>1988</v>
      </c>
      <c r="Q98" s="166">
        <f t="shared" si="71"/>
        <v>-0.12845243314335819</v>
      </c>
      <c r="R98" s="166">
        <f t="shared" si="69"/>
        <v>1.1801196147396228E-3</v>
      </c>
      <c r="S98" s="165">
        <v>1071</v>
      </c>
      <c r="T98" s="165">
        <v>1843</v>
      </c>
      <c r="U98" s="165">
        <v>2024</v>
      </c>
      <c r="V98" s="165">
        <v>2489</v>
      </c>
      <c r="W98" s="165">
        <v>2173</v>
      </c>
      <c r="X98" s="166">
        <f t="shared" si="72"/>
        <v>-0.12695861791884289</v>
      </c>
      <c r="Y98" s="166">
        <f t="shared" si="73"/>
        <v>1.0562094959698292E-3</v>
      </c>
    </row>
    <row r="99" spans="1:25" x14ac:dyDescent="0.25">
      <c r="A99" s="57"/>
      <c r="B99" s="164" t="s">
        <v>118</v>
      </c>
      <c r="C99" s="165">
        <v>539</v>
      </c>
      <c r="D99" s="165">
        <v>0</v>
      </c>
      <c r="E99" s="165">
        <v>97</v>
      </c>
      <c r="F99" s="165">
        <v>526</v>
      </c>
      <c r="G99" s="165">
        <v>377</v>
      </c>
      <c r="H99" s="165">
        <v>452</v>
      </c>
      <c r="I99" s="166">
        <f t="shared" si="70"/>
        <v>0.19893899204244025</v>
      </c>
      <c r="J99" s="166">
        <f t="shared" si="67"/>
        <v>1.2125048956226428E-3</v>
      </c>
      <c r="K99" s="165">
        <v>622</v>
      </c>
      <c r="L99" s="165">
        <v>0</v>
      </c>
      <c r="M99" s="165">
        <v>586</v>
      </c>
      <c r="N99" s="165">
        <v>1591</v>
      </c>
      <c r="O99" s="165">
        <v>1705</v>
      </c>
      <c r="P99" s="165">
        <v>1578</v>
      </c>
      <c r="Q99" s="166">
        <f t="shared" si="71"/>
        <v>-7.4486803519061562E-2</v>
      </c>
      <c r="R99" s="166">
        <f t="shared" si="69"/>
        <v>9.3673478473799024E-4</v>
      </c>
      <c r="S99" s="165">
        <v>1161</v>
      </c>
      <c r="T99" s="165">
        <v>1779</v>
      </c>
      <c r="U99" s="165">
        <v>2117</v>
      </c>
      <c r="V99" s="165">
        <v>2082</v>
      </c>
      <c r="W99" s="165">
        <v>2030</v>
      </c>
      <c r="X99" s="166">
        <f t="shared" si="72"/>
        <v>-2.4975984630163262E-2</v>
      </c>
      <c r="Y99" s="166">
        <f t="shared" si="73"/>
        <v>9.8670284253048928E-4</v>
      </c>
    </row>
    <row r="100" spans="1:25" x14ac:dyDescent="0.25">
      <c r="A100" s="57"/>
      <c r="B100" s="164" t="s">
        <v>125</v>
      </c>
      <c r="C100" s="165">
        <v>55</v>
      </c>
      <c r="D100" s="165">
        <v>0</v>
      </c>
      <c r="E100" s="165">
        <v>9</v>
      </c>
      <c r="F100" s="165">
        <v>17</v>
      </c>
      <c r="G100" s="165">
        <v>55</v>
      </c>
      <c r="H100" s="165">
        <v>43</v>
      </c>
      <c r="I100" s="166">
        <f t="shared" si="70"/>
        <v>-0.21818181818181814</v>
      </c>
      <c r="J100" s="166">
        <f t="shared" si="67"/>
        <v>1.153489170614461E-4</v>
      </c>
      <c r="K100" s="165">
        <v>210</v>
      </c>
      <c r="L100" s="165">
        <v>0</v>
      </c>
      <c r="M100" s="165">
        <v>261</v>
      </c>
      <c r="N100" s="165">
        <v>514</v>
      </c>
      <c r="O100" s="165">
        <v>543</v>
      </c>
      <c r="P100" s="165">
        <v>533</v>
      </c>
      <c r="Q100" s="166">
        <f t="shared" si="71"/>
        <v>-1.8416206261510082E-2</v>
      </c>
      <c r="R100" s="166">
        <f t="shared" si="69"/>
        <v>3.1640027900212218E-4</v>
      </c>
      <c r="S100" s="165">
        <v>265</v>
      </c>
      <c r="T100" s="165">
        <v>672</v>
      </c>
      <c r="U100" s="165">
        <v>531</v>
      </c>
      <c r="V100" s="165">
        <v>598</v>
      </c>
      <c r="W100" s="165">
        <v>576</v>
      </c>
      <c r="X100" s="166">
        <f t="shared" si="72"/>
        <v>-3.6789297658862852E-2</v>
      </c>
      <c r="Y100" s="166">
        <f t="shared" si="73"/>
        <v>2.7997085581160685E-4</v>
      </c>
    </row>
    <row r="101" spans="1:25" x14ac:dyDescent="0.25">
      <c r="A101" s="57"/>
      <c r="B101" s="164" t="s">
        <v>121</v>
      </c>
      <c r="C101" s="165">
        <v>30</v>
      </c>
      <c r="D101" s="165">
        <v>0</v>
      </c>
      <c r="E101" s="165">
        <v>0</v>
      </c>
      <c r="F101" s="165">
        <v>59</v>
      </c>
      <c r="G101" s="165">
        <v>29</v>
      </c>
      <c r="H101" s="165">
        <v>41</v>
      </c>
      <c r="I101" s="166">
        <f t="shared" si="70"/>
        <v>0.4137931034482758</v>
      </c>
      <c r="J101" s="166">
        <f t="shared" si="67"/>
        <v>1.099838511516114E-4</v>
      </c>
      <c r="K101" s="165">
        <v>102</v>
      </c>
      <c r="L101" s="165">
        <v>0</v>
      </c>
      <c r="M101" s="165">
        <v>123</v>
      </c>
      <c r="N101" s="165">
        <v>234</v>
      </c>
      <c r="O101" s="165">
        <v>485</v>
      </c>
      <c r="P101" s="165">
        <v>443</v>
      </c>
      <c r="Q101" s="166">
        <f t="shared" si="71"/>
        <v>-8.6597938144329922E-2</v>
      </c>
      <c r="R101" s="166">
        <f t="shared" si="69"/>
        <v>2.6297434070908092E-4</v>
      </c>
      <c r="S101" s="165">
        <v>132</v>
      </c>
      <c r="T101" s="165">
        <v>373</v>
      </c>
      <c r="U101" s="165">
        <v>293</v>
      </c>
      <c r="V101" s="165">
        <v>514</v>
      </c>
      <c r="W101" s="165">
        <v>484</v>
      </c>
      <c r="X101" s="166">
        <f t="shared" si="72"/>
        <v>-5.8365758754863828E-2</v>
      </c>
      <c r="Y101" s="166">
        <f t="shared" si="73"/>
        <v>2.3525328856391963E-4</v>
      </c>
    </row>
    <row r="102" spans="1:25" x14ac:dyDescent="0.25">
      <c r="A102" s="57"/>
      <c r="B102" s="164" t="s">
        <v>130</v>
      </c>
      <c r="C102" s="165">
        <v>22</v>
      </c>
      <c r="D102" s="165">
        <v>0</v>
      </c>
      <c r="E102" s="165">
        <v>0</v>
      </c>
      <c r="F102" s="165">
        <v>6</v>
      </c>
      <c r="G102" s="165">
        <v>14</v>
      </c>
      <c r="H102" s="165">
        <v>12</v>
      </c>
      <c r="I102" s="166">
        <f t="shared" si="70"/>
        <v>-0.1428571428571429</v>
      </c>
      <c r="J102" s="166">
        <f t="shared" si="67"/>
        <v>3.2190395459008214E-5</v>
      </c>
      <c r="K102" s="165">
        <v>90</v>
      </c>
      <c r="L102" s="165">
        <v>0</v>
      </c>
      <c r="M102" s="165">
        <v>23</v>
      </c>
      <c r="N102" s="165">
        <v>81</v>
      </c>
      <c r="O102" s="165">
        <v>137</v>
      </c>
      <c r="P102" s="165">
        <v>116</v>
      </c>
      <c r="Q102" s="166">
        <f t="shared" si="71"/>
        <v>-0.15328467153284675</v>
      </c>
      <c r="R102" s="166">
        <f t="shared" si="69"/>
        <v>6.8860098244364305E-5</v>
      </c>
      <c r="S102" s="165">
        <v>112</v>
      </c>
      <c r="T102" s="165">
        <v>182</v>
      </c>
      <c r="U102" s="165">
        <v>87</v>
      </c>
      <c r="V102" s="165">
        <v>151</v>
      </c>
      <c r="W102" s="165">
        <v>128</v>
      </c>
      <c r="X102" s="166">
        <f t="shared" si="72"/>
        <v>-0.15231788079470199</v>
      </c>
      <c r="Y102" s="166">
        <f t="shared" si="73"/>
        <v>6.2215745735912624E-5</v>
      </c>
    </row>
    <row r="103" spans="1:25" x14ac:dyDescent="0.25">
      <c r="A103" s="57"/>
      <c r="B103" s="164" t="s">
        <v>133</v>
      </c>
      <c r="C103" s="165">
        <v>0</v>
      </c>
      <c r="D103" s="165">
        <v>0</v>
      </c>
      <c r="E103" s="165">
        <v>0</v>
      </c>
      <c r="F103" s="165">
        <v>0</v>
      </c>
      <c r="G103" s="165">
        <v>11</v>
      </c>
      <c r="H103" s="165">
        <v>8</v>
      </c>
      <c r="I103" s="166">
        <f t="shared" si="70"/>
        <v>-0.27272727272727271</v>
      </c>
      <c r="J103" s="166">
        <f t="shared" si="67"/>
        <v>2.1460263639338809E-5</v>
      </c>
      <c r="K103" s="165">
        <v>61</v>
      </c>
      <c r="L103" s="165">
        <v>0</v>
      </c>
      <c r="M103" s="165">
        <v>30</v>
      </c>
      <c r="N103" s="165">
        <v>155</v>
      </c>
      <c r="O103" s="165">
        <v>254</v>
      </c>
      <c r="P103" s="165">
        <v>135</v>
      </c>
      <c r="Q103" s="166">
        <f t="shared" si="71"/>
        <v>-0.46850393700787396</v>
      </c>
      <c r="R103" s="166">
        <f t="shared" si="69"/>
        <v>8.0138907439561912E-5</v>
      </c>
      <c r="S103" s="165">
        <v>61</v>
      </c>
      <c r="T103" s="165">
        <v>99</v>
      </c>
      <c r="U103" s="165">
        <v>155</v>
      </c>
      <c r="V103" s="165">
        <v>265</v>
      </c>
      <c r="W103" s="165">
        <v>143</v>
      </c>
      <c r="X103" s="166">
        <f t="shared" si="72"/>
        <v>-0.46037735849056605</v>
      </c>
      <c r="Y103" s="166">
        <f t="shared" si="73"/>
        <v>6.9506653439339891E-5</v>
      </c>
    </row>
    <row r="104" spans="1:25" x14ac:dyDescent="0.25">
      <c r="A104" s="57"/>
      <c r="B104" s="169" t="s">
        <v>147</v>
      </c>
      <c r="C104" s="170">
        <f t="shared" ref="C104" si="74">C96-SUM(C97:C103)</f>
        <v>306</v>
      </c>
      <c r="D104" s="170">
        <f t="shared" ref="D104:H104" si="75">D96-SUM(D97:D103)</f>
        <v>0</v>
      </c>
      <c r="E104" s="170">
        <f t="shared" si="75"/>
        <v>88</v>
      </c>
      <c r="F104" s="170">
        <f t="shared" si="75"/>
        <v>446</v>
      </c>
      <c r="G104" s="170">
        <f t="shared" si="75"/>
        <v>346</v>
      </c>
      <c r="H104" s="170">
        <f t="shared" si="75"/>
        <v>521</v>
      </c>
      <c r="I104" s="171">
        <f t="shared" si="70"/>
        <v>0.5057803468208093</v>
      </c>
      <c r="J104" s="171">
        <f t="shared" si="67"/>
        <v>1.39759966951194E-3</v>
      </c>
      <c r="K104" s="170">
        <f t="shared" ref="K104:P104" si="76">K96-SUM(K97:K103)</f>
        <v>1198</v>
      </c>
      <c r="L104" s="170">
        <f t="shared" si="76"/>
        <v>0</v>
      </c>
      <c r="M104" s="170">
        <f t="shared" si="76"/>
        <v>1225</v>
      </c>
      <c r="N104" s="170">
        <f t="shared" si="76"/>
        <v>3549</v>
      </c>
      <c r="O104" s="170">
        <f t="shared" si="76"/>
        <v>4012</v>
      </c>
      <c r="P104" s="170">
        <f t="shared" si="76"/>
        <v>4021</v>
      </c>
      <c r="Q104" s="171">
        <f t="shared" si="71"/>
        <v>2.243270189431712E-3</v>
      </c>
      <c r="R104" s="171">
        <f t="shared" si="69"/>
        <v>2.3869521986257664E-3</v>
      </c>
      <c r="S104" s="170">
        <f>S96-SUM(S97:S103)</f>
        <v>1504</v>
      </c>
      <c r="T104" s="170">
        <f>T96-SUM(T97:T103)</f>
        <v>3033</v>
      </c>
      <c r="U104" s="170">
        <f>U96-SUM(U97:U103)</f>
        <v>3995</v>
      </c>
      <c r="V104" s="170">
        <f>V96-SUM(V97:V103)</f>
        <v>4358</v>
      </c>
      <c r="W104" s="170">
        <f>W96-SUM(W97:W103)</f>
        <v>4542</v>
      </c>
      <c r="X104" s="171">
        <f t="shared" si="72"/>
        <v>4.222120238641569E-2</v>
      </c>
      <c r="Y104" s="171">
        <f t="shared" si="73"/>
        <v>2.2076868525977749E-3</v>
      </c>
    </row>
    <row r="105" spans="1:25" x14ac:dyDescent="0.25">
      <c r="A105" s="57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</row>
    <row r="106" spans="1:25" x14ac:dyDescent="0.25">
      <c r="A106" s="57"/>
      <c r="B106" s="157" t="s">
        <v>70</v>
      </c>
      <c r="C106" s="177">
        <f t="shared" ref="C106:H106" si="77">C107+C110</f>
        <v>0</v>
      </c>
      <c r="D106" s="177">
        <f t="shared" si="77"/>
        <v>0</v>
      </c>
      <c r="E106" s="177">
        <f t="shared" si="77"/>
        <v>0</v>
      </c>
      <c r="F106" s="177">
        <f t="shared" si="77"/>
        <v>0</v>
      </c>
      <c r="G106" s="177">
        <f t="shared" si="77"/>
        <v>0</v>
      </c>
      <c r="H106" s="177">
        <f t="shared" si="77"/>
        <v>0</v>
      </c>
      <c r="I106" s="178" t="str">
        <f>IFERROR(H106/G106-1,"-")</f>
        <v>-</v>
      </c>
      <c r="J106" s="178">
        <f t="shared" ref="J106:J118" si="78">H106/H$8</f>
        <v>0</v>
      </c>
      <c r="K106" s="177">
        <f t="shared" ref="K106:P106" si="79">K107+K110</f>
        <v>22627</v>
      </c>
      <c r="L106" s="177">
        <f t="shared" si="79"/>
        <v>0</v>
      </c>
      <c r="M106" s="177">
        <f t="shared" si="79"/>
        <v>0</v>
      </c>
      <c r="N106" s="177">
        <f t="shared" si="79"/>
        <v>0</v>
      </c>
      <c r="O106" s="177">
        <f t="shared" si="79"/>
        <v>0</v>
      </c>
      <c r="P106" s="177">
        <f t="shared" si="79"/>
        <v>0</v>
      </c>
      <c r="Q106" s="178" t="str">
        <f>IFERROR(P106/O106-1,"-")</f>
        <v>-</v>
      </c>
      <c r="R106" s="178">
        <f t="shared" ref="R106:R118" si="80">P106/P$8</f>
        <v>0</v>
      </c>
      <c r="S106" s="177">
        <f>S107+S110</f>
        <v>22627</v>
      </c>
      <c r="T106" s="177">
        <f>T107+T110</f>
        <v>79606</v>
      </c>
      <c r="U106" s="177">
        <f>U107+U110</f>
        <v>111862</v>
      </c>
      <c r="V106" s="177">
        <f>V107+V110</f>
        <v>103725</v>
      </c>
      <c r="W106" s="177">
        <f>W107+W110</f>
        <v>112596</v>
      </c>
      <c r="X106" s="178">
        <f>IFERROR(W106/V106-1,"-")</f>
        <v>8.5524222704266073E-2</v>
      </c>
      <c r="Y106" s="178">
        <f>W106/W$8</f>
        <v>5.4728469585006392E-2</v>
      </c>
    </row>
    <row r="107" spans="1:25" x14ac:dyDescent="0.25">
      <c r="A107" s="57"/>
      <c r="B107" s="160" t="s">
        <v>99</v>
      </c>
      <c r="C107" s="161">
        <v>0</v>
      </c>
      <c r="D107" s="161">
        <v>0</v>
      </c>
      <c r="E107" s="161">
        <v>0</v>
      </c>
      <c r="F107" s="161">
        <v>0</v>
      </c>
      <c r="G107" s="161">
        <v>0</v>
      </c>
      <c r="H107" s="161">
        <v>0</v>
      </c>
      <c r="I107" s="162" t="str">
        <f>IFERROR(H107/G107-1,"-")</f>
        <v>-</v>
      </c>
      <c r="J107" s="162">
        <f t="shared" si="78"/>
        <v>0</v>
      </c>
      <c r="K107" s="161">
        <v>5441</v>
      </c>
      <c r="L107" s="161">
        <v>0</v>
      </c>
      <c r="M107" s="161">
        <v>0</v>
      </c>
      <c r="N107" s="161">
        <v>0</v>
      </c>
      <c r="O107" s="161">
        <v>0</v>
      </c>
      <c r="P107" s="161">
        <v>0</v>
      </c>
      <c r="Q107" s="162" t="str">
        <f>IFERROR(P107/O107-1,"-")</f>
        <v>-</v>
      </c>
      <c r="R107" s="162">
        <f t="shared" si="80"/>
        <v>0</v>
      </c>
      <c r="S107" s="161">
        <v>5441</v>
      </c>
      <c r="T107" s="161">
        <v>16402</v>
      </c>
      <c r="U107" s="161">
        <v>21854</v>
      </c>
      <c r="V107" s="161">
        <v>20614</v>
      </c>
      <c r="W107" s="161">
        <v>22311</v>
      </c>
      <c r="X107" s="162">
        <f>IFERROR(W107/V107-1,"-")</f>
        <v>8.2322693315222573E-2</v>
      </c>
      <c r="Y107" s="162">
        <f>W107/W$8</f>
        <v>1.0844496118077708E-2</v>
      </c>
    </row>
    <row r="108" spans="1:25" x14ac:dyDescent="0.25">
      <c r="A108" s="57"/>
      <c r="B108" s="164" t="s">
        <v>105</v>
      </c>
      <c r="C108" s="165">
        <v>0</v>
      </c>
      <c r="D108" s="165">
        <v>0</v>
      </c>
      <c r="E108" s="165">
        <v>0</v>
      </c>
      <c r="F108" s="165">
        <v>0</v>
      </c>
      <c r="G108" s="165">
        <v>0</v>
      </c>
      <c r="H108" s="165">
        <v>0</v>
      </c>
      <c r="I108" s="166" t="str">
        <f>IFERROR(H108/G108-1,"-")</f>
        <v>-</v>
      </c>
      <c r="J108" s="166">
        <f t="shared" si="78"/>
        <v>0</v>
      </c>
      <c r="K108" s="165">
        <v>273</v>
      </c>
      <c r="L108" s="165">
        <v>0</v>
      </c>
      <c r="M108" s="165">
        <v>0</v>
      </c>
      <c r="N108" s="165">
        <v>0</v>
      </c>
      <c r="O108" s="165">
        <v>0</v>
      </c>
      <c r="P108" s="165">
        <v>0</v>
      </c>
      <c r="Q108" s="166" t="str">
        <f>IFERROR(P108/O108-1,"-")</f>
        <v>-</v>
      </c>
      <c r="R108" s="166">
        <f t="shared" si="80"/>
        <v>0</v>
      </c>
      <c r="S108" s="165">
        <v>273</v>
      </c>
      <c r="T108" s="165">
        <v>5588</v>
      </c>
      <c r="U108" s="165">
        <v>8088</v>
      </c>
      <c r="V108" s="165">
        <v>5528</v>
      </c>
      <c r="W108" s="165">
        <v>6995</v>
      </c>
      <c r="X108" s="166">
        <f>IFERROR(W108/V108-1,"-")</f>
        <v>0.26537626628075262</v>
      </c>
      <c r="Y108" s="166">
        <f>W108/W$8</f>
        <v>3.3999932923649127E-3</v>
      </c>
    </row>
    <row r="109" spans="1:25" x14ac:dyDescent="0.25">
      <c r="A109" s="57"/>
      <c r="B109" s="164" t="s">
        <v>102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5">
        <v>0</v>
      </c>
      <c r="I109" s="166" t="str">
        <f>IFERROR(H109/G109-1,"-")</f>
        <v>-</v>
      </c>
      <c r="J109" s="166">
        <f t="shared" si="78"/>
        <v>0</v>
      </c>
      <c r="K109" s="165">
        <v>5168</v>
      </c>
      <c r="L109" s="165">
        <v>0</v>
      </c>
      <c r="M109" s="165">
        <v>0</v>
      </c>
      <c r="N109" s="165">
        <v>0</v>
      </c>
      <c r="O109" s="165">
        <v>0</v>
      </c>
      <c r="P109" s="165">
        <v>0</v>
      </c>
      <c r="Q109" s="166" t="str">
        <f>IFERROR(P109/O109-1,"-")</f>
        <v>-</v>
      </c>
      <c r="R109" s="166">
        <f t="shared" si="80"/>
        <v>0</v>
      </c>
      <c r="S109" s="165">
        <v>5168</v>
      </c>
      <c r="T109" s="165">
        <v>10814</v>
      </c>
      <c r="U109" s="165">
        <v>13766</v>
      </c>
      <c r="V109" s="165">
        <v>15086</v>
      </c>
      <c r="W109" s="165">
        <v>15316</v>
      </c>
      <c r="X109" s="166">
        <f>IFERROR(W109/V109-1,"-")</f>
        <v>1.5245923372663395E-2</v>
      </c>
      <c r="Y109" s="166">
        <f>W109/W$8</f>
        <v>7.4445028257127954E-3</v>
      </c>
    </row>
    <row r="110" spans="1:25" x14ac:dyDescent="0.25">
      <c r="A110" s="57"/>
      <c r="B110" s="160" t="s">
        <v>109</v>
      </c>
      <c r="C110" s="161">
        <v>0</v>
      </c>
      <c r="D110" s="161">
        <v>0</v>
      </c>
      <c r="E110" s="161">
        <v>0</v>
      </c>
      <c r="F110" s="161">
        <v>0</v>
      </c>
      <c r="G110" s="161">
        <v>0</v>
      </c>
      <c r="H110" s="161">
        <v>0</v>
      </c>
      <c r="I110" s="162" t="str">
        <f>IFERROR(H110/G110-1,"-")</f>
        <v>-</v>
      </c>
      <c r="J110" s="162">
        <f t="shared" si="78"/>
        <v>0</v>
      </c>
      <c r="K110" s="161">
        <v>17186</v>
      </c>
      <c r="L110" s="161">
        <v>0</v>
      </c>
      <c r="M110" s="161">
        <v>0</v>
      </c>
      <c r="N110" s="161">
        <v>0</v>
      </c>
      <c r="O110" s="161">
        <v>0</v>
      </c>
      <c r="P110" s="161">
        <v>0</v>
      </c>
      <c r="Q110" s="162" t="str">
        <f>IFERROR(P110/O110-1,"-")</f>
        <v>-</v>
      </c>
      <c r="R110" s="162">
        <f t="shared" si="80"/>
        <v>0</v>
      </c>
      <c r="S110" s="161">
        <v>17186</v>
      </c>
      <c r="T110" s="161">
        <v>63204</v>
      </c>
      <c r="U110" s="161">
        <v>90008</v>
      </c>
      <c r="V110" s="161">
        <v>83111</v>
      </c>
      <c r="W110" s="161">
        <v>90285</v>
      </c>
      <c r="X110" s="162">
        <f>IFERROR(W110/V110-1,"-")</f>
        <v>8.6318297216974926E-2</v>
      </c>
      <c r="Y110" s="162">
        <f>W110/W$8</f>
        <v>4.3883973466928683E-2</v>
      </c>
    </row>
    <row r="111" spans="1:25" s="57" customFormat="1" x14ac:dyDescent="0.25">
      <c r="B111" s="164" t="s">
        <v>112</v>
      </c>
      <c r="C111" s="165">
        <v>0</v>
      </c>
      <c r="D111" s="165">
        <v>0</v>
      </c>
      <c r="E111" s="165">
        <v>0</v>
      </c>
      <c r="F111" s="165">
        <v>0</v>
      </c>
      <c r="G111" s="165">
        <v>0</v>
      </c>
      <c r="H111" s="165">
        <v>0</v>
      </c>
      <c r="I111" s="166" t="str">
        <f t="shared" ref="I111:I118" si="81">IFERROR(H111/G111-1,"-")</f>
        <v>-</v>
      </c>
      <c r="J111" s="166">
        <f t="shared" si="78"/>
        <v>0</v>
      </c>
      <c r="K111" s="165">
        <v>9701</v>
      </c>
      <c r="L111" s="165">
        <v>0</v>
      </c>
      <c r="M111" s="165">
        <v>0</v>
      </c>
      <c r="N111" s="165">
        <v>0</v>
      </c>
      <c r="O111" s="165">
        <v>0</v>
      </c>
      <c r="P111" s="165">
        <v>0</v>
      </c>
      <c r="Q111" s="166" t="str">
        <f t="shared" ref="Q111:Q118" si="82">IFERROR(P111/O111-1,"-")</f>
        <v>-</v>
      </c>
      <c r="R111" s="166">
        <f t="shared" si="80"/>
        <v>0</v>
      </c>
      <c r="S111" s="165">
        <v>9701</v>
      </c>
      <c r="T111" s="165">
        <v>36083</v>
      </c>
      <c r="U111" s="165">
        <v>58680</v>
      </c>
      <c r="V111" s="165">
        <v>50875</v>
      </c>
      <c r="W111" s="165">
        <v>53064</v>
      </c>
      <c r="X111" s="166">
        <f t="shared" ref="X111:X118" si="83">IFERROR(W111/V111-1,"-")</f>
        <v>4.3027027027026987E-2</v>
      </c>
      <c r="Y111" s="166">
        <f t="shared" ref="Y111:Y118" si="84">W111/W$8</f>
        <v>2.5792315091644279E-2</v>
      </c>
    </row>
    <row r="112" spans="1:25" s="57" customFormat="1" x14ac:dyDescent="0.25">
      <c r="B112" s="164" t="s">
        <v>115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5">
        <v>0</v>
      </c>
      <c r="I112" s="166" t="str">
        <f t="shared" si="81"/>
        <v>-</v>
      </c>
      <c r="J112" s="166">
        <f t="shared" si="78"/>
        <v>0</v>
      </c>
      <c r="K112" s="165">
        <v>1353</v>
      </c>
      <c r="L112" s="165">
        <v>0</v>
      </c>
      <c r="M112" s="165">
        <v>0</v>
      </c>
      <c r="N112" s="165">
        <v>0</v>
      </c>
      <c r="O112" s="165">
        <v>0</v>
      </c>
      <c r="P112" s="165">
        <v>0</v>
      </c>
      <c r="Q112" s="166" t="str">
        <f t="shared" si="82"/>
        <v>-</v>
      </c>
      <c r="R112" s="166">
        <f t="shared" si="80"/>
        <v>0</v>
      </c>
      <c r="S112" s="165">
        <v>1353</v>
      </c>
      <c r="T112" s="165">
        <v>3239</v>
      </c>
      <c r="U112" s="165">
        <v>4324</v>
      </c>
      <c r="V112" s="165">
        <v>3803</v>
      </c>
      <c r="W112" s="165">
        <v>4507</v>
      </c>
      <c r="X112" s="166">
        <f t="shared" si="83"/>
        <v>0.18511701288456472</v>
      </c>
      <c r="Y112" s="166">
        <f t="shared" si="84"/>
        <v>2.1906747346231111E-3</v>
      </c>
    </row>
    <row r="113" spans="1:25" x14ac:dyDescent="0.25">
      <c r="A113" s="57"/>
      <c r="B113" s="164" t="s">
        <v>118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5">
        <v>0</v>
      </c>
      <c r="I113" s="166" t="str">
        <f t="shared" si="81"/>
        <v>-</v>
      </c>
      <c r="J113" s="166">
        <f t="shared" si="78"/>
        <v>0</v>
      </c>
      <c r="K113" s="165">
        <v>895</v>
      </c>
      <c r="L113" s="165">
        <v>0</v>
      </c>
      <c r="M113" s="165">
        <v>0</v>
      </c>
      <c r="N113" s="165">
        <v>0</v>
      </c>
      <c r="O113" s="165">
        <v>0</v>
      </c>
      <c r="P113" s="165">
        <v>0</v>
      </c>
      <c r="Q113" s="166" t="str">
        <f t="shared" si="82"/>
        <v>-</v>
      </c>
      <c r="R113" s="166">
        <f t="shared" si="80"/>
        <v>0</v>
      </c>
      <c r="S113" s="165">
        <v>895</v>
      </c>
      <c r="T113" s="165">
        <v>4047</v>
      </c>
      <c r="U113" s="165">
        <v>7774</v>
      </c>
      <c r="V113" s="165">
        <v>5668</v>
      </c>
      <c r="W113" s="165">
        <v>7265</v>
      </c>
      <c r="X113" s="166">
        <f t="shared" si="83"/>
        <v>0.28175723359209592</v>
      </c>
      <c r="Y113" s="166">
        <f t="shared" si="84"/>
        <v>3.5312296310266037E-3</v>
      </c>
    </row>
    <row r="114" spans="1:25" x14ac:dyDescent="0.25">
      <c r="A114" s="57"/>
      <c r="B114" s="164" t="s">
        <v>125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5">
        <v>0</v>
      </c>
      <c r="I114" s="166" t="str">
        <f t="shared" si="81"/>
        <v>-</v>
      </c>
      <c r="J114" s="166">
        <f t="shared" si="78"/>
        <v>0</v>
      </c>
      <c r="K114" s="165">
        <v>429</v>
      </c>
      <c r="L114" s="165">
        <v>0</v>
      </c>
      <c r="M114" s="165">
        <v>0</v>
      </c>
      <c r="N114" s="165">
        <v>0</v>
      </c>
      <c r="O114" s="165">
        <v>0</v>
      </c>
      <c r="P114" s="165">
        <v>0</v>
      </c>
      <c r="Q114" s="166" t="str">
        <f t="shared" si="82"/>
        <v>-</v>
      </c>
      <c r="R114" s="166">
        <f t="shared" si="80"/>
        <v>0</v>
      </c>
      <c r="S114" s="165">
        <v>429</v>
      </c>
      <c r="T114" s="165">
        <v>3460</v>
      </c>
      <c r="U114" s="165">
        <v>2844</v>
      </c>
      <c r="V114" s="165">
        <v>3264</v>
      </c>
      <c r="W114" s="165">
        <v>3266</v>
      </c>
      <c r="X114" s="166">
        <f t="shared" si="83"/>
        <v>6.1274509803932453E-4</v>
      </c>
      <c r="Y114" s="166">
        <f t="shared" si="84"/>
        <v>1.5874736372928956E-3</v>
      </c>
    </row>
    <row r="115" spans="1:25" x14ac:dyDescent="0.25">
      <c r="A115" s="57"/>
      <c r="B115" s="164" t="s">
        <v>121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5">
        <v>0</v>
      </c>
      <c r="I115" s="166" t="str">
        <f t="shared" si="81"/>
        <v>-</v>
      </c>
      <c r="J115" s="166">
        <f t="shared" si="78"/>
        <v>0</v>
      </c>
      <c r="K115" s="165">
        <v>623</v>
      </c>
      <c r="L115" s="165">
        <v>0</v>
      </c>
      <c r="M115" s="165">
        <v>0</v>
      </c>
      <c r="N115" s="165">
        <v>0</v>
      </c>
      <c r="O115" s="165">
        <v>0</v>
      </c>
      <c r="P115" s="165">
        <v>0</v>
      </c>
      <c r="Q115" s="166" t="str">
        <f t="shared" si="82"/>
        <v>-</v>
      </c>
      <c r="R115" s="166">
        <f t="shared" si="80"/>
        <v>0</v>
      </c>
      <c r="S115" s="165">
        <v>623</v>
      </c>
      <c r="T115" s="165">
        <v>2207</v>
      </c>
      <c r="U115" s="165">
        <v>2103</v>
      </c>
      <c r="V115" s="165">
        <v>2457</v>
      </c>
      <c r="W115" s="165">
        <v>2247</v>
      </c>
      <c r="X115" s="166">
        <f t="shared" si="83"/>
        <v>-8.54700854700855E-2</v>
      </c>
      <c r="Y115" s="166">
        <f t="shared" si="84"/>
        <v>1.0921779739734038E-3</v>
      </c>
    </row>
    <row r="116" spans="1:25" x14ac:dyDescent="0.25">
      <c r="A116" s="57"/>
      <c r="B116" s="164" t="s">
        <v>130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5">
        <v>0</v>
      </c>
      <c r="I116" s="166" t="str">
        <f t="shared" si="81"/>
        <v>-</v>
      </c>
      <c r="J116" s="166">
        <f t="shared" si="78"/>
        <v>0</v>
      </c>
      <c r="K116" s="165">
        <v>206</v>
      </c>
      <c r="L116" s="165">
        <v>0</v>
      </c>
      <c r="M116" s="165">
        <v>0</v>
      </c>
      <c r="N116" s="165">
        <v>0</v>
      </c>
      <c r="O116" s="165">
        <v>0</v>
      </c>
      <c r="P116" s="165">
        <v>0</v>
      </c>
      <c r="Q116" s="166" t="str">
        <f t="shared" si="82"/>
        <v>-</v>
      </c>
      <c r="R116" s="166">
        <f t="shared" si="80"/>
        <v>0</v>
      </c>
      <c r="S116" s="165">
        <v>206</v>
      </c>
      <c r="T116" s="165">
        <v>419</v>
      </c>
      <c r="U116" s="165">
        <v>590</v>
      </c>
      <c r="V116" s="165">
        <v>813</v>
      </c>
      <c r="W116" s="165">
        <v>783</v>
      </c>
      <c r="X116" s="166">
        <f t="shared" si="83"/>
        <v>-3.6900369003690092E-2</v>
      </c>
      <c r="Y116" s="166">
        <f t="shared" si="84"/>
        <v>3.8058538211890305E-4</v>
      </c>
    </row>
    <row r="117" spans="1:25" x14ac:dyDescent="0.25">
      <c r="A117" s="57"/>
      <c r="B117" s="164" t="s">
        <v>133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5">
        <v>0</v>
      </c>
      <c r="I117" s="166" t="str">
        <f t="shared" si="81"/>
        <v>-</v>
      </c>
      <c r="J117" s="166">
        <f t="shared" si="78"/>
        <v>0</v>
      </c>
      <c r="K117" s="165">
        <v>526</v>
      </c>
      <c r="L117" s="165">
        <v>0</v>
      </c>
      <c r="M117" s="165">
        <v>0</v>
      </c>
      <c r="N117" s="165">
        <v>0</v>
      </c>
      <c r="O117" s="165">
        <v>0</v>
      </c>
      <c r="P117" s="165">
        <v>0</v>
      </c>
      <c r="Q117" s="166" t="str">
        <f t="shared" si="82"/>
        <v>-</v>
      </c>
      <c r="R117" s="166">
        <f t="shared" si="80"/>
        <v>0</v>
      </c>
      <c r="S117" s="165">
        <v>526</v>
      </c>
      <c r="T117" s="165">
        <v>623</v>
      </c>
      <c r="U117" s="165">
        <v>373</v>
      </c>
      <c r="V117" s="165">
        <v>1010</v>
      </c>
      <c r="W117" s="165">
        <v>661</v>
      </c>
      <c r="X117" s="166">
        <f t="shared" si="83"/>
        <v>-0.34554455445544552</v>
      </c>
      <c r="Y117" s="166">
        <f t="shared" si="84"/>
        <v>3.212859994643613E-4</v>
      </c>
    </row>
    <row r="118" spans="1:25" x14ac:dyDescent="0.25">
      <c r="A118" s="57"/>
      <c r="B118" s="169" t="s">
        <v>147</v>
      </c>
      <c r="C118" s="170">
        <f t="shared" ref="C118" si="85">C110-SUM(C111:C117)</f>
        <v>0</v>
      </c>
      <c r="D118" s="170">
        <f t="shared" ref="D118:H118" si="86">D110-SUM(D111:D117)</f>
        <v>0</v>
      </c>
      <c r="E118" s="170">
        <f t="shared" si="86"/>
        <v>0</v>
      </c>
      <c r="F118" s="170">
        <f t="shared" si="86"/>
        <v>0</v>
      </c>
      <c r="G118" s="170">
        <f t="shared" si="86"/>
        <v>0</v>
      </c>
      <c r="H118" s="170">
        <f t="shared" si="86"/>
        <v>0</v>
      </c>
      <c r="I118" s="171" t="str">
        <f t="shared" si="81"/>
        <v>-</v>
      </c>
      <c r="J118" s="171">
        <f t="shared" si="78"/>
        <v>0</v>
      </c>
      <c r="K118" s="170">
        <f t="shared" ref="K118:P118" si="87">K110-SUM(K111:K117)</f>
        <v>3453</v>
      </c>
      <c r="L118" s="170">
        <f t="shared" si="87"/>
        <v>0</v>
      </c>
      <c r="M118" s="170">
        <f t="shared" si="87"/>
        <v>0</v>
      </c>
      <c r="N118" s="170">
        <f t="shared" si="87"/>
        <v>0</v>
      </c>
      <c r="O118" s="170">
        <f t="shared" si="87"/>
        <v>0</v>
      </c>
      <c r="P118" s="170">
        <f t="shared" si="87"/>
        <v>0</v>
      </c>
      <c r="Q118" s="171" t="str">
        <f t="shared" si="82"/>
        <v>-</v>
      </c>
      <c r="R118" s="171">
        <f t="shared" si="80"/>
        <v>0</v>
      </c>
      <c r="S118" s="170">
        <f>S110-SUM(S111:S117)</f>
        <v>3453</v>
      </c>
      <c r="T118" s="170">
        <f>T110-SUM(T111:T117)</f>
        <v>13126</v>
      </c>
      <c r="U118" s="170">
        <f>U110-SUM(U111:U117)</f>
        <v>13320</v>
      </c>
      <c r="V118" s="170">
        <f>V110-SUM(V111:V117)</f>
        <v>15221</v>
      </c>
      <c r="W118" s="170">
        <f>W110-SUM(W111:W117)</f>
        <v>18492</v>
      </c>
      <c r="X118" s="171">
        <f t="shared" si="83"/>
        <v>0.21490046646081074</v>
      </c>
      <c r="Y118" s="171">
        <f t="shared" si="84"/>
        <v>8.9882310167851281E-3</v>
      </c>
    </row>
    <row r="119" spans="1:25" x14ac:dyDescent="0.25">
      <c r="A119" s="57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</row>
    <row r="120" spans="1:25" x14ac:dyDescent="0.25">
      <c r="A120" s="57"/>
      <c r="B120" s="157" t="s">
        <v>70</v>
      </c>
      <c r="C120" s="177">
        <f t="shared" ref="C120:H120" si="88">C121+C124</f>
        <v>26561</v>
      </c>
      <c r="D120" s="177">
        <f t="shared" si="88"/>
        <v>23936</v>
      </c>
      <c r="E120" s="177">
        <f t="shared" si="88"/>
        <v>40296</v>
      </c>
      <c r="F120" s="177">
        <f t="shared" si="88"/>
        <v>51003</v>
      </c>
      <c r="G120" s="177">
        <f t="shared" si="88"/>
        <v>52931</v>
      </c>
      <c r="H120" s="177">
        <f t="shared" si="88"/>
        <v>49109</v>
      </c>
      <c r="I120" s="178">
        <f>IFERROR(H120/G120-1,"-")</f>
        <v>-7.2207213164308226E-2</v>
      </c>
      <c r="J120" s="178">
        <f t="shared" ref="J120:J132" si="89">H120/H$8</f>
        <v>0.1317365108830362</v>
      </c>
      <c r="K120" s="177">
        <f t="shared" ref="K120:P120" si="90">K121+K124</f>
        <v>26292</v>
      </c>
      <c r="L120" s="177">
        <f t="shared" si="90"/>
        <v>34867</v>
      </c>
      <c r="M120" s="177">
        <f t="shared" si="90"/>
        <v>64125</v>
      </c>
      <c r="N120" s="177">
        <f t="shared" si="90"/>
        <v>75573</v>
      </c>
      <c r="O120" s="177">
        <f t="shared" si="90"/>
        <v>72479</v>
      </c>
      <c r="P120" s="177">
        <f t="shared" si="90"/>
        <v>91652</v>
      </c>
      <c r="Q120" s="178">
        <f>IFERROR(P120/O120-1,"-")</f>
        <v>0.26453179541660332</v>
      </c>
      <c r="R120" s="178">
        <f t="shared" ref="R120:R132" si="91">P120/P$8</f>
        <v>5.4406601071486871E-2</v>
      </c>
      <c r="S120" s="177">
        <f>S121+S124</f>
        <v>52853</v>
      </c>
      <c r="T120" s="177">
        <f>T121+T124</f>
        <v>104421</v>
      </c>
      <c r="U120" s="177">
        <f>U121+U124</f>
        <v>126576</v>
      </c>
      <c r="V120" s="177">
        <f>V121+V124</f>
        <v>125410</v>
      </c>
      <c r="W120" s="177">
        <f>W121+W124</f>
        <v>140761</v>
      </c>
      <c r="X120" s="178">
        <f>IFERROR(W120/V120-1,"-")</f>
        <v>0.12240650665816122</v>
      </c>
      <c r="Y120" s="178">
        <f>W120/W$8</f>
        <v>6.8418363949474981E-2</v>
      </c>
    </row>
    <row r="121" spans="1:25" x14ac:dyDescent="0.25">
      <c r="A121" s="57"/>
      <c r="B121" s="160" t="s">
        <v>99</v>
      </c>
      <c r="C121" s="161">
        <v>12262</v>
      </c>
      <c r="D121" s="161">
        <v>12367</v>
      </c>
      <c r="E121" s="161">
        <v>23012</v>
      </c>
      <c r="F121" s="161">
        <v>31876</v>
      </c>
      <c r="G121" s="161">
        <v>35095</v>
      </c>
      <c r="H121" s="161">
        <v>30335</v>
      </c>
      <c r="I121" s="162">
        <f>IFERROR(H121/G121-1,"-")</f>
        <v>-0.13563185638979913</v>
      </c>
      <c r="J121" s="162">
        <f t="shared" si="89"/>
        <v>8.1374637187417845E-2</v>
      </c>
      <c r="K121" s="161">
        <v>14678</v>
      </c>
      <c r="L121" s="161">
        <v>26287</v>
      </c>
      <c r="M121" s="161">
        <v>39964</v>
      </c>
      <c r="N121" s="161">
        <v>44589</v>
      </c>
      <c r="O121" s="161">
        <v>40842</v>
      </c>
      <c r="P121" s="161">
        <v>57390</v>
      </c>
      <c r="Q121" s="162">
        <f>IFERROR(P121/O121-1,"-")</f>
        <v>0.40517114734831794</v>
      </c>
      <c r="R121" s="162">
        <f t="shared" si="91"/>
        <v>3.4067939984862648E-2</v>
      </c>
      <c r="S121" s="161">
        <v>26940</v>
      </c>
      <c r="T121" s="161">
        <v>62976</v>
      </c>
      <c r="U121" s="161">
        <v>76465</v>
      </c>
      <c r="V121" s="161">
        <v>75937</v>
      </c>
      <c r="W121" s="161">
        <v>87725</v>
      </c>
      <c r="X121" s="162">
        <f>IFERROR(W121/V121-1,"-")</f>
        <v>0.1552339439272028</v>
      </c>
      <c r="Y121" s="162">
        <f>W121/W$8</f>
        <v>4.2639658552210434E-2</v>
      </c>
    </row>
    <row r="122" spans="1:25" x14ac:dyDescent="0.25">
      <c r="A122" s="57"/>
      <c r="B122" s="164" t="s">
        <v>105</v>
      </c>
      <c r="C122" s="165">
        <v>6450</v>
      </c>
      <c r="D122" s="165">
        <v>6328</v>
      </c>
      <c r="E122" s="165">
        <v>12657</v>
      </c>
      <c r="F122" s="165">
        <v>14419</v>
      </c>
      <c r="G122" s="165">
        <v>19491</v>
      </c>
      <c r="H122" s="165">
        <v>17619</v>
      </c>
      <c r="I122" s="166">
        <f>IFERROR(H122/G122-1,"-")</f>
        <v>-9.6044328151454472E-2</v>
      </c>
      <c r="J122" s="166">
        <f t="shared" si="89"/>
        <v>4.7263548132688807E-2</v>
      </c>
      <c r="K122" s="165">
        <v>7265</v>
      </c>
      <c r="L122" s="165">
        <v>14533</v>
      </c>
      <c r="M122" s="165">
        <v>18857</v>
      </c>
      <c r="N122" s="165">
        <v>21142</v>
      </c>
      <c r="O122" s="165">
        <v>14618</v>
      </c>
      <c r="P122" s="165">
        <v>26425</v>
      </c>
      <c r="Q122" s="166">
        <f>IFERROR(P122/O122-1,"-")</f>
        <v>0.80770283212477767</v>
      </c>
      <c r="R122" s="166">
        <f t="shared" si="91"/>
        <v>1.5686449104373508E-2</v>
      </c>
      <c r="S122" s="165">
        <v>13715</v>
      </c>
      <c r="T122" s="165">
        <v>31514</v>
      </c>
      <c r="U122" s="165">
        <v>35561</v>
      </c>
      <c r="V122" s="165">
        <v>34109</v>
      </c>
      <c r="W122" s="165">
        <v>44044</v>
      </c>
      <c r="X122" s="166">
        <f>IFERROR(W122/V122-1,"-")</f>
        <v>0.29127209827318312</v>
      </c>
      <c r="Y122" s="166">
        <f>W122/W$8</f>
        <v>2.1408049259316688E-2</v>
      </c>
    </row>
    <row r="123" spans="1:25" x14ac:dyDescent="0.25">
      <c r="A123" s="57"/>
      <c r="B123" s="164" t="s">
        <v>102</v>
      </c>
      <c r="C123" s="165">
        <v>5812</v>
      </c>
      <c r="D123" s="165">
        <v>6039</v>
      </c>
      <c r="E123" s="165">
        <v>10355</v>
      </c>
      <c r="F123" s="165">
        <v>17457</v>
      </c>
      <c r="G123" s="165">
        <v>15604</v>
      </c>
      <c r="H123" s="165">
        <v>12716</v>
      </c>
      <c r="I123" s="166">
        <f>IFERROR(H123/G123-1,"-")</f>
        <v>-0.18508074852601897</v>
      </c>
      <c r="J123" s="166">
        <f t="shared" si="89"/>
        <v>3.4111089054729038E-2</v>
      </c>
      <c r="K123" s="165">
        <v>7413</v>
      </c>
      <c r="L123" s="165">
        <v>11754</v>
      </c>
      <c r="M123" s="165">
        <v>21107</v>
      </c>
      <c r="N123" s="165">
        <v>23447</v>
      </c>
      <c r="O123" s="165">
        <v>26224</v>
      </c>
      <c r="P123" s="165">
        <v>30965</v>
      </c>
      <c r="Q123" s="166">
        <f>IFERROR(P123/O123-1,"-")</f>
        <v>0.18078859060402674</v>
      </c>
      <c r="R123" s="166">
        <f t="shared" si="91"/>
        <v>1.8381490880489144E-2</v>
      </c>
      <c r="S123" s="165">
        <v>13225</v>
      </c>
      <c r="T123" s="165">
        <v>31462</v>
      </c>
      <c r="U123" s="165">
        <v>40904</v>
      </c>
      <c r="V123" s="165">
        <v>41828</v>
      </c>
      <c r="W123" s="165">
        <v>43681</v>
      </c>
      <c r="X123" s="166">
        <f>IFERROR(W123/V123-1,"-")</f>
        <v>4.4300468585636521E-2</v>
      </c>
      <c r="Y123" s="166">
        <f>W123/W$8</f>
        <v>2.1231609292893746E-2</v>
      </c>
    </row>
    <row r="124" spans="1:25" x14ac:dyDescent="0.25">
      <c r="A124" s="57"/>
      <c r="B124" s="160" t="s">
        <v>109</v>
      </c>
      <c r="C124" s="161">
        <v>14299</v>
      </c>
      <c r="D124" s="161">
        <v>11569</v>
      </c>
      <c r="E124" s="161">
        <v>17284</v>
      </c>
      <c r="F124" s="161">
        <v>19127</v>
      </c>
      <c r="G124" s="161">
        <v>17836</v>
      </c>
      <c r="H124" s="161">
        <v>18774</v>
      </c>
      <c r="I124" s="162">
        <f>IFERROR(H124/G124-1,"-")</f>
        <v>5.2590266875981229E-2</v>
      </c>
      <c r="J124" s="162">
        <f t="shared" si="89"/>
        <v>5.0361873695618349E-2</v>
      </c>
      <c r="K124" s="161">
        <v>11614</v>
      </c>
      <c r="L124" s="161">
        <v>8580</v>
      </c>
      <c r="M124" s="161">
        <v>24161</v>
      </c>
      <c r="N124" s="161">
        <v>30984</v>
      </c>
      <c r="O124" s="161">
        <v>31637</v>
      </c>
      <c r="P124" s="161">
        <v>34262</v>
      </c>
      <c r="Q124" s="162">
        <f>IFERROR(P124/O124-1,"-")</f>
        <v>8.2972468944590094E-2</v>
      </c>
      <c r="R124" s="162">
        <f t="shared" si="91"/>
        <v>2.0338661086624223E-2</v>
      </c>
      <c r="S124" s="161">
        <v>25913</v>
      </c>
      <c r="T124" s="161">
        <v>41445</v>
      </c>
      <c r="U124" s="161">
        <v>50111</v>
      </c>
      <c r="V124" s="161">
        <v>49473</v>
      </c>
      <c r="W124" s="161">
        <v>53036</v>
      </c>
      <c r="X124" s="162">
        <f>IFERROR(W124/V124-1,"-")</f>
        <v>7.20190811149517E-2</v>
      </c>
      <c r="Y124" s="162">
        <f>W124/W$8</f>
        <v>2.577870539726455E-2</v>
      </c>
    </row>
    <row r="125" spans="1:25" s="57" customFormat="1" x14ac:dyDescent="0.25">
      <c r="B125" s="164" t="s">
        <v>112</v>
      </c>
      <c r="C125" s="165">
        <v>1009</v>
      </c>
      <c r="D125" s="165">
        <v>123</v>
      </c>
      <c r="E125" s="165">
        <v>936</v>
      </c>
      <c r="F125" s="165">
        <v>1628</v>
      </c>
      <c r="G125" s="165">
        <v>1392</v>
      </c>
      <c r="H125" s="165">
        <v>1407</v>
      </c>
      <c r="I125" s="166">
        <f t="shared" ref="I125:I132" si="92">IFERROR(H125/G125-1,"-")</f>
        <v>1.0775862068965525E-2</v>
      </c>
      <c r="J125" s="166">
        <f t="shared" si="89"/>
        <v>3.7743238675687131E-3</v>
      </c>
      <c r="K125" s="165">
        <v>1801</v>
      </c>
      <c r="L125" s="165">
        <v>492</v>
      </c>
      <c r="M125" s="165">
        <v>3130</v>
      </c>
      <c r="N125" s="165">
        <v>4405</v>
      </c>
      <c r="O125" s="165">
        <v>4646</v>
      </c>
      <c r="P125" s="165">
        <v>4102</v>
      </c>
      <c r="Q125" s="166">
        <f t="shared" ref="Q125:Q132" si="93">IFERROR(P125/O125-1,"-")</f>
        <v>-0.11708996986655185</v>
      </c>
      <c r="R125" s="166">
        <f t="shared" si="91"/>
        <v>2.4350355430895034E-3</v>
      </c>
      <c r="S125" s="165">
        <v>2810</v>
      </c>
      <c r="T125" s="165">
        <v>4066</v>
      </c>
      <c r="U125" s="165">
        <v>6033</v>
      </c>
      <c r="V125" s="165">
        <v>6038</v>
      </c>
      <c r="W125" s="165">
        <v>5509</v>
      </c>
      <c r="X125" s="166">
        <f t="shared" ref="X125:X132" si="94">IFERROR(W125/V125-1,"-")</f>
        <v>-8.761179198410074E-2</v>
      </c>
      <c r="Y125" s="166">
        <f t="shared" ref="Y125:Y132" si="95">W125/W$8</f>
        <v>2.6777073692120521E-3</v>
      </c>
    </row>
    <row r="126" spans="1:25" s="57" customFormat="1" x14ac:dyDescent="0.25">
      <c r="B126" s="164" t="s">
        <v>115</v>
      </c>
      <c r="C126" s="165">
        <v>1174</v>
      </c>
      <c r="D126" s="165">
        <v>1035</v>
      </c>
      <c r="E126" s="165">
        <v>1469</v>
      </c>
      <c r="F126" s="165">
        <v>2796</v>
      </c>
      <c r="G126" s="165">
        <v>2703</v>
      </c>
      <c r="H126" s="165">
        <v>2707</v>
      </c>
      <c r="I126" s="166">
        <f t="shared" si="92"/>
        <v>1.4798372179061214E-3</v>
      </c>
      <c r="J126" s="166">
        <f t="shared" si="89"/>
        <v>7.2616167089612693E-3</v>
      </c>
      <c r="K126" s="165">
        <v>1720</v>
      </c>
      <c r="L126" s="165">
        <v>1088</v>
      </c>
      <c r="M126" s="165">
        <v>3182</v>
      </c>
      <c r="N126" s="165">
        <v>4808</v>
      </c>
      <c r="O126" s="165">
        <v>4464</v>
      </c>
      <c r="P126" s="165">
        <v>5311</v>
      </c>
      <c r="Q126" s="166">
        <f t="shared" si="93"/>
        <v>0.18974014336917566</v>
      </c>
      <c r="R126" s="166">
        <f t="shared" si="91"/>
        <v>3.1527239808260242E-3</v>
      </c>
      <c r="S126" s="165">
        <v>2894</v>
      </c>
      <c r="T126" s="165">
        <v>4651</v>
      </c>
      <c r="U126" s="165">
        <v>7604</v>
      </c>
      <c r="V126" s="165">
        <v>7167</v>
      </c>
      <c r="W126" s="165">
        <v>8018</v>
      </c>
      <c r="X126" s="166">
        <f t="shared" si="94"/>
        <v>0.11873866331798522</v>
      </c>
      <c r="Y126" s="166">
        <f t="shared" si="95"/>
        <v>3.8972331977386522E-3</v>
      </c>
    </row>
    <row r="127" spans="1:25" x14ac:dyDescent="0.25">
      <c r="A127" s="57"/>
      <c r="B127" s="164" t="s">
        <v>118</v>
      </c>
      <c r="C127" s="165">
        <v>890</v>
      </c>
      <c r="D127" s="165">
        <v>927</v>
      </c>
      <c r="E127" s="165">
        <v>1270</v>
      </c>
      <c r="F127" s="165">
        <v>1608</v>
      </c>
      <c r="G127" s="165">
        <v>1460</v>
      </c>
      <c r="H127" s="165">
        <v>1594</v>
      </c>
      <c r="I127" s="166">
        <f t="shared" si="92"/>
        <v>9.1780821917808231E-2</v>
      </c>
      <c r="J127" s="166">
        <f t="shared" si="89"/>
        <v>4.2759575301382574E-3</v>
      </c>
      <c r="K127" s="165">
        <v>1060</v>
      </c>
      <c r="L127" s="165">
        <v>1971</v>
      </c>
      <c r="M127" s="165">
        <v>2766</v>
      </c>
      <c r="N127" s="165">
        <v>2868</v>
      </c>
      <c r="O127" s="165">
        <v>2686</v>
      </c>
      <c r="P127" s="165">
        <v>2681</v>
      </c>
      <c r="Q127" s="166">
        <f t="shared" si="93"/>
        <v>-1.8615040953090523E-3</v>
      </c>
      <c r="R127" s="166">
        <f t="shared" si="91"/>
        <v>1.5914993395960406E-3</v>
      </c>
      <c r="S127" s="165">
        <v>1950</v>
      </c>
      <c r="T127" s="165">
        <v>4036</v>
      </c>
      <c r="U127" s="165">
        <v>4476</v>
      </c>
      <c r="V127" s="165">
        <v>4146</v>
      </c>
      <c r="W127" s="165">
        <v>4275</v>
      </c>
      <c r="X127" s="166">
        <f t="shared" si="94"/>
        <v>3.1114327062228719E-2</v>
      </c>
      <c r="Y127" s="166">
        <f t="shared" si="95"/>
        <v>2.0779086954767693E-3</v>
      </c>
    </row>
    <row r="128" spans="1:25" x14ac:dyDescent="0.25">
      <c r="A128" s="57"/>
      <c r="B128" s="164" t="s">
        <v>125</v>
      </c>
      <c r="C128" s="165">
        <v>261</v>
      </c>
      <c r="D128" s="165">
        <v>106</v>
      </c>
      <c r="E128" s="165">
        <v>339</v>
      </c>
      <c r="F128" s="165">
        <v>331</v>
      </c>
      <c r="G128" s="165">
        <v>346</v>
      </c>
      <c r="H128" s="165">
        <v>476</v>
      </c>
      <c r="I128" s="166">
        <f t="shared" si="92"/>
        <v>0.37572254335260125</v>
      </c>
      <c r="J128" s="166">
        <f t="shared" si="89"/>
        <v>1.2768856865406591E-3</v>
      </c>
      <c r="K128" s="165">
        <v>266</v>
      </c>
      <c r="L128" s="165">
        <v>205</v>
      </c>
      <c r="M128" s="165">
        <v>838</v>
      </c>
      <c r="N128" s="165">
        <v>882</v>
      </c>
      <c r="O128" s="165">
        <v>903</v>
      </c>
      <c r="P128" s="165">
        <v>822</v>
      </c>
      <c r="Q128" s="166">
        <f t="shared" si="93"/>
        <v>-8.9700996677740896E-2</v>
      </c>
      <c r="R128" s="166">
        <f t="shared" si="91"/>
        <v>4.879569030764436E-4</v>
      </c>
      <c r="S128" s="165">
        <v>527</v>
      </c>
      <c r="T128" s="165">
        <v>1177</v>
      </c>
      <c r="U128" s="165">
        <v>1213</v>
      </c>
      <c r="V128" s="165">
        <v>1249</v>
      </c>
      <c r="W128" s="165">
        <v>1298</v>
      </c>
      <c r="X128" s="166">
        <f t="shared" si="94"/>
        <v>3.9231385108086547E-2</v>
      </c>
      <c r="Y128" s="166">
        <f t="shared" si="95"/>
        <v>6.30906546603239E-4</v>
      </c>
    </row>
    <row r="129" spans="1:25" x14ac:dyDescent="0.25">
      <c r="A129" s="57"/>
      <c r="B129" s="164" t="s">
        <v>121</v>
      </c>
      <c r="C129" s="165">
        <v>170</v>
      </c>
      <c r="D129" s="165">
        <v>95</v>
      </c>
      <c r="E129" s="165">
        <v>276</v>
      </c>
      <c r="F129" s="165">
        <v>302</v>
      </c>
      <c r="G129" s="165">
        <v>316</v>
      </c>
      <c r="H129" s="165">
        <v>286</v>
      </c>
      <c r="I129" s="166">
        <f t="shared" si="92"/>
        <v>-9.4936708860759444E-2</v>
      </c>
      <c r="J129" s="166">
        <f t="shared" si="89"/>
        <v>7.6720442510636239E-4</v>
      </c>
      <c r="K129" s="165">
        <v>285</v>
      </c>
      <c r="L129" s="165">
        <v>210</v>
      </c>
      <c r="M129" s="165">
        <v>601</v>
      </c>
      <c r="N129" s="165">
        <v>638</v>
      </c>
      <c r="O129" s="165">
        <v>697</v>
      </c>
      <c r="P129" s="165">
        <v>841</v>
      </c>
      <c r="Q129" s="166">
        <f t="shared" si="93"/>
        <v>0.20659971305595404</v>
      </c>
      <c r="R129" s="166">
        <f t="shared" si="91"/>
        <v>4.9923571227164119E-4</v>
      </c>
      <c r="S129" s="165">
        <v>455</v>
      </c>
      <c r="T129" s="165">
        <v>877</v>
      </c>
      <c r="U129" s="165">
        <v>940</v>
      </c>
      <c r="V129" s="165">
        <v>1013</v>
      </c>
      <c r="W129" s="165">
        <v>1127</v>
      </c>
      <c r="X129" s="166">
        <f t="shared" si="94"/>
        <v>0.11253701875616984</v>
      </c>
      <c r="Y129" s="166">
        <f t="shared" si="95"/>
        <v>5.477901987841682E-4</v>
      </c>
    </row>
    <row r="130" spans="1:25" x14ac:dyDescent="0.25">
      <c r="A130" s="57"/>
      <c r="B130" s="164" t="s">
        <v>130</v>
      </c>
      <c r="C130" s="165">
        <v>169</v>
      </c>
      <c r="D130" s="165">
        <v>12</v>
      </c>
      <c r="E130" s="165">
        <v>143</v>
      </c>
      <c r="F130" s="165">
        <v>141</v>
      </c>
      <c r="G130" s="165">
        <v>161</v>
      </c>
      <c r="H130" s="165">
        <v>192</v>
      </c>
      <c r="I130" s="166">
        <f t="shared" si="92"/>
        <v>0.19254658385093171</v>
      </c>
      <c r="J130" s="166">
        <f t="shared" si="89"/>
        <v>5.1504632734413142E-4</v>
      </c>
      <c r="K130" s="165">
        <v>461</v>
      </c>
      <c r="L130" s="165">
        <v>22</v>
      </c>
      <c r="M130" s="165">
        <v>429</v>
      </c>
      <c r="N130" s="165">
        <v>634</v>
      </c>
      <c r="O130" s="165">
        <v>697</v>
      </c>
      <c r="P130" s="165">
        <v>477</v>
      </c>
      <c r="Q130" s="166">
        <f t="shared" si="93"/>
        <v>-0.31563845050215211</v>
      </c>
      <c r="R130" s="166">
        <f t="shared" si="91"/>
        <v>2.8315747295311875E-4</v>
      </c>
      <c r="S130" s="165">
        <v>630</v>
      </c>
      <c r="T130" s="165">
        <v>572</v>
      </c>
      <c r="U130" s="165">
        <v>775</v>
      </c>
      <c r="V130" s="165">
        <v>858</v>
      </c>
      <c r="W130" s="165">
        <v>669</v>
      </c>
      <c r="X130" s="166">
        <f t="shared" si="94"/>
        <v>-0.22027972027972031</v>
      </c>
      <c r="Y130" s="166">
        <f t="shared" si="95"/>
        <v>3.2517448357285587E-4</v>
      </c>
    </row>
    <row r="131" spans="1:25" x14ac:dyDescent="0.25">
      <c r="A131" s="57"/>
      <c r="B131" s="164" t="s">
        <v>133</v>
      </c>
      <c r="C131" s="165">
        <v>146</v>
      </c>
      <c r="D131" s="165">
        <v>66</v>
      </c>
      <c r="E131" s="165">
        <v>136</v>
      </c>
      <c r="F131" s="165">
        <v>250</v>
      </c>
      <c r="G131" s="165">
        <v>173</v>
      </c>
      <c r="H131" s="165">
        <v>173</v>
      </c>
      <c r="I131" s="166">
        <f t="shared" si="92"/>
        <v>0</v>
      </c>
      <c r="J131" s="166">
        <f t="shared" si="89"/>
        <v>4.6407820120070175E-4</v>
      </c>
      <c r="K131" s="165">
        <v>824</v>
      </c>
      <c r="L131" s="165">
        <v>75</v>
      </c>
      <c r="M131" s="165">
        <v>894</v>
      </c>
      <c r="N131" s="165">
        <v>1204</v>
      </c>
      <c r="O131" s="165">
        <v>1145</v>
      </c>
      <c r="P131" s="165">
        <v>1191</v>
      </c>
      <c r="Q131" s="166">
        <f t="shared" si="93"/>
        <v>4.0174672489083019E-2</v>
      </c>
      <c r="R131" s="166">
        <f t="shared" si="91"/>
        <v>7.070032500779128E-4</v>
      </c>
      <c r="S131" s="165">
        <v>970</v>
      </c>
      <c r="T131" s="165">
        <v>1030</v>
      </c>
      <c r="U131" s="165">
        <v>1454</v>
      </c>
      <c r="V131" s="165">
        <v>1318</v>
      </c>
      <c r="W131" s="165">
        <v>1364</v>
      </c>
      <c r="X131" s="166">
        <f t="shared" si="94"/>
        <v>3.4901365705614529E-2</v>
      </c>
      <c r="Y131" s="166">
        <f t="shared" si="95"/>
        <v>6.6298654049831891E-4</v>
      </c>
    </row>
    <row r="132" spans="1:25" x14ac:dyDescent="0.25">
      <c r="A132" s="57"/>
      <c r="B132" s="169" t="s">
        <v>147</v>
      </c>
      <c r="C132" s="170">
        <f t="shared" ref="C132" si="96">C124-SUM(C125:C131)</f>
        <v>10480</v>
      </c>
      <c r="D132" s="170">
        <f t="shared" ref="D132:H132" si="97">D124-SUM(D125:D131)</f>
        <v>9205</v>
      </c>
      <c r="E132" s="170">
        <f t="shared" si="97"/>
        <v>12715</v>
      </c>
      <c r="F132" s="170">
        <f t="shared" si="97"/>
        <v>12071</v>
      </c>
      <c r="G132" s="170">
        <f t="shared" si="97"/>
        <v>11285</v>
      </c>
      <c r="H132" s="170">
        <f t="shared" si="97"/>
        <v>11939</v>
      </c>
      <c r="I132" s="171">
        <f t="shared" si="92"/>
        <v>5.795303500221527E-2</v>
      </c>
      <c r="J132" s="171">
        <f t="shared" si="89"/>
        <v>3.2026760948758254E-2</v>
      </c>
      <c r="K132" s="170">
        <f t="shared" ref="K132:P132" si="98">K124-SUM(K125:K131)</f>
        <v>5197</v>
      </c>
      <c r="L132" s="170">
        <f t="shared" si="98"/>
        <v>4517</v>
      </c>
      <c r="M132" s="170">
        <f t="shared" si="98"/>
        <v>12321</v>
      </c>
      <c r="N132" s="170">
        <f t="shared" si="98"/>
        <v>15545</v>
      </c>
      <c r="O132" s="170">
        <f t="shared" si="98"/>
        <v>16399</v>
      </c>
      <c r="P132" s="170">
        <f t="shared" si="98"/>
        <v>18837</v>
      </c>
      <c r="Q132" s="171">
        <f t="shared" si="93"/>
        <v>0.1486676016830295</v>
      </c>
      <c r="R132" s="171">
        <f t="shared" si="91"/>
        <v>1.1182048884733538E-2</v>
      </c>
      <c r="S132" s="170">
        <f>S124-SUM(S125:S131)</f>
        <v>15677</v>
      </c>
      <c r="T132" s="170">
        <f>T124-SUM(T125:T131)</f>
        <v>25036</v>
      </c>
      <c r="U132" s="170">
        <f>U124-SUM(U125:U131)</f>
        <v>27616</v>
      </c>
      <c r="V132" s="170">
        <f>V124-SUM(V125:V131)</f>
        <v>27684</v>
      </c>
      <c r="W132" s="170">
        <f>W124-SUM(W125:W131)</f>
        <v>30776</v>
      </c>
      <c r="X132" s="171">
        <f t="shared" si="94"/>
        <v>0.11168906227423792</v>
      </c>
      <c r="Y132" s="171">
        <f t="shared" si="95"/>
        <v>1.4958998365378492E-2</v>
      </c>
    </row>
    <row r="133" spans="1:25" x14ac:dyDescent="0.25">
      <c r="A133" s="57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</row>
    <row r="134" spans="1:25" x14ac:dyDescent="0.25">
      <c r="A134" s="57"/>
      <c r="B134" s="157" t="s">
        <v>70</v>
      </c>
      <c r="C134" s="177">
        <f t="shared" ref="C134:H134" si="99">C135+C138</f>
        <v>6753</v>
      </c>
      <c r="D134" s="177">
        <f t="shared" si="99"/>
        <v>0</v>
      </c>
      <c r="E134" s="177">
        <f t="shared" si="99"/>
        <v>23519</v>
      </c>
      <c r="F134" s="177">
        <f t="shared" si="99"/>
        <v>22547</v>
      </c>
      <c r="G134" s="177">
        <f t="shared" si="99"/>
        <v>25679</v>
      </c>
      <c r="H134" s="177">
        <f t="shared" si="99"/>
        <v>24582</v>
      </c>
      <c r="I134" s="178">
        <f>IFERROR(H134/G134-1,"-")</f>
        <v>-4.2719732076794248E-2</v>
      </c>
      <c r="J134" s="178">
        <f t="shared" ref="J134:J146" si="100">H134/H$8</f>
        <v>6.5942025097778328E-2</v>
      </c>
      <c r="K134" s="177">
        <f t="shared" ref="K134:P134" si="101">K135+K138</f>
        <v>32534</v>
      </c>
      <c r="L134" s="177">
        <f t="shared" si="101"/>
        <v>0</v>
      </c>
      <c r="M134" s="177">
        <f t="shared" si="101"/>
        <v>77628</v>
      </c>
      <c r="N134" s="177">
        <f t="shared" si="101"/>
        <v>87658</v>
      </c>
      <c r="O134" s="177">
        <f t="shared" si="101"/>
        <v>92306</v>
      </c>
      <c r="P134" s="177">
        <f t="shared" si="101"/>
        <v>86086</v>
      </c>
      <c r="Q134" s="178">
        <f>IFERROR(P134/O134-1,"-")</f>
        <v>-6.7384568717093196E-2</v>
      </c>
      <c r="R134" s="178">
        <f t="shared" ref="R134:R146" si="102">P134/P$8</f>
        <v>5.1102503598830569E-2</v>
      </c>
      <c r="S134" s="177">
        <f>S135+S138</f>
        <v>39287</v>
      </c>
      <c r="T134" s="177">
        <f>T135+T138</f>
        <v>101147</v>
      </c>
      <c r="U134" s="177">
        <f>U135+U138</f>
        <v>110205</v>
      </c>
      <c r="V134" s="177">
        <f>V135+V138</f>
        <v>117985</v>
      </c>
      <c r="W134" s="177">
        <f>W135+W138</f>
        <v>110668</v>
      </c>
      <c r="X134" s="178">
        <f>IFERROR(W134/V134-1,"-")</f>
        <v>-6.201635801161165E-2</v>
      </c>
      <c r="Y134" s="178">
        <f>W134/W$8</f>
        <v>5.3791344914859207E-2</v>
      </c>
    </row>
    <row r="135" spans="1:25" x14ac:dyDescent="0.25">
      <c r="A135" s="57"/>
      <c r="B135" s="160" t="s">
        <v>99</v>
      </c>
      <c r="C135" s="161">
        <v>514</v>
      </c>
      <c r="D135" s="161">
        <v>0</v>
      </c>
      <c r="E135" s="161">
        <v>2433</v>
      </c>
      <c r="F135" s="161">
        <v>3307</v>
      </c>
      <c r="G135" s="161">
        <v>3095</v>
      </c>
      <c r="H135" s="161">
        <v>1174</v>
      </c>
      <c r="I135" s="162">
        <f>IFERROR(H135/G135-1,"-")</f>
        <v>-0.62067851373182559</v>
      </c>
      <c r="J135" s="162">
        <f t="shared" si="100"/>
        <v>3.1492936890729702E-3</v>
      </c>
      <c r="K135" s="161">
        <v>1373</v>
      </c>
      <c r="L135" s="161">
        <v>0</v>
      </c>
      <c r="M135" s="161">
        <v>6410</v>
      </c>
      <c r="N135" s="161">
        <v>7382</v>
      </c>
      <c r="O135" s="161">
        <v>4955</v>
      </c>
      <c r="P135" s="161">
        <v>5271</v>
      </c>
      <c r="Q135" s="162">
        <f>IFERROR(P135/O135-1,"-")</f>
        <v>6.3773965691221068E-2</v>
      </c>
      <c r="R135" s="162">
        <f t="shared" si="102"/>
        <v>3.1289791193624505E-3</v>
      </c>
      <c r="S135" s="161">
        <v>1887</v>
      </c>
      <c r="T135" s="161">
        <v>8843</v>
      </c>
      <c r="U135" s="161">
        <v>10689</v>
      </c>
      <c r="V135" s="161">
        <v>8050</v>
      </c>
      <c r="W135" s="161">
        <v>6445</v>
      </c>
      <c r="X135" s="162">
        <f>IFERROR(W135/V135-1,"-")</f>
        <v>-0.19937888198757769</v>
      </c>
      <c r="Y135" s="162">
        <f>W135/W$8</f>
        <v>3.1326600099059131E-3</v>
      </c>
    </row>
    <row r="136" spans="1:25" x14ac:dyDescent="0.25">
      <c r="A136" s="57"/>
      <c r="B136" s="164" t="s">
        <v>105</v>
      </c>
      <c r="C136" s="165">
        <v>514</v>
      </c>
      <c r="D136" s="165">
        <v>0</v>
      </c>
      <c r="E136" s="165">
        <v>2362</v>
      </c>
      <c r="F136" s="165">
        <v>3307</v>
      </c>
      <c r="G136" s="165">
        <v>3095</v>
      </c>
      <c r="H136" s="165">
        <v>1174</v>
      </c>
      <c r="I136" s="166">
        <f>IFERROR(H136/G136-1,"-")</f>
        <v>-0.62067851373182559</v>
      </c>
      <c r="J136" s="166">
        <f t="shared" si="100"/>
        <v>3.1492936890729702E-3</v>
      </c>
      <c r="K136" s="165">
        <v>632</v>
      </c>
      <c r="L136" s="165">
        <v>0</v>
      </c>
      <c r="M136" s="165">
        <v>3781</v>
      </c>
      <c r="N136" s="165">
        <v>3681</v>
      </c>
      <c r="O136" s="165">
        <v>1954</v>
      </c>
      <c r="P136" s="165">
        <v>1654</v>
      </c>
      <c r="Q136" s="166">
        <f>IFERROR(P136/O136-1,"-")</f>
        <v>-0.15353121801432956</v>
      </c>
      <c r="R136" s="166">
        <f t="shared" si="102"/>
        <v>9.8185002151878072E-4</v>
      </c>
      <c r="S136" s="165">
        <v>1146</v>
      </c>
      <c r="T136" s="165">
        <v>6143</v>
      </c>
      <c r="U136" s="165">
        <v>6988</v>
      </c>
      <c r="V136" s="165">
        <v>5049</v>
      </c>
      <c r="W136" s="165">
        <v>2828</v>
      </c>
      <c r="X136" s="166">
        <f>IFERROR(W136/V136-1,"-")</f>
        <v>-0.43988908694791051</v>
      </c>
      <c r="Y136" s="166">
        <f>W136/W$8</f>
        <v>1.3745791323528196E-3</v>
      </c>
    </row>
    <row r="137" spans="1:25" x14ac:dyDescent="0.25">
      <c r="A137" s="57"/>
      <c r="B137" s="164" t="s">
        <v>102</v>
      </c>
      <c r="C137" s="165">
        <v>0</v>
      </c>
      <c r="D137" s="165">
        <v>0</v>
      </c>
      <c r="E137" s="165">
        <v>71</v>
      </c>
      <c r="F137" s="165">
        <v>0</v>
      </c>
      <c r="G137" s="165">
        <v>0</v>
      </c>
      <c r="H137" s="165">
        <v>0</v>
      </c>
      <c r="I137" s="166" t="str">
        <f>IFERROR(H137/G137-1,"-")</f>
        <v>-</v>
      </c>
      <c r="J137" s="166">
        <f t="shared" si="100"/>
        <v>0</v>
      </c>
      <c r="K137" s="165">
        <v>741</v>
      </c>
      <c r="L137" s="165">
        <v>0</v>
      </c>
      <c r="M137" s="165">
        <v>2629</v>
      </c>
      <c r="N137" s="165">
        <v>3701</v>
      </c>
      <c r="O137" s="165">
        <v>3001</v>
      </c>
      <c r="P137" s="165">
        <v>3617</v>
      </c>
      <c r="Q137" s="166">
        <f>IFERROR(P137/O137-1,"-")</f>
        <v>0.20526491169610139</v>
      </c>
      <c r="R137" s="166">
        <f t="shared" si="102"/>
        <v>2.1471290978436696E-3</v>
      </c>
      <c r="S137" s="165">
        <v>741</v>
      </c>
      <c r="T137" s="165">
        <v>2700</v>
      </c>
      <c r="U137" s="165">
        <v>3701</v>
      </c>
      <c r="V137" s="165">
        <v>3001</v>
      </c>
      <c r="W137" s="165">
        <v>3617</v>
      </c>
      <c r="X137" s="166">
        <f>IFERROR(W137/V137-1,"-")</f>
        <v>0.20526491169610139</v>
      </c>
      <c r="Y137" s="166">
        <f>W137/W$8</f>
        <v>1.7580808775530935E-3</v>
      </c>
    </row>
    <row r="138" spans="1:25" x14ac:dyDescent="0.25">
      <c r="A138" s="57"/>
      <c r="B138" s="160" t="s">
        <v>109</v>
      </c>
      <c r="C138" s="161">
        <v>6239</v>
      </c>
      <c r="D138" s="161">
        <v>0</v>
      </c>
      <c r="E138" s="161">
        <v>21086</v>
      </c>
      <c r="F138" s="161">
        <v>19240</v>
      </c>
      <c r="G138" s="161">
        <v>22584</v>
      </c>
      <c r="H138" s="161">
        <v>23408</v>
      </c>
      <c r="I138" s="162">
        <f>IFERROR(H138/G138-1,"-")</f>
        <v>3.6486007793127939E-2</v>
      </c>
      <c r="J138" s="162">
        <f t="shared" si="100"/>
        <v>6.2792731408705352E-2</v>
      </c>
      <c r="K138" s="161">
        <v>31161</v>
      </c>
      <c r="L138" s="161">
        <v>0</v>
      </c>
      <c r="M138" s="161">
        <v>71218</v>
      </c>
      <c r="N138" s="161">
        <v>80276</v>
      </c>
      <c r="O138" s="161">
        <v>87351</v>
      </c>
      <c r="P138" s="161">
        <v>80815</v>
      </c>
      <c r="Q138" s="162">
        <f>IFERROR(P138/O138-1,"-")</f>
        <v>-7.4824558390859885E-2</v>
      </c>
      <c r="R138" s="162">
        <f t="shared" si="102"/>
        <v>4.7973524479468115E-2</v>
      </c>
      <c r="S138" s="161">
        <v>37400</v>
      </c>
      <c r="T138" s="161">
        <v>92304</v>
      </c>
      <c r="U138" s="161">
        <v>99516</v>
      </c>
      <c r="V138" s="161">
        <v>109935</v>
      </c>
      <c r="W138" s="161">
        <v>104223</v>
      </c>
      <c r="X138" s="162">
        <f>IFERROR(W138/V138-1,"-")</f>
        <v>-5.1957975167144177E-2</v>
      </c>
      <c r="Y138" s="162">
        <f>W138/W$8</f>
        <v>5.0658684904953295E-2</v>
      </c>
    </row>
    <row r="139" spans="1:25" s="57" customFormat="1" x14ac:dyDescent="0.25">
      <c r="B139" s="164" t="s">
        <v>112</v>
      </c>
      <c r="C139" s="165">
        <v>3314</v>
      </c>
      <c r="D139" s="165">
        <v>0</v>
      </c>
      <c r="E139" s="165">
        <v>10828</v>
      </c>
      <c r="F139" s="165">
        <v>9935</v>
      </c>
      <c r="G139" s="165">
        <v>12948</v>
      </c>
      <c r="H139" s="165">
        <v>13391</v>
      </c>
      <c r="I139" s="166">
        <f t="shared" ref="I139:I146" si="103">IFERROR(H139/G139-1,"-")</f>
        <v>3.4213778189681854E-2</v>
      </c>
      <c r="J139" s="166">
        <f t="shared" si="100"/>
        <v>3.592179879929825E-2</v>
      </c>
      <c r="K139" s="165">
        <v>12322</v>
      </c>
      <c r="L139" s="165">
        <v>0</v>
      </c>
      <c r="M139" s="165">
        <v>27933</v>
      </c>
      <c r="N139" s="165">
        <v>30542</v>
      </c>
      <c r="O139" s="165">
        <v>34943</v>
      </c>
      <c r="P139" s="165">
        <v>33896</v>
      </c>
      <c r="Q139" s="166">
        <f t="shared" ref="Q139:Q146" si="104">IFERROR(P139/O139-1,"-")</f>
        <v>-2.9963082734739466E-2</v>
      </c>
      <c r="R139" s="166">
        <f t="shared" si="102"/>
        <v>2.0121395604232522E-2</v>
      </c>
      <c r="S139" s="165">
        <v>15636</v>
      </c>
      <c r="T139" s="165">
        <v>38761</v>
      </c>
      <c r="U139" s="165">
        <v>40477</v>
      </c>
      <c r="V139" s="165">
        <v>47891</v>
      </c>
      <c r="W139" s="165">
        <v>47287</v>
      </c>
      <c r="X139" s="166">
        <f t="shared" ref="X139:X146" si="105">IFERROR(W139/V139-1,"-")</f>
        <v>-1.2611973022070955E-2</v>
      </c>
      <c r="Y139" s="166">
        <f t="shared" ref="Y139:Y146" si="106">W139/W$8</f>
        <v>2.2984343504797659E-2</v>
      </c>
    </row>
    <row r="140" spans="1:25" s="57" customFormat="1" x14ac:dyDescent="0.25">
      <c r="B140" s="164" t="s">
        <v>115</v>
      </c>
      <c r="C140" s="165">
        <v>966</v>
      </c>
      <c r="D140" s="165">
        <v>0</v>
      </c>
      <c r="E140" s="165">
        <v>680</v>
      </c>
      <c r="F140" s="165">
        <v>1010</v>
      </c>
      <c r="G140" s="165">
        <v>905</v>
      </c>
      <c r="H140" s="165">
        <v>989</v>
      </c>
      <c r="I140" s="166">
        <f t="shared" si="103"/>
        <v>9.2817679558011124E-2</v>
      </c>
      <c r="J140" s="166">
        <f t="shared" si="100"/>
        <v>2.6530250924132605E-3</v>
      </c>
      <c r="K140" s="165">
        <v>1709</v>
      </c>
      <c r="L140" s="165">
        <v>0</v>
      </c>
      <c r="M140" s="165">
        <v>5286</v>
      </c>
      <c r="N140" s="165">
        <v>7937</v>
      </c>
      <c r="O140" s="165">
        <v>9338</v>
      </c>
      <c r="P140" s="165">
        <v>8014</v>
      </c>
      <c r="Q140" s="166">
        <f t="shared" si="104"/>
        <v>-0.14178624973227671</v>
      </c>
      <c r="R140" s="166">
        <f t="shared" si="102"/>
        <v>4.7572829942270304E-3</v>
      </c>
      <c r="S140" s="165">
        <v>2675</v>
      </c>
      <c r="T140" s="165">
        <v>5966</v>
      </c>
      <c r="U140" s="165">
        <v>8947</v>
      </c>
      <c r="V140" s="165">
        <v>10243</v>
      </c>
      <c r="W140" s="165">
        <v>9003</v>
      </c>
      <c r="X140" s="166">
        <f t="shared" si="105"/>
        <v>-0.12105828370594551</v>
      </c>
      <c r="Y140" s="166">
        <f t="shared" si="106"/>
        <v>4.3760028035970426E-3</v>
      </c>
    </row>
    <row r="141" spans="1:25" x14ac:dyDescent="0.25">
      <c r="A141" s="57"/>
      <c r="B141" s="164" t="s">
        <v>118</v>
      </c>
      <c r="C141" s="165">
        <v>87</v>
      </c>
      <c r="D141" s="165">
        <v>0</v>
      </c>
      <c r="E141" s="165">
        <v>2817</v>
      </c>
      <c r="F141" s="165">
        <v>2350</v>
      </c>
      <c r="G141" s="165">
        <v>2542</v>
      </c>
      <c r="H141" s="165">
        <v>2491</v>
      </c>
      <c r="I141" s="166">
        <f t="shared" si="103"/>
        <v>-2.0062942564909481E-2</v>
      </c>
      <c r="J141" s="166">
        <f t="shared" si="100"/>
        <v>6.6821895906991214E-3</v>
      </c>
      <c r="K141" s="165">
        <v>3010</v>
      </c>
      <c r="L141" s="165">
        <v>0</v>
      </c>
      <c r="M141" s="165">
        <v>9061</v>
      </c>
      <c r="N141" s="165">
        <v>8605</v>
      </c>
      <c r="O141" s="165">
        <v>8958</v>
      </c>
      <c r="P141" s="165">
        <v>6948</v>
      </c>
      <c r="Q141" s="166">
        <f t="shared" si="104"/>
        <v>-0.22438044206296048</v>
      </c>
      <c r="R141" s="166">
        <f t="shared" si="102"/>
        <v>4.1244824362227858E-3</v>
      </c>
      <c r="S141" s="165">
        <v>3097</v>
      </c>
      <c r="T141" s="165">
        <v>11878</v>
      </c>
      <c r="U141" s="165">
        <v>10955</v>
      </c>
      <c r="V141" s="165">
        <v>11500</v>
      </c>
      <c r="W141" s="165">
        <v>9439</v>
      </c>
      <c r="X141" s="166">
        <f t="shared" si="105"/>
        <v>-0.17921739130434777</v>
      </c>
      <c r="Y141" s="166">
        <f t="shared" si="106"/>
        <v>4.587925187509995E-3</v>
      </c>
    </row>
    <row r="142" spans="1:25" x14ac:dyDescent="0.25">
      <c r="A142" s="57"/>
      <c r="B142" s="164" t="s">
        <v>125</v>
      </c>
      <c r="C142" s="165">
        <v>94</v>
      </c>
      <c r="D142" s="165">
        <v>0</v>
      </c>
      <c r="E142" s="165">
        <v>1834</v>
      </c>
      <c r="F142" s="165">
        <v>1328</v>
      </c>
      <c r="G142" s="165">
        <v>915</v>
      </c>
      <c r="H142" s="165">
        <v>725</v>
      </c>
      <c r="I142" s="166">
        <f t="shared" si="103"/>
        <v>-0.20765027322404372</v>
      </c>
      <c r="J142" s="166">
        <f t="shared" si="100"/>
        <v>1.9448363923150796E-3</v>
      </c>
      <c r="K142" s="165">
        <v>312</v>
      </c>
      <c r="L142" s="165">
        <v>0</v>
      </c>
      <c r="M142" s="165">
        <v>2052</v>
      </c>
      <c r="N142" s="165">
        <v>2139</v>
      </c>
      <c r="O142" s="165">
        <v>1695</v>
      </c>
      <c r="P142" s="165">
        <v>1587</v>
      </c>
      <c r="Q142" s="166">
        <f t="shared" si="104"/>
        <v>-6.371681415929209E-2</v>
      </c>
      <c r="R142" s="166">
        <f t="shared" si="102"/>
        <v>9.4207737856729441E-4</v>
      </c>
      <c r="S142" s="165">
        <v>406</v>
      </c>
      <c r="T142" s="165">
        <v>3886</v>
      </c>
      <c r="U142" s="165">
        <v>3467</v>
      </c>
      <c r="V142" s="165">
        <v>2610</v>
      </c>
      <c r="W142" s="165">
        <v>2312</v>
      </c>
      <c r="X142" s="166">
        <f t="shared" si="105"/>
        <v>-0.114176245210728</v>
      </c>
      <c r="Y142" s="166">
        <f t="shared" si="106"/>
        <v>1.1237719073549219E-3</v>
      </c>
    </row>
    <row r="143" spans="1:25" x14ac:dyDescent="0.25">
      <c r="A143" s="57"/>
      <c r="B143" s="164" t="s">
        <v>121</v>
      </c>
      <c r="C143" s="165">
        <v>52</v>
      </c>
      <c r="D143" s="165">
        <v>0</v>
      </c>
      <c r="E143" s="165">
        <v>172</v>
      </c>
      <c r="F143" s="165">
        <v>299</v>
      </c>
      <c r="G143" s="165">
        <v>453</v>
      </c>
      <c r="H143" s="165">
        <v>0</v>
      </c>
      <c r="I143" s="166">
        <f t="shared" si="103"/>
        <v>-1</v>
      </c>
      <c r="J143" s="166">
        <f t="shared" si="100"/>
        <v>0</v>
      </c>
      <c r="K143" s="165">
        <v>619</v>
      </c>
      <c r="L143" s="165">
        <v>0</v>
      </c>
      <c r="M143" s="165">
        <v>1515</v>
      </c>
      <c r="N143" s="165">
        <v>1741</v>
      </c>
      <c r="O143" s="165">
        <v>2059</v>
      </c>
      <c r="P143" s="165">
        <v>1714</v>
      </c>
      <c r="Q143" s="166">
        <f t="shared" si="104"/>
        <v>-0.16755706653715396</v>
      </c>
      <c r="R143" s="166">
        <f t="shared" si="102"/>
        <v>1.0174673137141415E-3</v>
      </c>
      <c r="S143" s="165">
        <v>671</v>
      </c>
      <c r="T143" s="165">
        <v>1687</v>
      </c>
      <c r="U143" s="165">
        <v>2040</v>
      </c>
      <c r="V143" s="165">
        <v>2512</v>
      </c>
      <c r="W143" s="165">
        <v>1714</v>
      </c>
      <c r="X143" s="166">
        <f t="shared" si="105"/>
        <v>-0.3176751592356688</v>
      </c>
      <c r="Y143" s="166">
        <f t="shared" si="106"/>
        <v>8.3310772024495507E-4</v>
      </c>
    </row>
    <row r="144" spans="1:25" x14ac:dyDescent="0.25">
      <c r="A144" s="57"/>
      <c r="B144" s="164" t="s">
        <v>130</v>
      </c>
      <c r="C144" s="165">
        <v>142</v>
      </c>
      <c r="D144" s="165">
        <v>0</v>
      </c>
      <c r="E144" s="165">
        <v>68</v>
      </c>
      <c r="F144" s="165">
        <v>139</v>
      </c>
      <c r="G144" s="165">
        <v>6</v>
      </c>
      <c r="H144" s="165">
        <v>0</v>
      </c>
      <c r="I144" s="166">
        <f t="shared" si="103"/>
        <v>-1</v>
      </c>
      <c r="J144" s="166">
        <f t="shared" si="100"/>
        <v>0</v>
      </c>
      <c r="K144" s="165">
        <v>1439</v>
      </c>
      <c r="L144" s="165">
        <v>0</v>
      </c>
      <c r="M144" s="165">
        <v>1492</v>
      </c>
      <c r="N144" s="165">
        <v>1807</v>
      </c>
      <c r="O144" s="165">
        <v>1790</v>
      </c>
      <c r="P144" s="165">
        <v>1993</v>
      </c>
      <c r="Q144" s="166">
        <f t="shared" si="104"/>
        <v>0.11340782122905035</v>
      </c>
      <c r="R144" s="166">
        <f t="shared" si="102"/>
        <v>1.1830877224225694E-3</v>
      </c>
      <c r="S144" s="165">
        <v>1581</v>
      </c>
      <c r="T144" s="165">
        <v>1560</v>
      </c>
      <c r="U144" s="165">
        <v>1946</v>
      </c>
      <c r="V144" s="165">
        <v>1796</v>
      </c>
      <c r="W144" s="165">
        <v>1993</v>
      </c>
      <c r="X144" s="166">
        <f t="shared" si="105"/>
        <v>0.10968819599109136</v>
      </c>
      <c r="Y144" s="166">
        <f t="shared" si="106"/>
        <v>9.6871860352870209E-4</v>
      </c>
    </row>
    <row r="145" spans="1:25" x14ac:dyDescent="0.25">
      <c r="A145" s="57"/>
      <c r="B145" s="164" t="s">
        <v>133</v>
      </c>
      <c r="C145" s="165">
        <v>815</v>
      </c>
      <c r="D145" s="165">
        <v>0</v>
      </c>
      <c r="E145" s="165">
        <v>49</v>
      </c>
      <c r="F145" s="165">
        <v>62</v>
      </c>
      <c r="G145" s="165">
        <v>53</v>
      </c>
      <c r="H145" s="165">
        <v>0</v>
      </c>
      <c r="I145" s="166">
        <f t="shared" si="103"/>
        <v>-1</v>
      </c>
      <c r="J145" s="166">
        <f t="shared" si="100"/>
        <v>0</v>
      </c>
      <c r="K145" s="165">
        <v>2462</v>
      </c>
      <c r="L145" s="165">
        <v>0</v>
      </c>
      <c r="M145" s="165">
        <v>676</v>
      </c>
      <c r="N145" s="165">
        <v>1230</v>
      </c>
      <c r="O145" s="165">
        <v>1100</v>
      </c>
      <c r="P145" s="165">
        <v>806</v>
      </c>
      <c r="Q145" s="166">
        <f t="shared" si="104"/>
        <v>-0.26727272727272722</v>
      </c>
      <c r="R145" s="166">
        <f t="shared" si="102"/>
        <v>4.7845895849101406E-4</v>
      </c>
      <c r="S145" s="165">
        <v>3277</v>
      </c>
      <c r="T145" s="165">
        <v>725</v>
      </c>
      <c r="U145" s="165">
        <v>1292</v>
      </c>
      <c r="V145" s="165">
        <v>1153</v>
      </c>
      <c r="W145" s="165">
        <v>806</v>
      </c>
      <c r="X145" s="166">
        <f t="shared" si="105"/>
        <v>-0.30095403295750212</v>
      </c>
      <c r="Y145" s="166">
        <f t="shared" si="106"/>
        <v>3.9176477393082482E-4</v>
      </c>
    </row>
    <row r="146" spans="1:25" x14ac:dyDescent="0.25">
      <c r="A146" s="57"/>
      <c r="B146" s="169" t="s">
        <v>147</v>
      </c>
      <c r="C146" s="170">
        <f t="shared" ref="C146" si="107">C138-SUM(C139:C145)</f>
        <v>769</v>
      </c>
      <c r="D146" s="170">
        <f t="shared" ref="D146:H146" si="108">D138-SUM(D139:D145)</f>
        <v>0</v>
      </c>
      <c r="E146" s="170">
        <f t="shared" si="108"/>
        <v>4638</v>
      </c>
      <c r="F146" s="170">
        <f t="shared" si="108"/>
        <v>4117</v>
      </c>
      <c r="G146" s="170">
        <f t="shared" si="108"/>
        <v>4762</v>
      </c>
      <c r="H146" s="170">
        <f t="shared" si="108"/>
        <v>5812</v>
      </c>
      <c r="I146" s="171">
        <f t="shared" si="103"/>
        <v>0.22049559008819819</v>
      </c>
      <c r="J146" s="171">
        <f t="shared" si="100"/>
        <v>1.5590881533979644E-2</v>
      </c>
      <c r="K146" s="170">
        <f t="shared" ref="K146:P146" si="109">K138-SUM(K139:K145)</f>
        <v>9288</v>
      </c>
      <c r="L146" s="170">
        <f t="shared" si="109"/>
        <v>0</v>
      </c>
      <c r="M146" s="170">
        <f t="shared" si="109"/>
        <v>23203</v>
      </c>
      <c r="N146" s="170">
        <f t="shared" si="109"/>
        <v>26275</v>
      </c>
      <c r="O146" s="170">
        <f t="shared" si="109"/>
        <v>27468</v>
      </c>
      <c r="P146" s="170">
        <f t="shared" si="109"/>
        <v>25857</v>
      </c>
      <c r="Q146" s="171">
        <f t="shared" si="104"/>
        <v>-5.8650065530799433E-2</v>
      </c>
      <c r="R146" s="171">
        <f t="shared" si="102"/>
        <v>1.5349272071590757E-2</v>
      </c>
      <c r="S146" s="170">
        <f>S138-SUM(S139:S145)</f>
        <v>10057</v>
      </c>
      <c r="T146" s="170">
        <f>T138-SUM(T139:T145)</f>
        <v>27841</v>
      </c>
      <c r="U146" s="170">
        <f>U138-SUM(U139:U145)</f>
        <v>30392</v>
      </c>
      <c r="V146" s="170">
        <f>V138-SUM(V139:V145)</f>
        <v>32230</v>
      </c>
      <c r="W146" s="170">
        <f>W138-SUM(W139:W145)</f>
        <v>31669</v>
      </c>
      <c r="X146" s="171">
        <f t="shared" si="105"/>
        <v>-1.7406143344709912E-2</v>
      </c>
      <c r="Y146" s="171">
        <f t="shared" si="106"/>
        <v>1.5393050403989196E-2</v>
      </c>
    </row>
    <row r="147" spans="1:25" x14ac:dyDescent="0.25">
      <c r="A147" s="57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</row>
    <row r="148" spans="1:25" x14ac:dyDescent="0.25">
      <c r="A148" s="57"/>
      <c r="B148" s="157" t="s">
        <v>70</v>
      </c>
      <c r="C148" s="177">
        <f t="shared" ref="C148:H148" si="110">C149+C152</f>
        <v>5487</v>
      </c>
      <c r="D148" s="177">
        <f t="shared" si="110"/>
        <v>3113</v>
      </c>
      <c r="E148" s="177">
        <f t="shared" si="110"/>
        <v>13860</v>
      </c>
      <c r="F148" s="177">
        <f t="shared" si="110"/>
        <v>14694</v>
      </c>
      <c r="G148" s="177">
        <f t="shared" si="110"/>
        <v>16870</v>
      </c>
      <c r="H148" s="177">
        <f t="shared" si="110"/>
        <v>16261</v>
      </c>
      <c r="I148" s="178">
        <f>IFERROR(H148/G148-1,"-")</f>
        <v>-3.6099585062240647E-2</v>
      </c>
      <c r="J148" s="178">
        <f t="shared" ref="J148:J160" si="111">H148/H$8</f>
        <v>4.3620668379911048E-2</v>
      </c>
      <c r="K148" s="177">
        <f t="shared" ref="K148:P148" si="112">K149+K152</f>
        <v>16907</v>
      </c>
      <c r="L148" s="177">
        <f t="shared" si="112"/>
        <v>19017</v>
      </c>
      <c r="M148" s="177">
        <f t="shared" si="112"/>
        <v>37631</v>
      </c>
      <c r="N148" s="177">
        <f t="shared" si="112"/>
        <v>39860</v>
      </c>
      <c r="O148" s="177">
        <f t="shared" si="112"/>
        <v>39612</v>
      </c>
      <c r="P148" s="177">
        <f t="shared" si="112"/>
        <v>37470</v>
      </c>
      <c r="Q148" s="178">
        <f>IFERROR(P148/O148-1,"-")</f>
        <v>-5.4074522871856989E-2</v>
      </c>
      <c r="R148" s="178">
        <f t="shared" ref="R148:R160" si="113">P148/P$8</f>
        <v>2.2242998976002848E-2</v>
      </c>
      <c r="S148" s="177">
        <f>S149+S152</f>
        <v>22394</v>
      </c>
      <c r="T148" s="177">
        <f>T149+T152</f>
        <v>51491</v>
      </c>
      <c r="U148" s="177">
        <f>U149+U152</f>
        <v>54554</v>
      </c>
      <c r="V148" s="177">
        <f>V149+V152</f>
        <v>56482</v>
      </c>
      <c r="W148" s="177">
        <f>W149+W152</f>
        <v>53731</v>
      </c>
      <c r="X148" s="178">
        <f>IFERROR(W148/V148-1,"-")</f>
        <v>-4.8705782373145379E-2</v>
      </c>
      <c r="Y148" s="178">
        <f>W148/W$8</f>
        <v>2.6116517454190011E-2</v>
      </c>
    </row>
    <row r="149" spans="1:25" x14ac:dyDescent="0.25">
      <c r="A149" s="57"/>
      <c r="B149" s="160" t="s">
        <v>99</v>
      </c>
      <c r="C149" s="161">
        <v>3443</v>
      </c>
      <c r="D149" s="161">
        <v>1543</v>
      </c>
      <c r="E149" s="161">
        <v>8280</v>
      </c>
      <c r="F149" s="161">
        <v>9548</v>
      </c>
      <c r="G149" s="161">
        <v>9005</v>
      </c>
      <c r="H149" s="161">
        <v>8151</v>
      </c>
      <c r="I149" s="162">
        <f>IFERROR(H149/G149-1,"-")</f>
        <v>-9.4836202109938927E-2</v>
      </c>
      <c r="J149" s="162">
        <f t="shared" si="111"/>
        <v>2.1865326115531328E-2</v>
      </c>
      <c r="K149" s="161">
        <v>4415</v>
      </c>
      <c r="L149" s="161">
        <v>13948</v>
      </c>
      <c r="M149" s="161">
        <v>19286</v>
      </c>
      <c r="N149" s="161">
        <v>18369</v>
      </c>
      <c r="O149" s="161">
        <v>16168</v>
      </c>
      <c r="P149" s="161">
        <v>14375</v>
      </c>
      <c r="Q149" s="162">
        <f>IFERROR(P149/O149-1,"-")</f>
        <v>-0.11089807026224641</v>
      </c>
      <c r="R149" s="162">
        <f t="shared" si="113"/>
        <v>8.5333095884718695E-3</v>
      </c>
      <c r="S149" s="161">
        <v>7858</v>
      </c>
      <c r="T149" s="161">
        <v>27566</v>
      </c>
      <c r="U149" s="161">
        <v>27917</v>
      </c>
      <c r="V149" s="161">
        <v>25173</v>
      </c>
      <c r="W149" s="161">
        <v>22526</v>
      </c>
      <c r="X149" s="162">
        <f>IFERROR(W149/V149-1,"-")</f>
        <v>-0.10515234576729038</v>
      </c>
      <c r="Y149" s="162">
        <f>W149/W$8</f>
        <v>1.09489991284935E-2</v>
      </c>
    </row>
    <row r="150" spans="1:25" x14ac:dyDescent="0.25">
      <c r="A150" s="57"/>
      <c r="B150" s="164" t="s">
        <v>105</v>
      </c>
      <c r="C150" s="165">
        <v>545</v>
      </c>
      <c r="D150" s="165">
        <v>997</v>
      </c>
      <c r="E150" s="165">
        <v>2273</v>
      </c>
      <c r="F150" s="165">
        <v>2218</v>
      </c>
      <c r="G150" s="165">
        <v>1936</v>
      </c>
      <c r="H150" s="165">
        <v>2365</v>
      </c>
      <c r="I150" s="166">
        <f>IFERROR(H150/G150-1,"-")</f>
        <v>0.22159090909090917</v>
      </c>
      <c r="J150" s="166">
        <f t="shared" si="111"/>
        <v>6.3441904383795353E-3</v>
      </c>
      <c r="K150" s="165">
        <v>3315</v>
      </c>
      <c r="L150" s="165">
        <v>12585</v>
      </c>
      <c r="M150" s="165">
        <v>16947</v>
      </c>
      <c r="N150" s="165">
        <v>17220</v>
      </c>
      <c r="O150" s="165">
        <v>15163</v>
      </c>
      <c r="P150" s="165">
        <v>12196</v>
      </c>
      <c r="Q150" s="166">
        <f>IFERROR(P150/O150-1,"-")</f>
        <v>-0.19567367935105195</v>
      </c>
      <c r="R150" s="166">
        <f t="shared" si="113"/>
        <v>7.239808260243682E-3</v>
      </c>
      <c r="S150" s="165">
        <v>3860</v>
      </c>
      <c r="T150" s="165">
        <v>19220</v>
      </c>
      <c r="U150" s="165">
        <v>19438</v>
      </c>
      <c r="V150" s="165">
        <v>17099</v>
      </c>
      <c r="W150" s="165">
        <v>14561</v>
      </c>
      <c r="X150" s="166">
        <f>IFERROR(W150/V150-1,"-")</f>
        <v>-0.14842973273290838</v>
      </c>
      <c r="Y150" s="166">
        <f>W150/W$8</f>
        <v>7.0775271379736231E-3</v>
      </c>
    </row>
    <row r="151" spans="1:25" x14ac:dyDescent="0.25">
      <c r="A151" s="57"/>
      <c r="B151" s="164" t="s">
        <v>102</v>
      </c>
      <c r="C151" s="165">
        <v>2898</v>
      </c>
      <c r="D151" s="165">
        <v>546</v>
      </c>
      <c r="E151" s="165">
        <v>6007</v>
      </c>
      <c r="F151" s="165">
        <v>7330</v>
      </c>
      <c r="G151" s="165">
        <v>7069</v>
      </c>
      <c r="H151" s="165">
        <v>5786</v>
      </c>
      <c r="I151" s="166">
        <f>IFERROR(H151/G151-1,"-")</f>
        <v>-0.1814966756259726</v>
      </c>
      <c r="J151" s="166">
        <f t="shared" si="111"/>
        <v>1.5521135677151793E-2</v>
      </c>
      <c r="K151" s="165">
        <v>1100</v>
      </c>
      <c r="L151" s="165">
        <v>1363</v>
      </c>
      <c r="M151" s="165">
        <v>2339</v>
      </c>
      <c r="N151" s="165">
        <v>1149</v>
      </c>
      <c r="O151" s="165">
        <v>1005</v>
      </c>
      <c r="P151" s="165">
        <v>2179</v>
      </c>
      <c r="Q151" s="166">
        <f>IFERROR(P151/O151-1,"-")</f>
        <v>1.1681592039800996</v>
      </c>
      <c r="R151" s="166">
        <f t="shared" si="113"/>
        <v>1.2935013282281882E-3</v>
      </c>
      <c r="S151" s="165">
        <v>3998</v>
      </c>
      <c r="T151" s="165">
        <v>8346</v>
      </c>
      <c r="U151" s="165">
        <v>8479</v>
      </c>
      <c r="V151" s="165">
        <v>8074</v>
      </c>
      <c r="W151" s="165">
        <v>7965</v>
      </c>
      <c r="X151" s="166">
        <f>IFERROR(W151/V151-1,"-")</f>
        <v>-1.350012385434729E-2</v>
      </c>
      <c r="Y151" s="166">
        <f>W151/W$8</f>
        <v>3.8714719905198758E-3</v>
      </c>
    </row>
    <row r="152" spans="1:25" x14ac:dyDescent="0.25">
      <c r="A152" s="57"/>
      <c r="B152" s="160" t="s">
        <v>109</v>
      </c>
      <c r="C152" s="161">
        <v>2044</v>
      </c>
      <c r="D152" s="161">
        <v>1570</v>
      </c>
      <c r="E152" s="161">
        <v>5580</v>
      </c>
      <c r="F152" s="161">
        <v>5146</v>
      </c>
      <c r="G152" s="161">
        <v>7865</v>
      </c>
      <c r="H152" s="161">
        <v>8110</v>
      </c>
      <c r="I152" s="162">
        <f>IFERROR(H152/G152-1,"-")</f>
        <v>3.1150667514303843E-2</v>
      </c>
      <c r="J152" s="162">
        <f t="shared" si="111"/>
        <v>2.1755342264379716E-2</v>
      </c>
      <c r="K152" s="161">
        <v>12492</v>
      </c>
      <c r="L152" s="161">
        <v>5069</v>
      </c>
      <c r="M152" s="161">
        <v>18345</v>
      </c>
      <c r="N152" s="161">
        <v>21491</v>
      </c>
      <c r="O152" s="161">
        <v>23444</v>
      </c>
      <c r="P152" s="161">
        <v>23095</v>
      </c>
      <c r="Q152" s="162">
        <f>IFERROR(P152/O152-1,"-")</f>
        <v>-1.4886538133424332E-2</v>
      </c>
      <c r="R152" s="162">
        <f t="shared" si="113"/>
        <v>1.370968938753098E-2</v>
      </c>
      <c r="S152" s="161">
        <v>14536</v>
      </c>
      <c r="T152" s="161">
        <v>23925</v>
      </c>
      <c r="U152" s="161">
        <v>26637</v>
      </c>
      <c r="V152" s="161">
        <v>31309</v>
      </c>
      <c r="W152" s="161">
        <v>31205</v>
      </c>
      <c r="X152" s="162">
        <f>IFERROR(W152/V152-1,"-")</f>
        <v>-3.3217285764476356E-3</v>
      </c>
      <c r="Y152" s="162">
        <f>W152/W$8</f>
        <v>1.5167518325696513E-2</v>
      </c>
    </row>
    <row r="153" spans="1:25" s="57" customFormat="1" x14ac:dyDescent="0.25">
      <c r="B153" s="164" t="s">
        <v>112</v>
      </c>
      <c r="C153" s="165">
        <v>267</v>
      </c>
      <c r="D153" s="165">
        <v>76</v>
      </c>
      <c r="E153" s="165">
        <v>525</v>
      </c>
      <c r="F153" s="165">
        <v>410</v>
      </c>
      <c r="G153" s="165">
        <v>700</v>
      </c>
      <c r="H153" s="165">
        <v>689</v>
      </c>
      <c r="I153" s="166">
        <f t="shared" ref="I153:I160" si="114">IFERROR(H153/G153-1,"-")</f>
        <v>-1.5714285714285681E-2</v>
      </c>
      <c r="J153" s="166">
        <f t="shared" si="111"/>
        <v>1.848265205938055E-3</v>
      </c>
      <c r="K153" s="165">
        <v>4639</v>
      </c>
      <c r="L153" s="165">
        <v>178</v>
      </c>
      <c r="M153" s="165">
        <v>8155</v>
      </c>
      <c r="N153" s="165">
        <v>8955</v>
      </c>
      <c r="O153" s="165">
        <v>9720</v>
      </c>
      <c r="P153" s="165">
        <v>8002</v>
      </c>
      <c r="Q153" s="166">
        <f t="shared" ref="Q153:Q160" si="115">IFERROR(P153/O153-1,"-")</f>
        <v>-0.17674897119341559</v>
      </c>
      <c r="R153" s="166">
        <f t="shared" si="113"/>
        <v>4.7501595357879586E-3</v>
      </c>
      <c r="S153" s="165">
        <v>4906</v>
      </c>
      <c r="T153" s="165">
        <v>8680</v>
      </c>
      <c r="U153" s="165">
        <v>9365</v>
      </c>
      <c r="V153" s="165">
        <v>10420</v>
      </c>
      <c r="W153" s="165">
        <v>8691</v>
      </c>
      <c r="X153" s="166">
        <f t="shared" ref="X153:X160" si="116">IFERROR(W153/V153-1,"-")</f>
        <v>-0.16593090211132433</v>
      </c>
      <c r="Y153" s="166">
        <f t="shared" ref="Y153:Y160" si="117">W153/W$8</f>
        <v>4.2243519233657548E-3</v>
      </c>
    </row>
    <row r="154" spans="1:25" s="57" customFormat="1" x14ac:dyDescent="0.25">
      <c r="B154" s="164" t="s">
        <v>115</v>
      </c>
      <c r="C154" s="165">
        <v>395</v>
      </c>
      <c r="D154" s="165">
        <v>245</v>
      </c>
      <c r="E154" s="165">
        <v>1106</v>
      </c>
      <c r="F154" s="165">
        <v>1137</v>
      </c>
      <c r="G154" s="165">
        <v>1589</v>
      </c>
      <c r="H154" s="165">
        <v>1521</v>
      </c>
      <c r="I154" s="166">
        <f t="shared" si="114"/>
        <v>-4.279421019509122E-2</v>
      </c>
      <c r="J154" s="166">
        <f t="shared" si="111"/>
        <v>4.0801326244292915E-3</v>
      </c>
      <c r="K154" s="165">
        <v>3440</v>
      </c>
      <c r="L154" s="165">
        <v>990</v>
      </c>
      <c r="M154" s="165">
        <v>4102</v>
      </c>
      <c r="N154" s="165">
        <v>3927</v>
      </c>
      <c r="O154" s="165">
        <v>3720</v>
      </c>
      <c r="P154" s="165">
        <v>3717</v>
      </c>
      <c r="Q154" s="166">
        <f t="shared" si="115"/>
        <v>-8.064516129032695E-4</v>
      </c>
      <c r="R154" s="166">
        <f t="shared" si="113"/>
        <v>2.2064912515026044E-3</v>
      </c>
      <c r="S154" s="165">
        <v>3835</v>
      </c>
      <c r="T154" s="165">
        <v>5208</v>
      </c>
      <c r="U154" s="165">
        <v>5064</v>
      </c>
      <c r="V154" s="165">
        <v>5309</v>
      </c>
      <c r="W154" s="165">
        <v>5238</v>
      </c>
      <c r="X154" s="166">
        <f t="shared" si="116"/>
        <v>-1.3373516669806018E-2</v>
      </c>
      <c r="Y154" s="166">
        <f t="shared" si="117"/>
        <v>2.5459849700367999E-3</v>
      </c>
    </row>
    <row r="155" spans="1:25" x14ac:dyDescent="0.25">
      <c r="A155" s="57"/>
      <c r="B155" s="164" t="s">
        <v>118</v>
      </c>
      <c r="C155" s="165">
        <v>268</v>
      </c>
      <c r="D155" s="165">
        <v>387</v>
      </c>
      <c r="E155" s="165">
        <v>1014</v>
      </c>
      <c r="F155" s="165">
        <v>940</v>
      </c>
      <c r="G155" s="165">
        <v>1332</v>
      </c>
      <c r="H155" s="165">
        <v>1366</v>
      </c>
      <c r="I155" s="166">
        <f t="shared" si="114"/>
        <v>2.5525525525525561E-2</v>
      </c>
      <c r="J155" s="166">
        <f t="shared" si="111"/>
        <v>3.6643400164171015E-3</v>
      </c>
      <c r="K155" s="165">
        <v>1433</v>
      </c>
      <c r="L155" s="165">
        <v>1576</v>
      </c>
      <c r="M155" s="165">
        <v>1747</v>
      </c>
      <c r="N155" s="165">
        <v>3085</v>
      </c>
      <c r="O155" s="165">
        <v>3732</v>
      </c>
      <c r="P155" s="165">
        <v>5838</v>
      </c>
      <c r="Q155" s="166">
        <f t="shared" si="115"/>
        <v>0.56430868167202575</v>
      </c>
      <c r="R155" s="166">
        <f t="shared" si="113"/>
        <v>3.4655625306086106E-3</v>
      </c>
      <c r="S155" s="165">
        <v>1701</v>
      </c>
      <c r="T155" s="165">
        <v>2761</v>
      </c>
      <c r="U155" s="165">
        <v>4025</v>
      </c>
      <c r="V155" s="165">
        <v>5064</v>
      </c>
      <c r="W155" s="165">
        <v>7204</v>
      </c>
      <c r="X155" s="166">
        <f t="shared" si="116"/>
        <v>0.42259083728278046</v>
      </c>
      <c r="Y155" s="166">
        <f t="shared" si="117"/>
        <v>3.5015799396993326E-3</v>
      </c>
    </row>
    <row r="156" spans="1:25" x14ac:dyDescent="0.25">
      <c r="A156" s="57"/>
      <c r="B156" s="164" t="s">
        <v>125</v>
      </c>
      <c r="C156" s="165">
        <v>189</v>
      </c>
      <c r="D156" s="165">
        <v>75</v>
      </c>
      <c r="E156" s="165">
        <v>348</v>
      </c>
      <c r="F156" s="165">
        <v>340</v>
      </c>
      <c r="G156" s="165">
        <v>486</v>
      </c>
      <c r="H156" s="165">
        <v>551</v>
      </c>
      <c r="I156" s="166">
        <f t="shared" si="114"/>
        <v>0.13374485596707819</v>
      </c>
      <c r="J156" s="166">
        <f t="shared" si="111"/>
        <v>1.4780756581594604E-3</v>
      </c>
      <c r="K156" s="165">
        <v>306</v>
      </c>
      <c r="L156" s="165">
        <v>162</v>
      </c>
      <c r="M156" s="165">
        <v>399</v>
      </c>
      <c r="N156" s="165">
        <v>398</v>
      </c>
      <c r="O156" s="165">
        <v>576</v>
      </c>
      <c r="P156" s="165">
        <v>541</v>
      </c>
      <c r="Q156" s="166">
        <f t="shared" si="115"/>
        <v>-6.076388888888884E-2</v>
      </c>
      <c r="R156" s="166">
        <f t="shared" si="113"/>
        <v>3.21149251294837E-4</v>
      </c>
      <c r="S156" s="165">
        <v>495</v>
      </c>
      <c r="T156" s="165">
        <v>747</v>
      </c>
      <c r="U156" s="165">
        <v>738</v>
      </c>
      <c r="V156" s="165">
        <v>1062</v>
      </c>
      <c r="W156" s="165">
        <v>1092</v>
      </c>
      <c r="X156" s="166">
        <f t="shared" si="116"/>
        <v>2.8248587570621542E-2</v>
      </c>
      <c r="Y156" s="166">
        <f t="shared" si="117"/>
        <v>5.3077808080950457E-4</v>
      </c>
    </row>
    <row r="157" spans="1:25" x14ac:dyDescent="0.25">
      <c r="A157" s="57"/>
      <c r="B157" s="164" t="s">
        <v>121</v>
      </c>
      <c r="C157" s="165">
        <v>114</v>
      </c>
      <c r="D157" s="165">
        <v>92</v>
      </c>
      <c r="E157" s="165">
        <v>249</v>
      </c>
      <c r="F157" s="165">
        <v>243</v>
      </c>
      <c r="G157" s="165">
        <v>351</v>
      </c>
      <c r="H157" s="165">
        <v>421</v>
      </c>
      <c r="I157" s="166">
        <f t="shared" si="114"/>
        <v>0.19943019943019946</v>
      </c>
      <c r="J157" s="166">
        <f t="shared" si="111"/>
        <v>1.1293463740202048E-3</v>
      </c>
      <c r="K157" s="165">
        <v>393</v>
      </c>
      <c r="L157" s="165">
        <v>190</v>
      </c>
      <c r="M157" s="165">
        <v>852</v>
      </c>
      <c r="N157" s="165">
        <v>1016</v>
      </c>
      <c r="O157" s="165">
        <v>925</v>
      </c>
      <c r="P157" s="165">
        <v>732</v>
      </c>
      <c r="Q157" s="166">
        <f t="shared" si="115"/>
        <v>-0.20864864864864863</v>
      </c>
      <c r="R157" s="166">
        <f t="shared" si="113"/>
        <v>4.3453096478340234E-4</v>
      </c>
      <c r="S157" s="165">
        <v>507</v>
      </c>
      <c r="T157" s="165">
        <v>1101</v>
      </c>
      <c r="U157" s="165">
        <v>1259</v>
      </c>
      <c r="V157" s="165">
        <v>1276</v>
      </c>
      <c r="W157" s="165">
        <v>1153</v>
      </c>
      <c r="X157" s="166">
        <f t="shared" si="116"/>
        <v>-9.6394984326018784E-2</v>
      </c>
      <c r="Y157" s="166">
        <f t="shared" si="117"/>
        <v>5.6042777213677548E-4</v>
      </c>
    </row>
    <row r="158" spans="1:25" x14ac:dyDescent="0.25">
      <c r="A158" s="57"/>
      <c r="B158" s="164" t="s">
        <v>130</v>
      </c>
      <c r="C158" s="165">
        <v>42</v>
      </c>
      <c r="D158" s="165">
        <v>16</v>
      </c>
      <c r="E158" s="165">
        <v>72</v>
      </c>
      <c r="F158" s="165">
        <v>67</v>
      </c>
      <c r="G158" s="165">
        <v>62</v>
      </c>
      <c r="H158" s="165">
        <v>50</v>
      </c>
      <c r="I158" s="166">
        <f t="shared" si="114"/>
        <v>-0.19354838709677424</v>
      </c>
      <c r="J158" s="166">
        <f t="shared" si="111"/>
        <v>1.3412664774586756E-4</v>
      </c>
      <c r="K158" s="165">
        <v>167</v>
      </c>
      <c r="L158" s="165">
        <v>8</v>
      </c>
      <c r="M158" s="165">
        <v>169</v>
      </c>
      <c r="N158" s="165">
        <v>169</v>
      </c>
      <c r="O158" s="165">
        <v>196</v>
      </c>
      <c r="P158" s="165">
        <v>138</v>
      </c>
      <c r="Q158" s="166">
        <f t="shared" si="115"/>
        <v>-0.29591836734693877</v>
      </c>
      <c r="R158" s="166">
        <f t="shared" si="113"/>
        <v>8.1919772049329943E-5</v>
      </c>
      <c r="S158" s="165">
        <v>209</v>
      </c>
      <c r="T158" s="165">
        <v>241</v>
      </c>
      <c r="U158" s="165">
        <v>236</v>
      </c>
      <c r="V158" s="165">
        <v>258</v>
      </c>
      <c r="W158" s="165">
        <v>188</v>
      </c>
      <c r="X158" s="166">
        <f t="shared" si="116"/>
        <v>-0.27131782945736438</v>
      </c>
      <c r="Y158" s="166">
        <f t="shared" si="117"/>
        <v>9.1379376549621677E-5</v>
      </c>
    </row>
    <row r="159" spans="1:25" x14ac:dyDescent="0.25">
      <c r="A159" s="57"/>
      <c r="B159" s="164" t="s">
        <v>133</v>
      </c>
      <c r="C159" s="165">
        <v>56</v>
      </c>
      <c r="D159" s="165">
        <v>21</v>
      </c>
      <c r="E159" s="165">
        <v>56</v>
      </c>
      <c r="F159" s="165">
        <v>46</v>
      </c>
      <c r="G159" s="165">
        <v>44</v>
      </c>
      <c r="H159" s="165">
        <v>53</v>
      </c>
      <c r="I159" s="166">
        <f t="shared" si="114"/>
        <v>0.20454545454545459</v>
      </c>
      <c r="J159" s="166">
        <f t="shared" si="111"/>
        <v>1.421742466106196E-4</v>
      </c>
      <c r="K159" s="165">
        <v>221</v>
      </c>
      <c r="L159" s="165">
        <v>41</v>
      </c>
      <c r="M159" s="165">
        <v>326</v>
      </c>
      <c r="N159" s="165">
        <v>450</v>
      </c>
      <c r="O159" s="165">
        <v>323</v>
      </c>
      <c r="P159" s="165">
        <v>211</v>
      </c>
      <c r="Q159" s="166">
        <f t="shared" si="115"/>
        <v>-0.34674922600619196</v>
      </c>
      <c r="R159" s="166">
        <f t="shared" si="113"/>
        <v>1.2525414422035231E-4</v>
      </c>
      <c r="S159" s="165">
        <v>277</v>
      </c>
      <c r="T159" s="165">
        <v>382</v>
      </c>
      <c r="U159" s="165">
        <v>496</v>
      </c>
      <c r="V159" s="165">
        <v>367</v>
      </c>
      <c r="W159" s="165">
        <v>264</v>
      </c>
      <c r="X159" s="166">
        <f t="shared" si="116"/>
        <v>-0.28065395095367851</v>
      </c>
      <c r="Y159" s="166">
        <f t="shared" si="117"/>
        <v>1.2831997558031979E-4</v>
      </c>
    </row>
    <row r="160" spans="1:25" x14ac:dyDescent="0.25">
      <c r="A160" s="57"/>
      <c r="B160" s="169" t="s">
        <v>147</v>
      </c>
      <c r="C160" s="170">
        <f t="shared" ref="C160" si="118">C152-SUM(C153:C159)</f>
        <v>713</v>
      </c>
      <c r="D160" s="170">
        <f t="shared" ref="D160:H160" si="119">D152-SUM(D153:D159)</f>
        <v>658</v>
      </c>
      <c r="E160" s="170">
        <f t="shared" si="119"/>
        <v>2210</v>
      </c>
      <c r="F160" s="170">
        <f t="shared" si="119"/>
        <v>1963</v>
      </c>
      <c r="G160" s="170">
        <f t="shared" si="119"/>
        <v>3301</v>
      </c>
      <c r="H160" s="170">
        <f t="shared" si="119"/>
        <v>3459</v>
      </c>
      <c r="I160" s="171">
        <f t="shared" si="114"/>
        <v>4.7864283550439257E-2</v>
      </c>
      <c r="J160" s="171">
        <f t="shared" si="111"/>
        <v>9.278881491059118E-3</v>
      </c>
      <c r="K160" s="170">
        <f t="shared" ref="K160:P160" si="120">K152-SUM(K153:K159)</f>
        <v>1893</v>
      </c>
      <c r="L160" s="170">
        <f t="shared" si="120"/>
        <v>1924</v>
      </c>
      <c r="M160" s="170">
        <f t="shared" si="120"/>
        <v>2595</v>
      </c>
      <c r="N160" s="170">
        <f t="shared" si="120"/>
        <v>3491</v>
      </c>
      <c r="O160" s="170">
        <f t="shared" si="120"/>
        <v>4252</v>
      </c>
      <c r="P160" s="170">
        <f t="shared" si="120"/>
        <v>3916</v>
      </c>
      <c r="Q160" s="171">
        <f t="shared" si="115"/>
        <v>-7.902163687676389E-2</v>
      </c>
      <c r="R160" s="171">
        <f t="shared" si="113"/>
        <v>2.3246219372838849E-3</v>
      </c>
      <c r="S160" s="170">
        <f>S152-SUM(S153:S159)</f>
        <v>2606</v>
      </c>
      <c r="T160" s="170">
        <f>T152-SUM(T153:T159)</f>
        <v>4805</v>
      </c>
      <c r="U160" s="170">
        <f>U152-SUM(U153:U159)</f>
        <v>5454</v>
      </c>
      <c r="V160" s="170">
        <f>V152-SUM(V153:V159)</f>
        <v>7553</v>
      </c>
      <c r="W160" s="170">
        <f>W152-SUM(W153:W159)</f>
        <v>7375</v>
      </c>
      <c r="X160" s="171">
        <f t="shared" si="116"/>
        <v>-2.3566794651131984E-2</v>
      </c>
      <c r="Y160" s="171">
        <f t="shared" si="117"/>
        <v>3.5846962875184037E-3</v>
      </c>
    </row>
    <row r="161" spans="1:25" ht="6" customHeight="1" x14ac:dyDescent="0.25">
      <c r="A161" s="57"/>
      <c r="C161" s="81"/>
      <c r="D161" s="81"/>
      <c r="E161" s="81"/>
      <c r="F161" s="81"/>
      <c r="G161" s="81"/>
      <c r="H161" s="81"/>
      <c r="I161" s="81"/>
      <c r="K161" s="81"/>
      <c r="L161" s="81"/>
      <c r="M161" s="81"/>
      <c r="N161" s="81"/>
      <c r="O161" s="81"/>
      <c r="P161" s="81"/>
      <c r="Q161" s="81"/>
      <c r="S161" s="81"/>
      <c r="T161" s="81"/>
      <c r="U161" s="81"/>
      <c r="V161" s="81"/>
      <c r="W161" s="81"/>
      <c r="X161" s="81"/>
    </row>
    <row r="162" spans="1:25" ht="6" customHeight="1" x14ac:dyDescent="0.25">
      <c r="A162" s="57"/>
      <c r="B162" s="172"/>
      <c r="C162" s="172"/>
      <c r="D162" s="172"/>
      <c r="E162" s="172"/>
      <c r="F162" s="172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</row>
    <row r="163" spans="1:25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</row>
  </sheetData>
  <mergeCells count="3">
    <mergeCell ref="C5:J5"/>
    <mergeCell ref="K5:R5"/>
    <mergeCell ref="S5:Y5"/>
  </mergeCells>
  <pageMargins left="0.25" right="0.25" top="0.75" bottom="0.75" header="0.3" footer="0.3"/>
  <pageSetup paperSize="9" scale="2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6C15A-AEC6-41A9-AF8B-8F3580FEDD9B}">
  <sheetPr>
    <tabColor theme="7" tint="0.79998168889431442"/>
    <pageSetUpPr fitToPage="1"/>
  </sheetPr>
  <dimension ref="A1:Z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26" width="10.5703125" customWidth="1"/>
  </cols>
  <sheetData>
    <row r="1" spans="1:26" ht="42.75" customHeight="1" x14ac:dyDescent="0.25"/>
    <row r="4" spans="1:26" ht="42" customHeight="1" thickBot="1" x14ac:dyDescent="0.3">
      <c r="B4" s="66" t="str">
        <f>CONCATENATE("Viajeros entrados en los establecimientos hoteleros de Tenerife según lugar de residencia, categoría y municipio del alojamiento")</f>
        <v>Viajeros entrados en los establecimientos hoteleros de Tenerife según lugar de residencia, categoría y municipio del alojamiento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</row>
    <row r="5" spans="1:26" ht="6" customHeight="1" x14ac:dyDescent="0.25"/>
    <row r="6" spans="1:26" ht="15.75" x14ac:dyDescent="0.25">
      <c r="B6" s="185"/>
      <c r="C6" s="311" t="s">
        <v>64</v>
      </c>
      <c r="D6" s="312"/>
      <c r="E6" s="312"/>
      <c r="F6" s="312"/>
      <c r="G6" s="312"/>
      <c r="H6" s="312"/>
      <c r="I6" s="312"/>
      <c r="J6" s="312"/>
      <c r="K6" s="311" t="s">
        <v>63</v>
      </c>
      <c r="L6" s="312"/>
      <c r="M6" s="312"/>
      <c r="N6" s="312"/>
      <c r="O6" s="312"/>
      <c r="P6" s="312"/>
      <c r="Q6" s="312"/>
      <c r="R6" s="312"/>
      <c r="S6" s="311" t="s">
        <v>139</v>
      </c>
      <c r="T6" s="312"/>
      <c r="U6" s="312"/>
      <c r="V6" s="312"/>
      <c r="W6" s="312"/>
      <c r="X6" s="312"/>
      <c r="Y6" s="312"/>
      <c r="Z6" s="312"/>
    </row>
    <row r="7" spans="1:26" s="147" customFormat="1" ht="72" customHeight="1" x14ac:dyDescent="0.25">
      <c r="B7" s="148"/>
      <c r="C7" s="186">
        <f>D7-1</f>
        <v>2020</v>
      </c>
      <c r="D7" s="186">
        <f>E7-1</f>
        <v>2021</v>
      </c>
      <c r="E7" s="186">
        <f>F7-1</f>
        <v>2022</v>
      </c>
      <c r="F7" s="186">
        <f>G7-1</f>
        <v>2023</v>
      </c>
      <c r="G7" s="186">
        <v>2024</v>
      </c>
      <c r="H7" s="174" t="str">
        <f>CONCATENATE("var. ",RIGHT(G7,2),"/",RIGHT(F7,2))</f>
        <v>var. 24/23</v>
      </c>
      <c r="I7" s="174" t="str">
        <f>CONCATENATE("var. ",RIGHT(G7,2),"/",RIGHT(C7,2))</f>
        <v>var. 24/20</v>
      </c>
      <c r="J7" s="174" t="str">
        <f>CONCATENATE("Cuota s/ total lugares de residencia ",RIGHT(G7,4))</f>
        <v>Cuota s/ total lugares de residencia 2024</v>
      </c>
      <c r="K7" s="186">
        <f>L7-1</f>
        <v>2020</v>
      </c>
      <c r="L7" s="186">
        <f>M7-1</f>
        <v>2021</v>
      </c>
      <c r="M7" s="186">
        <f>N7-1</f>
        <v>2022</v>
      </c>
      <c r="N7" s="186">
        <f>O7-1</f>
        <v>2023</v>
      </c>
      <c r="O7" s="186">
        <v>2024</v>
      </c>
      <c r="P7" s="174" t="str">
        <f>CONCATENATE("var. ",RIGHT(O7,2),"/",RIGHT(N7,2))</f>
        <v>var. 24/23</v>
      </c>
      <c r="Q7" s="174" t="str">
        <f>CONCATENATE("var. ",RIGHT(O7,2),"/",RIGHT(K7,2))</f>
        <v>var. 24/20</v>
      </c>
      <c r="R7" s="174" t="str">
        <f>CONCATENATE("Cuota s/ total lugares de residencia ",RIGHT(O7,4))</f>
        <v>Cuota s/ total lugares de residencia 2024</v>
      </c>
      <c r="S7" s="186">
        <f>T7-1</f>
        <v>2020</v>
      </c>
      <c r="T7" s="186">
        <f>U7-1</f>
        <v>2021</v>
      </c>
      <c r="U7" s="186">
        <f>V7-1</f>
        <v>2022</v>
      </c>
      <c r="V7" s="186">
        <f>W7-1</f>
        <v>2023</v>
      </c>
      <c r="W7" s="186">
        <v>2024</v>
      </c>
      <c r="X7" s="174" t="str">
        <f>CONCATENATE("var. ",RIGHT(W7,2),"/",RIGHT(V7,2))</f>
        <v>var. 24/23</v>
      </c>
      <c r="Y7" s="174" t="str">
        <f>CONCATENATE("var. ",RIGHT(W7,2),"/",RIGHT(S7,2))</f>
        <v>var. 24/20</v>
      </c>
      <c r="Z7" s="174" t="str">
        <f>CONCATENATE("Cuota s/ total lugares de residencia ",RIGHT(U7,4))</f>
        <v>Cuota s/ total lugares de residencia 2022</v>
      </c>
    </row>
    <row r="8" spans="1:26" x14ac:dyDescent="0.25">
      <c r="A8" s="1"/>
      <c r="B8" s="153" t="s">
        <v>45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</row>
    <row r="9" spans="1:26" x14ac:dyDescent="0.25">
      <c r="A9" s="1" t="s">
        <v>0</v>
      </c>
      <c r="B9" s="157" t="s">
        <v>70</v>
      </c>
      <c r="C9" s="177">
        <f>C10+C13</f>
        <v>244233</v>
      </c>
      <c r="D9" s="177">
        <f>D10+D13</f>
        <v>332855</v>
      </c>
      <c r="E9" s="177">
        <f>E10+E13</f>
        <v>672483</v>
      </c>
      <c r="F9" s="177">
        <f>F10+F13</f>
        <v>738404</v>
      </c>
      <c r="G9" s="177">
        <f>G10+G13</f>
        <v>758810</v>
      </c>
      <c r="H9" s="178">
        <f>IFERROR(G9/F9-1,"-")</f>
        <v>2.763527824876344E-2</v>
      </c>
      <c r="I9" s="178">
        <f>IFERROR(G9/C9-1,"-")</f>
        <v>2.1069102045997061</v>
      </c>
      <c r="J9" s="178">
        <f>G9/G$9</f>
        <v>1</v>
      </c>
      <c r="K9" s="177">
        <f>K10+K13</f>
        <v>956053</v>
      </c>
      <c r="L9" s="177">
        <f>L10+L13</f>
        <v>1525176</v>
      </c>
      <c r="M9" s="177">
        <f>M10+M13</f>
        <v>3104390</v>
      </c>
      <c r="N9" s="177">
        <f>N10+N13</f>
        <v>3350154</v>
      </c>
      <c r="O9" s="177">
        <f>O10+O13</f>
        <v>3520830</v>
      </c>
      <c r="P9" s="178">
        <f>IFERROR(O9/N9-1,"-")</f>
        <v>5.0945717719245165E-2</v>
      </c>
      <c r="Q9" s="178">
        <f>IFERROR(O9/K9-1,"-")</f>
        <v>2.6826724041449586</v>
      </c>
      <c r="R9" s="178">
        <f>O9/O$9</f>
        <v>1</v>
      </c>
      <c r="S9" s="177">
        <f>S10+S13</f>
        <v>1200286</v>
      </c>
      <c r="T9" s="177">
        <f>T10+T13</f>
        <v>1858031</v>
      </c>
      <c r="U9" s="177">
        <f>U10+U13</f>
        <v>3776873</v>
      </c>
      <c r="V9" s="177">
        <f>V10+V13</f>
        <v>4088558</v>
      </c>
      <c r="W9" s="177">
        <f>W10+W13</f>
        <v>4279640</v>
      </c>
      <c r="X9" s="178">
        <f>IFERROR(W9/V9-1,"-")</f>
        <v>4.6735792912806939E-2</v>
      </c>
      <c r="Y9" s="178">
        <f>IFERROR(W9/S9-1,"-")</f>
        <v>2.5655168851423742</v>
      </c>
      <c r="Z9" s="178">
        <f t="shared" ref="Z9:Z21" si="0">U9/U$9</f>
        <v>1</v>
      </c>
    </row>
    <row r="10" spans="1:26" x14ac:dyDescent="0.25">
      <c r="A10" s="1" t="s">
        <v>98</v>
      </c>
      <c r="B10" s="160" t="s">
        <v>99</v>
      </c>
      <c r="C10" s="161">
        <v>79595</v>
      </c>
      <c r="D10" s="161">
        <v>119848</v>
      </c>
      <c r="E10" s="161">
        <v>173672</v>
      </c>
      <c r="F10" s="161">
        <v>206738</v>
      </c>
      <c r="G10" s="161">
        <v>212287</v>
      </c>
      <c r="H10" s="162">
        <f>IFERROR(G10/F10-1,"-")</f>
        <v>2.684073561706124E-2</v>
      </c>
      <c r="I10" s="179">
        <f t="shared" ref="I10:I73" si="1">IFERROR(G10/C10-1,"-")</f>
        <v>1.6670896413091274</v>
      </c>
      <c r="J10" s="162">
        <f>G10/G$9</f>
        <v>0.27976305003887664</v>
      </c>
      <c r="K10" s="161">
        <v>297299</v>
      </c>
      <c r="L10" s="161">
        <v>549418</v>
      </c>
      <c r="M10" s="161">
        <v>688398</v>
      </c>
      <c r="N10" s="161">
        <v>674557</v>
      </c>
      <c r="O10" s="161">
        <v>676316</v>
      </c>
      <c r="P10" s="162">
        <f>IFERROR(O10/N10-1,"-")</f>
        <v>2.6076373086336702E-3</v>
      </c>
      <c r="Q10" s="179">
        <f t="shared" ref="Q10:Q21" si="2">IFERROR(O10/K10-1,"-")</f>
        <v>1.2748680621192805</v>
      </c>
      <c r="R10" s="162">
        <f>O10/O$9</f>
        <v>0.19208993333958185</v>
      </c>
      <c r="S10" s="161">
        <v>376894</v>
      </c>
      <c r="T10" s="161">
        <v>669266</v>
      </c>
      <c r="U10" s="161">
        <v>862070</v>
      </c>
      <c r="V10" s="161">
        <v>881295</v>
      </c>
      <c r="W10" s="161">
        <v>888603</v>
      </c>
      <c r="X10" s="162">
        <f>IFERROR(W10/V10-1,"-")</f>
        <v>8.2923425186798294E-3</v>
      </c>
      <c r="Y10" s="179">
        <f t="shared" ref="Y10:Y21" si="3">IFERROR(W10/S10-1,"-")</f>
        <v>1.3577000429829078</v>
      </c>
      <c r="Z10" s="162">
        <f t="shared" si="0"/>
        <v>0.2282496657949579</v>
      </c>
    </row>
    <row r="11" spans="1:26" x14ac:dyDescent="0.25">
      <c r="A11" s="163" t="s">
        <v>105</v>
      </c>
      <c r="B11" s="164" t="s">
        <v>105</v>
      </c>
      <c r="C11" s="165">
        <v>38726</v>
      </c>
      <c r="D11" s="165">
        <v>76913</v>
      </c>
      <c r="E11" s="165">
        <v>97401</v>
      </c>
      <c r="F11" s="165">
        <v>116854</v>
      </c>
      <c r="G11" s="165">
        <v>118239</v>
      </c>
      <c r="H11" s="166">
        <f>IFERROR(G11/F11-1,"-")</f>
        <v>1.1852397008232485E-2</v>
      </c>
      <c r="I11" s="180">
        <f t="shared" si="1"/>
        <v>2.0532200588751741</v>
      </c>
      <c r="J11" s="166">
        <f>G11/G$9</f>
        <v>0.15582161542415096</v>
      </c>
      <c r="K11" s="165">
        <v>112436</v>
      </c>
      <c r="L11" s="165">
        <v>248239</v>
      </c>
      <c r="M11" s="165">
        <v>235468</v>
      </c>
      <c r="N11" s="165">
        <v>223216</v>
      </c>
      <c r="O11" s="165">
        <v>221092</v>
      </c>
      <c r="P11" s="166">
        <f>IFERROR(O11/N11-1,"-")</f>
        <v>-9.5154469213676318E-3</v>
      </c>
      <c r="Q11" s="180">
        <f t="shared" si="2"/>
        <v>0.96638087445302223</v>
      </c>
      <c r="R11" s="166">
        <f>O11/O$9</f>
        <v>6.279542039803114E-2</v>
      </c>
      <c r="S11" s="165">
        <v>151162</v>
      </c>
      <c r="T11" s="165">
        <v>325152</v>
      </c>
      <c r="U11" s="165">
        <v>332869</v>
      </c>
      <c r="V11" s="165">
        <v>340070</v>
      </c>
      <c r="W11" s="165">
        <v>339331</v>
      </c>
      <c r="X11" s="166">
        <f>IFERROR(W11/V11-1,"-")</f>
        <v>-2.1730820125268613E-3</v>
      </c>
      <c r="Y11" s="180">
        <f t="shared" si="3"/>
        <v>1.2448168190418225</v>
      </c>
      <c r="Z11" s="166">
        <f t="shared" si="0"/>
        <v>8.8133490323873742E-2</v>
      </c>
    </row>
    <row r="12" spans="1:26" x14ac:dyDescent="0.25">
      <c r="A12" s="163" t="s">
        <v>102</v>
      </c>
      <c r="B12" s="164" t="s">
        <v>102</v>
      </c>
      <c r="C12" s="165">
        <v>40869</v>
      </c>
      <c r="D12" s="165">
        <v>42935</v>
      </c>
      <c r="E12" s="165">
        <v>76271</v>
      </c>
      <c r="F12" s="165">
        <v>89884</v>
      </c>
      <c r="G12" s="165">
        <v>94048</v>
      </c>
      <c r="H12" s="166">
        <f>IFERROR(G12/F12-1,"-")</f>
        <v>4.6326376218236875E-2</v>
      </c>
      <c r="I12" s="180">
        <f t="shared" si="1"/>
        <v>1.3012062932785242</v>
      </c>
      <c r="J12" s="166">
        <f>G12/G$9</f>
        <v>0.12394143461472569</v>
      </c>
      <c r="K12" s="165">
        <v>184863</v>
      </c>
      <c r="L12" s="165">
        <v>301179</v>
      </c>
      <c r="M12" s="165">
        <v>452930</v>
      </c>
      <c r="N12" s="165">
        <v>451341</v>
      </c>
      <c r="O12" s="165">
        <v>455224</v>
      </c>
      <c r="P12" s="166">
        <f>IFERROR(O12/N12-1,"-")</f>
        <v>8.6032512003120232E-3</v>
      </c>
      <c r="Q12" s="180">
        <f t="shared" si="2"/>
        <v>1.4624938467946533</v>
      </c>
      <c r="R12" s="166">
        <f>O12/O$9</f>
        <v>0.12929451294155073</v>
      </c>
      <c r="S12" s="165">
        <v>225732</v>
      </c>
      <c r="T12" s="165">
        <v>344114</v>
      </c>
      <c r="U12" s="165">
        <v>529201</v>
      </c>
      <c r="V12" s="165">
        <v>541225</v>
      </c>
      <c r="W12" s="165">
        <v>549272</v>
      </c>
      <c r="X12" s="166">
        <f>IFERROR(W12/V12-1,"-")</f>
        <v>1.4868123238948705E-2</v>
      </c>
      <c r="Y12" s="180">
        <f t="shared" si="3"/>
        <v>1.4332925770382579</v>
      </c>
      <c r="Z12" s="166">
        <f t="shared" si="0"/>
        <v>0.14011617547108415</v>
      </c>
    </row>
    <row r="13" spans="1:26" x14ac:dyDescent="0.25">
      <c r="A13" s="1" t="s">
        <v>148</v>
      </c>
      <c r="B13" s="160" t="s">
        <v>109</v>
      </c>
      <c r="C13" s="161">
        <v>164638</v>
      </c>
      <c r="D13" s="161">
        <v>213007</v>
      </c>
      <c r="E13" s="161">
        <v>498811</v>
      </c>
      <c r="F13" s="161">
        <v>531666</v>
      </c>
      <c r="G13" s="161">
        <v>546523</v>
      </c>
      <c r="H13" s="162">
        <f>IFERROR(G13/F13-1,"-")</f>
        <v>2.7944235666753192E-2</v>
      </c>
      <c r="I13" s="179">
        <f t="shared" si="1"/>
        <v>2.3195434832784656</v>
      </c>
      <c r="J13" s="162">
        <f>G13/G$9</f>
        <v>0.72023694996112331</v>
      </c>
      <c r="K13" s="161">
        <v>658754</v>
      </c>
      <c r="L13" s="161">
        <v>975758</v>
      </c>
      <c r="M13" s="161">
        <v>2415992</v>
      </c>
      <c r="N13" s="161">
        <v>2675597</v>
      </c>
      <c r="O13" s="161">
        <v>2844514</v>
      </c>
      <c r="P13" s="162">
        <f>IFERROR(O13/N13-1,"-")</f>
        <v>6.3132452308774401E-2</v>
      </c>
      <c r="Q13" s="179">
        <f t="shared" si="2"/>
        <v>3.3180215983508257</v>
      </c>
      <c r="R13" s="162">
        <f>O13/O$9</f>
        <v>0.80791006666041809</v>
      </c>
      <c r="S13" s="161">
        <v>823392</v>
      </c>
      <c r="T13" s="161">
        <v>1188765</v>
      </c>
      <c r="U13" s="161">
        <v>2914803</v>
      </c>
      <c r="V13" s="161">
        <v>3207263</v>
      </c>
      <c r="W13" s="161">
        <v>3391037</v>
      </c>
      <c r="X13" s="162">
        <f>IFERROR(W13/V13-1,"-")</f>
        <v>5.7299323441825534E-2</v>
      </c>
      <c r="Y13" s="179">
        <f t="shared" si="3"/>
        <v>3.1183749659943256</v>
      </c>
      <c r="Z13" s="162">
        <f t="shared" si="0"/>
        <v>0.77175033420504213</v>
      </c>
    </row>
    <row r="14" spans="1:26" x14ac:dyDescent="0.25">
      <c r="A14" s="163" t="s">
        <v>112</v>
      </c>
      <c r="B14" s="164" t="s">
        <v>112</v>
      </c>
      <c r="C14" s="165">
        <v>55984</v>
      </c>
      <c r="D14" s="165">
        <v>51463</v>
      </c>
      <c r="E14" s="165">
        <v>185404</v>
      </c>
      <c r="F14" s="165">
        <v>205688</v>
      </c>
      <c r="G14" s="165">
        <v>204540</v>
      </c>
      <c r="H14" s="166">
        <f t="shared" ref="H14:H21" si="4">IFERROR(G14/F14-1,"-")</f>
        <v>-5.5812687176695075E-3</v>
      </c>
      <c r="I14" s="180">
        <f t="shared" si="1"/>
        <v>2.6535438696770508</v>
      </c>
      <c r="J14" s="166">
        <f t="shared" ref="J14:J21" si="5">G14/G$9</f>
        <v>0.26955364320449127</v>
      </c>
      <c r="K14" s="165">
        <v>260474</v>
      </c>
      <c r="L14" s="165">
        <v>284717</v>
      </c>
      <c r="M14" s="165">
        <v>1132692</v>
      </c>
      <c r="N14" s="165">
        <v>1254072</v>
      </c>
      <c r="O14" s="165">
        <v>1327265</v>
      </c>
      <c r="P14" s="166">
        <f t="shared" ref="P14:P21" si="6">IFERROR(O14/N14-1,"-")</f>
        <v>5.8364272545754936E-2</v>
      </c>
      <c r="Q14" s="180">
        <f t="shared" si="2"/>
        <v>4.0955757580411101</v>
      </c>
      <c r="R14" s="166">
        <f t="shared" ref="R14:R21" si="7">O14/O$9</f>
        <v>0.37697503145565109</v>
      </c>
      <c r="S14" s="165">
        <v>316458</v>
      </c>
      <c r="T14" s="165">
        <v>336180</v>
      </c>
      <c r="U14" s="165">
        <v>1318096</v>
      </c>
      <c r="V14" s="165">
        <v>1459760</v>
      </c>
      <c r="W14" s="165">
        <v>1531805</v>
      </c>
      <c r="X14" s="166">
        <f t="shared" ref="X14:X21" si="8">IFERROR(W14/V14-1,"-")</f>
        <v>4.9354003397818813E-2</v>
      </c>
      <c r="Y14" s="180">
        <f t="shared" si="3"/>
        <v>3.8404685613888727</v>
      </c>
      <c r="Z14" s="166">
        <f t="shared" si="0"/>
        <v>0.34899134813376037</v>
      </c>
    </row>
    <row r="15" spans="1:26" x14ac:dyDescent="0.25">
      <c r="A15" s="163" t="s">
        <v>115</v>
      </c>
      <c r="B15" s="164" t="s">
        <v>115</v>
      </c>
      <c r="C15" s="165">
        <v>24167</v>
      </c>
      <c r="D15" s="165">
        <v>38221</v>
      </c>
      <c r="E15" s="165">
        <v>64721</v>
      </c>
      <c r="F15" s="165">
        <v>72627</v>
      </c>
      <c r="G15" s="165">
        <v>73563</v>
      </c>
      <c r="H15" s="166">
        <f t="shared" si="4"/>
        <v>1.2887769011524552E-2</v>
      </c>
      <c r="I15" s="180">
        <f t="shared" si="1"/>
        <v>2.0439442214590144</v>
      </c>
      <c r="J15" s="166">
        <f t="shared" si="5"/>
        <v>9.6945216852703575E-2</v>
      </c>
      <c r="K15" s="165">
        <v>92917</v>
      </c>
      <c r="L15" s="165">
        <v>156330</v>
      </c>
      <c r="M15" s="165">
        <v>274306</v>
      </c>
      <c r="N15" s="165">
        <v>309168</v>
      </c>
      <c r="O15" s="165">
        <v>317350</v>
      </c>
      <c r="P15" s="166">
        <f t="shared" si="6"/>
        <v>2.6464575894012299E-2</v>
      </c>
      <c r="Q15" s="180">
        <f t="shared" si="2"/>
        <v>2.4154137563632059</v>
      </c>
      <c r="R15" s="166">
        <f t="shared" si="7"/>
        <v>9.0134996577511547E-2</v>
      </c>
      <c r="S15" s="165">
        <v>117084</v>
      </c>
      <c r="T15" s="165">
        <v>194551</v>
      </c>
      <c r="U15" s="165">
        <v>339027</v>
      </c>
      <c r="V15" s="165">
        <v>381795</v>
      </c>
      <c r="W15" s="165">
        <v>390913</v>
      </c>
      <c r="X15" s="166">
        <f t="shared" si="8"/>
        <v>2.388192616456486E-2</v>
      </c>
      <c r="Y15" s="180">
        <f t="shared" si="3"/>
        <v>2.3387397082436543</v>
      </c>
      <c r="Z15" s="166">
        <f t="shared" si="0"/>
        <v>8.9763939640014376E-2</v>
      </c>
    </row>
    <row r="16" spans="1:26" x14ac:dyDescent="0.25">
      <c r="A16" s="163" t="s">
        <v>118</v>
      </c>
      <c r="B16" s="164" t="s">
        <v>118</v>
      </c>
      <c r="C16" s="165">
        <v>11046</v>
      </c>
      <c r="D16" s="165">
        <v>21498</v>
      </c>
      <c r="E16" s="165">
        <v>31998</v>
      </c>
      <c r="F16" s="165">
        <v>34482</v>
      </c>
      <c r="G16" s="165">
        <v>33626</v>
      </c>
      <c r="H16" s="166">
        <f t="shared" si="4"/>
        <v>-2.4824546140015058E-2</v>
      </c>
      <c r="I16" s="180">
        <f t="shared" si="1"/>
        <v>2.044178888285352</v>
      </c>
      <c r="J16" s="166">
        <f t="shared" si="5"/>
        <v>4.4314123430107669E-2</v>
      </c>
      <c r="K16" s="165">
        <v>37740</v>
      </c>
      <c r="L16" s="165">
        <v>83736</v>
      </c>
      <c r="M16" s="165">
        <v>134432</v>
      </c>
      <c r="N16" s="165">
        <v>142823</v>
      </c>
      <c r="O16" s="165">
        <v>158899</v>
      </c>
      <c r="P16" s="166">
        <f t="shared" si="6"/>
        <v>0.11255890157747706</v>
      </c>
      <c r="Q16" s="180">
        <f t="shared" si="2"/>
        <v>3.2103603603603608</v>
      </c>
      <c r="R16" s="166">
        <f t="shared" si="7"/>
        <v>4.5131119650764169E-2</v>
      </c>
      <c r="S16" s="165">
        <v>48786</v>
      </c>
      <c r="T16" s="165">
        <v>105234</v>
      </c>
      <c r="U16" s="165">
        <v>166430</v>
      </c>
      <c r="V16" s="165">
        <v>177305</v>
      </c>
      <c r="W16" s="165">
        <v>192525</v>
      </c>
      <c r="X16" s="166">
        <f t="shared" si="8"/>
        <v>8.5840782831843487E-2</v>
      </c>
      <c r="Y16" s="180">
        <f t="shared" si="3"/>
        <v>2.9463165662280164</v>
      </c>
      <c r="Z16" s="166">
        <f t="shared" si="0"/>
        <v>4.4065553700111178E-2</v>
      </c>
    </row>
    <row r="17" spans="1:26" x14ac:dyDescent="0.25">
      <c r="A17" s="163" t="s">
        <v>125</v>
      </c>
      <c r="B17" s="164" t="s">
        <v>125</v>
      </c>
      <c r="C17" s="165">
        <v>4317</v>
      </c>
      <c r="D17" s="165">
        <v>10076</v>
      </c>
      <c r="E17" s="165">
        <v>19335</v>
      </c>
      <c r="F17" s="165">
        <v>14809</v>
      </c>
      <c r="G17" s="165">
        <v>14135</v>
      </c>
      <c r="H17" s="166">
        <f t="shared" si="4"/>
        <v>-4.551286379904107E-2</v>
      </c>
      <c r="I17" s="180">
        <f t="shared" si="1"/>
        <v>2.2742645355570996</v>
      </c>
      <c r="J17" s="166">
        <f t="shared" si="5"/>
        <v>1.8627851504329145E-2</v>
      </c>
      <c r="K17" s="165">
        <v>23237</v>
      </c>
      <c r="L17" s="165">
        <v>56946</v>
      </c>
      <c r="M17" s="165">
        <v>104116</v>
      </c>
      <c r="N17" s="165">
        <v>102844</v>
      </c>
      <c r="O17" s="165">
        <v>113442</v>
      </c>
      <c r="P17" s="166">
        <f t="shared" si="6"/>
        <v>0.10304927851892187</v>
      </c>
      <c r="Q17" s="180">
        <f t="shared" si="2"/>
        <v>3.8819555020011185</v>
      </c>
      <c r="R17" s="166">
        <f t="shared" si="7"/>
        <v>3.2220243522124048E-2</v>
      </c>
      <c r="S17" s="165">
        <v>27554</v>
      </c>
      <c r="T17" s="165">
        <v>67022</v>
      </c>
      <c r="U17" s="165">
        <v>123451</v>
      </c>
      <c r="V17" s="165">
        <v>117653</v>
      </c>
      <c r="W17" s="165">
        <v>127577</v>
      </c>
      <c r="X17" s="166">
        <f t="shared" si="8"/>
        <v>8.4349740338112822E-2</v>
      </c>
      <c r="Y17" s="180">
        <f t="shared" si="3"/>
        <v>3.6300718588952599</v>
      </c>
      <c r="Z17" s="166">
        <f t="shared" si="0"/>
        <v>3.2686034187540861E-2</v>
      </c>
    </row>
    <row r="18" spans="1:26" x14ac:dyDescent="0.25">
      <c r="A18" s="163" t="s">
        <v>121</v>
      </c>
      <c r="B18" s="164" t="s">
        <v>121</v>
      </c>
      <c r="C18" s="165">
        <v>5016</v>
      </c>
      <c r="D18" s="165">
        <v>6294</v>
      </c>
      <c r="E18" s="165">
        <v>10411</v>
      </c>
      <c r="F18" s="165">
        <v>10569</v>
      </c>
      <c r="G18" s="165">
        <v>9946</v>
      </c>
      <c r="H18" s="166">
        <f t="shared" si="4"/>
        <v>-5.8945974075125362E-2</v>
      </c>
      <c r="I18" s="180">
        <f t="shared" si="1"/>
        <v>0.98285486443381176</v>
      </c>
      <c r="J18" s="166">
        <f t="shared" si="5"/>
        <v>1.3107365480159724E-2</v>
      </c>
      <c r="K18" s="165">
        <v>43640</v>
      </c>
      <c r="L18" s="165">
        <v>77431</v>
      </c>
      <c r="M18" s="165">
        <v>120097</v>
      </c>
      <c r="N18" s="165">
        <v>123841</v>
      </c>
      <c r="O18" s="165">
        <v>130344</v>
      </c>
      <c r="P18" s="166">
        <f t="shared" si="6"/>
        <v>5.2510880887589817E-2</v>
      </c>
      <c r="Q18" s="180">
        <f t="shared" si="2"/>
        <v>1.986801099908341</v>
      </c>
      <c r="R18" s="166">
        <f t="shared" si="7"/>
        <v>3.702081611438212E-2</v>
      </c>
      <c r="S18" s="165">
        <v>48656</v>
      </c>
      <c r="T18" s="165">
        <v>83725</v>
      </c>
      <c r="U18" s="165">
        <v>130508</v>
      </c>
      <c r="V18" s="165">
        <v>134410</v>
      </c>
      <c r="W18" s="165">
        <v>140290</v>
      </c>
      <c r="X18" s="166">
        <f t="shared" si="8"/>
        <v>4.3746745033851564E-2</v>
      </c>
      <c r="Y18" s="180">
        <f t="shared" si="3"/>
        <v>1.883303189740217</v>
      </c>
      <c r="Z18" s="166">
        <f t="shared" si="0"/>
        <v>3.4554511099525981E-2</v>
      </c>
    </row>
    <row r="19" spans="1:26" x14ac:dyDescent="0.25">
      <c r="A19" s="163" t="s">
        <v>130</v>
      </c>
      <c r="B19" s="164" t="s">
        <v>130</v>
      </c>
      <c r="C19" s="165">
        <v>3325</v>
      </c>
      <c r="D19" s="165">
        <v>2149</v>
      </c>
      <c r="E19" s="165">
        <v>5595</v>
      </c>
      <c r="F19" s="165">
        <v>6021</v>
      </c>
      <c r="G19" s="165">
        <v>5523</v>
      </c>
      <c r="H19" s="166">
        <f t="shared" si="4"/>
        <v>-8.2710513203786751E-2</v>
      </c>
      <c r="I19" s="180">
        <f t="shared" si="1"/>
        <v>0.66105263157894734</v>
      </c>
      <c r="J19" s="166">
        <f t="shared" si="5"/>
        <v>7.2785018647619302E-3</v>
      </c>
      <c r="K19" s="165">
        <v>14961</v>
      </c>
      <c r="L19" s="165">
        <v>12822</v>
      </c>
      <c r="M19" s="165">
        <v>35340</v>
      </c>
      <c r="N19" s="165">
        <v>38436</v>
      </c>
      <c r="O19" s="165">
        <v>36028</v>
      </c>
      <c r="P19" s="166">
        <f t="shared" si="6"/>
        <v>-6.2649599333957751E-2</v>
      </c>
      <c r="Q19" s="180">
        <f t="shared" si="2"/>
        <v>1.4081277989439207</v>
      </c>
      <c r="R19" s="166">
        <f t="shared" si="7"/>
        <v>1.0232814421599453E-2</v>
      </c>
      <c r="S19" s="165">
        <v>18286</v>
      </c>
      <c r="T19" s="165">
        <v>14971</v>
      </c>
      <c r="U19" s="165">
        <v>40935</v>
      </c>
      <c r="V19" s="165">
        <v>44457</v>
      </c>
      <c r="W19" s="165">
        <v>41551</v>
      </c>
      <c r="X19" s="166">
        <f t="shared" si="8"/>
        <v>-6.5366533954157924E-2</v>
      </c>
      <c r="Y19" s="180">
        <f t="shared" si="3"/>
        <v>1.2722848080498741</v>
      </c>
      <c r="Z19" s="166">
        <f t="shared" si="0"/>
        <v>1.0838331074409967E-2</v>
      </c>
    </row>
    <row r="20" spans="1:26" x14ac:dyDescent="0.25">
      <c r="A20" s="163" t="s">
        <v>133</v>
      </c>
      <c r="B20" s="164" t="s">
        <v>133</v>
      </c>
      <c r="C20" s="165">
        <v>3428</v>
      </c>
      <c r="D20" s="165">
        <v>1763</v>
      </c>
      <c r="E20" s="165">
        <v>3453</v>
      </c>
      <c r="F20" s="165">
        <v>4406</v>
      </c>
      <c r="G20" s="165">
        <v>3638</v>
      </c>
      <c r="H20" s="166">
        <f t="shared" si="4"/>
        <v>-0.17430776214253296</v>
      </c>
      <c r="I20" s="180">
        <f t="shared" si="1"/>
        <v>6.1260210035005924E-2</v>
      </c>
      <c r="J20" s="166">
        <f t="shared" si="5"/>
        <v>4.7943490465333881E-3</v>
      </c>
      <c r="K20" s="165">
        <v>22112</v>
      </c>
      <c r="L20" s="165">
        <v>10721</v>
      </c>
      <c r="M20" s="165">
        <v>31821</v>
      </c>
      <c r="N20" s="165">
        <v>40312</v>
      </c>
      <c r="O20" s="165">
        <v>37135</v>
      </c>
      <c r="P20" s="166">
        <f t="shared" si="6"/>
        <v>-7.8810279817424056E-2</v>
      </c>
      <c r="Q20" s="180">
        <f t="shared" si="2"/>
        <v>0.67940484804630974</v>
      </c>
      <c r="R20" s="166">
        <f t="shared" si="7"/>
        <v>1.0547228920453415E-2</v>
      </c>
      <c r="S20" s="165">
        <v>25540</v>
      </c>
      <c r="T20" s="165">
        <v>12484</v>
      </c>
      <c r="U20" s="165">
        <v>35274</v>
      </c>
      <c r="V20" s="165">
        <v>44718</v>
      </c>
      <c r="W20" s="165">
        <v>40773</v>
      </c>
      <c r="X20" s="166">
        <f t="shared" si="8"/>
        <v>-8.8219508922581458E-2</v>
      </c>
      <c r="Y20" s="180">
        <f t="shared" si="3"/>
        <v>0.59643696162881743</v>
      </c>
      <c r="Z20" s="166">
        <f t="shared" si="0"/>
        <v>9.3394720976850421E-3</v>
      </c>
    </row>
    <row r="21" spans="1:26" x14ac:dyDescent="0.25">
      <c r="A21" s="168" t="s">
        <v>147</v>
      </c>
      <c r="B21" s="169" t="s">
        <v>147</v>
      </c>
      <c r="C21" s="170">
        <f>C13-SUM(C14:C20)</f>
        <v>57355</v>
      </c>
      <c r="D21" s="170">
        <f>D13-SUM(D14:D20)</f>
        <v>81543</v>
      </c>
      <c r="E21" s="170">
        <f>E13-SUM(E14:E20)</f>
        <v>177894</v>
      </c>
      <c r="F21" s="170">
        <f>F13-SUM(F14:F20)</f>
        <v>183064</v>
      </c>
      <c r="G21" s="170">
        <f>G13-SUM(G14:G20)</f>
        <v>201552</v>
      </c>
      <c r="H21" s="171">
        <f t="shared" si="4"/>
        <v>0.10099200279683607</v>
      </c>
      <c r="I21" s="181">
        <f t="shared" si="1"/>
        <v>2.5141138523232498</v>
      </c>
      <c r="J21" s="171">
        <f t="shared" si="5"/>
        <v>0.26561589857803664</v>
      </c>
      <c r="K21" s="170">
        <f>K13-SUM(K14:K20)</f>
        <v>163673</v>
      </c>
      <c r="L21" s="170">
        <f>L13-SUM(L14:L20)</f>
        <v>293055</v>
      </c>
      <c r="M21" s="170">
        <f>M13-SUM(M14:M20)</f>
        <v>583188</v>
      </c>
      <c r="N21" s="170">
        <f>N13-SUM(N14:N20)</f>
        <v>664101</v>
      </c>
      <c r="O21" s="170">
        <f>O13-SUM(O14:O20)</f>
        <v>724051</v>
      </c>
      <c r="P21" s="171">
        <f t="shared" si="6"/>
        <v>9.0272413382904038E-2</v>
      </c>
      <c r="Q21" s="181">
        <f t="shared" si="2"/>
        <v>3.4237656791285058</v>
      </c>
      <c r="R21" s="171">
        <f t="shared" si="7"/>
        <v>0.2056478159979323</v>
      </c>
      <c r="S21" s="170">
        <f>S13-SUM(S14:S20)</f>
        <v>221028</v>
      </c>
      <c r="T21" s="170">
        <f>T13-SUM(T14:T20)</f>
        <v>374598</v>
      </c>
      <c r="U21" s="170">
        <f>U13-SUM(U14:U20)</f>
        <v>761082</v>
      </c>
      <c r="V21" s="170">
        <f>V13-SUM(V14:V20)</f>
        <v>847165</v>
      </c>
      <c r="W21" s="170">
        <f>W13-SUM(W14:W20)</f>
        <v>925603</v>
      </c>
      <c r="X21" s="171">
        <f t="shared" si="8"/>
        <v>9.258881091640947E-2</v>
      </c>
      <c r="Y21" s="181">
        <f t="shared" si="3"/>
        <v>3.1877182981341727</v>
      </c>
      <c r="Z21" s="171">
        <f t="shared" si="0"/>
        <v>0.20151114427199432</v>
      </c>
    </row>
    <row r="22" spans="1:26" x14ac:dyDescent="0.25">
      <c r="A22" s="1"/>
      <c r="B22" s="156" t="s">
        <v>46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</row>
    <row r="23" spans="1:26" x14ac:dyDescent="0.25">
      <c r="A23" s="1" t="s">
        <v>0</v>
      </c>
      <c r="B23" s="157" t="s">
        <v>70</v>
      </c>
      <c r="C23" s="177">
        <f>C24+C27</f>
        <v>42852</v>
      </c>
      <c r="D23" s="177">
        <f>D24+D27</f>
        <v>64946</v>
      </c>
      <c r="E23" s="177">
        <f>E24+E27</f>
        <v>165265</v>
      </c>
      <c r="F23" s="177">
        <f>F24+F27</f>
        <v>165616</v>
      </c>
      <c r="G23" s="177">
        <f>G24+G27</f>
        <v>152897</v>
      </c>
      <c r="H23" s="178">
        <f>IFERROR(G23/F23-1,"-")</f>
        <v>-7.6798135445850679E-2</v>
      </c>
      <c r="I23" s="178">
        <f t="shared" si="1"/>
        <v>2.568024829646224</v>
      </c>
      <c r="J23" s="178">
        <f>G23/G$9</f>
        <v>0.20149576310275299</v>
      </c>
      <c r="K23" s="177">
        <f>K24+K27</f>
        <v>398770</v>
      </c>
      <c r="L23" s="177">
        <f>L24+L27</f>
        <v>687822</v>
      </c>
      <c r="M23" s="177">
        <f>M24+M27</f>
        <v>1325364</v>
      </c>
      <c r="N23" s="177">
        <f>N24+N27</f>
        <v>1377487</v>
      </c>
      <c r="O23" s="177">
        <f>O24+O27</f>
        <v>1420992</v>
      </c>
      <c r="P23" s="178">
        <f>IFERROR(O23/N23-1,"-")</f>
        <v>3.158287519228864E-2</v>
      </c>
      <c r="Q23" s="178">
        <f t="shared" ref="Q23:Q86" si="9">IFERROR(O23/K23-1,"-")</f>
        <v>2.5634375705293779</v>
      </c>
      <c r="R23" s="178">
        <f>O23/O$9</f>
        <v>0.40359574304922419</v>
      </c>
      <c r="S23" s="177">
        <f>S24+S27</f>
        <v>441622</v>
      </c>
      <c r="T23" s="177">
        <f>T24+T27</f>
        <v>752768</v>
      </c>
      <c r="U23" s="177">
        <f>U24+U27</f>
        <v>1490629</v>
      </c>
      <c r="V23" s="177">
        <f>V24+V27</f>
        <v>1543103</v>
      </c>
      <c r="W23" s="177">
        <f>W24+W27</f>
        <v>1573889</v>
      </c>
      <c r="X23" s="178">
        <f>IFERROR(W23/V23-1,"-")</f>
        <v>1.9950709706351377E-2</v>
      </c>
      <c r="Y23" s="178">
        <f t="shared" ref="Y23:Y86" si="10">IFERROR(W23/S23-1,"-")</f>
        <v>2.5638826870038178</v>
      </c>
      <c r="Z23" s="178">
        <f t="shared" ref="Z23:Z35" si="11">U23/U$9</f>
        <v>0.39467278883880924</v>
      </c>
    </row>
    <row r="24" spans="1:26" x14ac:dyDescent="0.25">
      <c r="A24" s="1" t="s">
        <v>98</v>
      </c>
      <c r="B24" s="160" t="s">
        <v>99</v>
      </c>
      <c r="C24" s="161">
        <v>2953</v>
      </c>
      <c r="D24" s="161">
        <v>8952</v>
      </c>
      <c r="E24" s="161">
        <v>12689</v>
      </c>
      <c r="F24" s="161">
        <v>11581</v>
      </c>
      <c r="G24" s="161">
        <v>7728</v>
      </c>
      <c r="H24" s="162">
        <f>IFERROR(G24/F24-1,"-")</f>
        <v>-0.33270011225282792</v>
      </c>
      <c r="I24" s="179">
        <f t="shared" si="1"/>
        <v>1.6169996613613273</v>
      </c>
      <c r="J24" s="162">
        <f>G24/G$9</f>
        <v>1.0184367628260039E-2</v>
      </c>
      <c r="K24" s="161">
        <v>90143</v>
      </c>
      <c r="L24" s="161">
        <v>198275</v>
      </c>
      <c r="M24" s="161">
        <v>161372</v>
      </c>
      <c r="N24" s="161">
        <v>131261</v>
      </c>
      <c r="O24" s="161">
        <v>120636</v>
      </c>
      <c r="P24" s="162">
        <f>IFERROR(O24/N24-1,"-")</f>
        <v>-8.0945596940446896E-2</v>
      </c>
      <c r="Q24" s="179">
        <f t="shared" si="9"/>
        <v>0.33827363189598758</v>
      </c>
      <c r="R24" s="162">
        <f>O24/O$9</f>
        <v>3.42635117287685E-2</v>
      </c>
      <c r="S24" s="161">
        <v>93096</v>
      </c>
      <c r="T24" s="161">
        <v>207227</v>
      </c>
      <c r="U24" s="161">
        <v>174061</v>
      </c>
      <c r="V24" s="161">
        <v>142842</v>
      </c>
      <c r="W24" s="161">
        <v>128364</v>
      </c>
      <c r="X24" s="162">
        <f>IFERROR(W24/V24-1,"-")</f>
        <v>-0.10135674381484439</v>
      </c>
      <c r="Y24" s="179">
        <f t="shared" si="10"/>
        <v>0.37883475122454247</v>
      </c>
      <c r="Z24" s="162">
        <f t="shared" si="11"/>
        <v>4.6086008187196124E-2</v>
      </c>
    </row>
    <row r="25" spans="1:26" x14ac:dyDescent="0.25">
      <c r="A25" s="163" t="s">
        <v>105</v>
      </c>
      <c r="B25" s="164" t="s">
        <v>105</v>
      </c>
      <c r="C25" s="165">
        <v>1786</v>
      </c>
      <c r="D25" s="165">
        <v>4418</v>
      </c>
      <c r="E25" s="165">
        <v>6088</v>
      </c>
      <c r="F25" s="165">
        <v>5359</v>
      </c>
      <c r="G25" s="165">
        <v>2401</v>
      </c>
      <c r="H25" s="166">
        <f>IFERROR(G25/F25-1,"-")</f>
        <v>-0.5519686508676992</v>
      </c>
      <c r="I25" s="180">
        <f t="shared" si="1"/>
        <v>0.34434490481522961</v>
      </c>
      <c r="J25" s="166">
        <f>G25/G$9</f>
        <v>3.1641649424757187E-3</v>
      </c>
      <c r="K25" s="165">
        <v>45044</v>
      </c>
      <c r="L25" s="165">
        <v>92809</v>
      </c>
      <c r="M25" s="165">
        <v>62381</v>
      </c>
      <c r="N25" s="165">
        <v>49573</v>
      </c>
      <c r="O25" s="165">
        <v>41582</v>
      </c>
      <c r="P25" s="166">
        <f>IFERROR(O25/N25-1,"-")</f>
        <v>-0.16119661912734751</v>
      </c>
      <c r="Q25" s="180">
        <f t="shared" si="9"/>
        <v>-7.6858183109848155E-2</v>
      </c>
      <c r="R25" s="166">
        <f>O25/O$9</f>
        <v>1.1810283370682481E-2</v>
      </c>
      <c r="S25" s="165">
        <v>46830</v>
      </c>
      <c r="T25" s="165">
        <v>97227</v>
      </c>
      <c r="U25" s="165">
        <v>68469</v>
      </c>
      <c r="V25" s="165">
        <v>54932</v>
      </c>
      <c r="W25" s="165">
        <v>43983</v>
      </c>
      <c r="X25" s="166">
        <f>IFERROR(W25/V25-1,"-")</f>
        <v>-0.19931915823199597</v>
      </c>
      <c r="Y25" s="180">
        <f t="shared" si="10"/>
        <v>-6.0794362588084572E-2</v>
      </c>
      <c r="Z25" s="166">
        <f t="shared" si="11"/>
        <v>1.812848883189877E-2</v>
      </c>
    </row>
    <row r="26" spans="1:26" x14ac:dyDescent="0.25">
      <c r="A26" s="163" t="s">
        <v>102</v>
      </c>
      <c r="B26" s="164" t="s">
        <v>102</v>
      </c>
      <c r="C26" s="165">
        <v>1167</v>
      </c>
      <c r="D26" s="165">
        <v>4534</v>
      </c>
      <c r="E26" s="165">
        <v>6601</v>
      </c>
      <c r="F26" s="165">
        <v>6222</v>
      </c>
      <c r="G26" s="165">
        <v>5327</v>
      </c>
      <c r="H26" s="166">
        <f>IFERROR(G26/F26-1,"-")</f>
        <v>-0.14384442301510769</v>
      </c>
      <c r="I26" s="180">
        <f t="shared" si="1"/>
        <v>3.5646958011996572</v>
      </c>
      <c r="J26" s="166">
        <f>G26/G$9</f>
        <v>7.0202026857843205E-3</v>
      </c>
      <c r="K26" s="165">
        <v>45099</v>
      </c>
      <c r="L26" s="165">
        <v>105466</v>
      </c>
      <c r="M26" s="165">
        <v>98991</v>
      </c>
      <c r="N26" s="165">
        <v>81688</v>
      </c>
      <c r="O26" s="165">
        <v>79054</v>
      </c>
      <c r="P26" s="166">
        <f>IFERROR(O26/N26-1,"-")</f>
        <v>-3.2244638135344283E-2</v>
      </c>
      <c r="Q26" s="180">
        <f t="shared" si="9"/>
        <v>0.75289917736535172</v>
      </c>
      <c r="R26" s="166">
        <f>O26/O$9</f>
        <v>2.2453228358086018E-2</v>
      </c>
      <c r="S26" s="165">
        <v>46266</v>
      </c>
      <c r="T26" s="165">
        <v>110000</v>
      </c>
      <c r="U26" s="165">
        <v>105592</v>
      </c>
      <c r="V26" s="165">
        <v>87910</v>
      </c>
      <c r="W26" s="165">
        <v>84381</v>
      </c>
      <c r="X26" s="166">
        <f>IFERROR(W26/V26-1,"-")</f>
        <v>-4.014332840404955E-2</v>
      </c>
      <c r="Y26" s="180">
        <f t="shared" si="10"/>
        <v>0.82382310984308127</v>
      </c>
      <c r="Z26" s="166">
        <f t="shared" si="11"/>
        <v>2.7957519355297358E-2</v>
      </c>
    </row>
    <row r="27" spans="1:26" x14ac:dyDescent="0.25">
      <c r="A27" s="1" t="s">
        <v>148</v>
      </c>
      <c r="B27" s="160" t="s">
        <v>109</v>
      </c>
      <c r="C27" s="161">
        <v>39899</v>
      </c>
      <c r="D27" s="161">
        <v>55994</v>
      </c>
      <c r="E27" s="161">
        <v>152576</v>
      </c>
      <c r="F27" s="161">
        <v>154035</v>
      </c>
      <c r="G27" s="161">
        <v>145169</v>
      </c>
      <c r="H27" s="162">
        <f>IFERROR(G27/F27-1,"-")</f>
        <v>-5.755834712889929E-2</v>
      </c>
      <c r="I27" s="179">
        <f t="shared" si="1"/>
        <v>2.6384119902754457</v>
      </c>
      <c r="J27" s="162">
        <f>G27/G$9</f>
        <v>0.19131139547449297</v>
      </c>
      <c r="K27" s="161">
        <v>308627</v>
      </c>
      <c r="L27" s="161">
        <v>489547</v>
      </c>
      <c r="M27" s="161">
        <v>1163992</v>
      </c>
      <c r="N27" s="161">
        <v>1246226</v>
      </c>
      <c r="O27" s="161">
        <v>1300356</v>
      </c>
      <c r="P27" s="162">
        <f>IFERROR(O27/N27-1,"-")</f>
        <v>4.3435139372794307E-2</v>
      </c>
      <c r="Q27" s="179">
        <f t="shared" si="9"/>
        <v>3.2133578721239555</v>
      </c>
      <c r="R27" s="162">
        <f>O27/O$9</f>
        <v>0.36933223132045567</v>
      </c>
      <c r="S27" s="161">
        <v>348526</v>
      </c>
      <c r="T27" s="161">
        <v>545541</v>
      </c>
      <c r="U27" s="161">
        <v>1316568</v>
      </c>
      <c r="V27" s="161">
        <v>1400261</v>
      </c>
      <c r="W27" s="161">
        <v>1445525</v>
      </c>
      <c r="X27" s="162">
        <f>IFERROR(W27/V27-1,"-")</f>
        <v>3.232540219287694E-2</v>
      </c>
      <c r="Y27" s="179">
        <f t="shared" si="10"/>
        <v>3.1475384906721446</v>
      </c>
      <c r="Z27" s="162">
        <f t="shared" si="11"/>
        <v>0.34858678065161314</v>
      </c>
    </row>
    <row r="28" spans="1:26" x14ac:dyDescent="0.25">
      <c r="A28" s="163" t="s">
        <v>112</v>
      </c>
      <c r="B28" s="164" t="s">
        <v>112</v>
      </c>
      <c r="C28" s="165">
        <v>14793</v>
      </c>
      <c r="D28" s="165">
        <v>16270</v>
      </c>
      <c r="E28" s="165">
        <v>66823</v>
      </c>
      <c r="F28" s="165">
        <v>69319</v>
      </c>
      <c r="G28" s="165">
        <v>63618</v>
      </c>
      <c r="H28" s="166">
        <f t="shared" ref="H28:H35" si="12">IFERROR(G28/F28-1,"-")</f>
        <v>-8.2242963689608928E-2</v>
      </c>
      <c r="I28" s="180">
        <f t="shared" si="1"/>
        <v>3.3005475562766176</v>
      </c>
      <c r="J28" s="166">
        <f t="shared" ref="J28:J35" si="13">G28/G$9</f>
        <v>8.383916922549782E-2</v>
      </c>
      <c r="K28" s="165">
        <v>128801</v>
      </c>
      <c r="L28" s="165">
        <v>159037</v>
      </c>
      <c r="M28" s="165">
        <v>590382</v>
      </c>
      <c r="N28" s="165">
        <v>640574</v>
      </c>
      <c r="O28" s="165">
        <v>669764</v>
      </c>
      <c r="P28" s="166">
        <f t="shared" ref="P28:P35" si="14">IFERROR(O28/N28-1,"-")</f>
        <v>4.5568505746408583E-2</v>
      </c>
      <c r="Q28" s="180">
        <f t="shared" si="9"/>
        <v>4.1999906833021479</v>
      </c>
      <c r="R28" s="166">
        <f t="shared" ref="R28:R35" si="15">O28/O$9</f>
        <v>0.19022900850083646</v>
      </c>
      <c r="S28" s="165">
        <v>143594</v>
      </c>
      <c r="T28" s="165">
        <v>175307</v>
      </c>
      <c r="U28" s="165">
        <v>657205</v>
      </c>
      <c r="V28" s="165">
        <v>709893</v>
      </c>
      <c r="W28" s="165">
        <v>733382</v>
      </c>
      <c r="X28" s="166">
        <f t="shared" ref="X28:X35" si="16">IFERROR(W28/V28-1,"-")</f>
        <v>3.3088085105783538E-2</v>
      </c>
      <c r="Y28" s="180">
        <f t="shared" si="10"/>
        <v>4.1073303898491584</v>
      </c>
      <c r="Z28" s="166">
        <f t="shared" si="11"/>
        <v>0.17400770425693424</v>
      </c>
    </row>
    <row r="29" spans="1:26" x14ac:dyDescent="0.25">
      <c r="A29" s="163" t="s">
        <v>115</v>
      </c>
      <c r="B29" s="164" t="s">
        <v>115</v>
      </c>
      <c r="C29" s="165">
        <v>7836</v>
      </c>
      <c r="D29" s="165">
        <v>14336</v>
      </c>
      <c r="E29" s="165">
        <v>27397</v>
      </c>
      <c r="F29" s="165">
        <v>30224</v>
      </c>
      <c r="G29" s="165">
        <v>29376</v>
      </c>
      <c r="H29" s="166">
        <f t="shared" si="12"/>
        <v>-2.8057173107464251E-2</v>
      </c>
      <c r="I29" s="180">
        <f t="shared" si="1"/>
        <v>2.7488514548238898</v>
      </c>
      <c r="J29" s="166">
        <f t="shared" si="13"/>
        <v>3.8713248375746231E-2</v>
      </c>
      <c r="K29" s="165">
        <v>41673</v>
      </c>
      <c r="L29" s="165">
        <v>81095</v>
      </c>
      <c r="M29" s="165">
        <v>128496</v>
      </c>
      <c r="N29" s="165">
        <v>137331</v>
      </c>
      <c r="O29" s="165">
        <v>137486</v>
      </c>
      <c r="P29" s="166">
        <f t="shared" si="14"/>
        <v>1.1286599529602981E-3</v>
      </c>
      <c r="Q29" s="180">
        <f t="shared" si="9"/>
        <v>2.2991625272958509</v>
      </c>
      <c r="R29" s="166">
        <f t="shared" si="15"/>
        <v>3.9049315076274627E-2</v>
      </c>
      <c r="S29" s="165">
        <v>49509</v>
      </c>
      <c r="T29" s="165">
        <v>95431</v>
      </c>
      <c r="U29" s="165">
        <v>155893</v>
      </c>
      <c r="V29" s="165">
        <v>167555</v>
      </c>
      <c r="W29" s="165">
        <v>166862</v>
      </c>
      <c r="X29" s="166">
        <f t="shared" si="16"/>
        <v>-4.1359553579422004E-3</v>
      </c>
      <c r="Y29" s="180">
        <f t="shared" si="10"/>
        <v>2.3703367064574117</v>
      </c>
      <c r="Z29" s="166">
        <f t="shared" si="11"/>
        <v>4.1275679642921538E-2</v>
      </c>
    </row>
    <row r="30" spans="1:26" x14ac:dyDescent="0.25">
      <c r="A30" s="163" t="s">
        <v>118</v>
      </c>
      <c r="B30" s="164" t="s">
        <v>118</v>
      </c>
      <c r="C30" s="165">
        <v>3230</v>
      </c>
      <c r="D30" s="165">
        <v>4987</v>
      </c>
      <c r="E30" s="165">
        <v>4132</v>
      </c>
      <c r="F30" s="165">
        <v>2982</v>
      </c>
      <c r="G30" s="165">
        <v>3034</v>
      </c>
      <c r="H30" s="166">
        <f t="shared" si="12"/>
        <v>1.7437961099932897E-2</v>
      </c>
      <c r="I30" s="180">
        <f t="shared" si="1"/>
        <v>-6.0681114551083604E-2</v>
      </c>
      <c r="J30" s="166">
        <f t="shared" si="13"/>
        <v>3.9983658623370805E-3</v>
      </c>
      <c r="K30" s="165">
        <v>13936</v>
      </c>
      <c r="L30" s="165">
        <v>30800</v>
      </c>
      <c r="M30" s="165">
        <v>48228</v>
      </c>
      <c r="N30" s="165">
        <v>43489</v>
      </c>
      <c r="O30" s="165">
        <v>39137</v>
      </c>
      <c r="P30" s="166">
        <f t="shared" si="14"/>
        <v>-0.10007128239324892</v>
      </c>
      <c r="Q30" s="180">
        <f t="shared" si="9"/>
        <v>1.8083381171067736</v>
      </c>
      <c r="R30" s="166">
        <f t="shared" si="15"/>
        <v>1.1115844843403402E-2</v>
      </c>
      <c r="S30" s="165">
        <v>17166</v>
      </c>
      <c r="T30" s="165">
        <v>35787</v>
      </c>
      <c r="U30" s="165">
        <v>52360</v>
      </c>
      <c r="V30" s="165">
        <v>46471</v>
      </c>
      <c r="W30" s="165">
        <v>42171</v>
      </c>
      <c r="X30" s="166">
        <f t="shared" si="16"/>
        <v>-9.2530825676228168E-2</v>
      </c>
      <c r="Y30" s="180">
        <f t="shared" si="10"/>
        <v>1.4566585110101364</v>
      </c>
      <c r="Z30" s="166">
        <f t="shared" si="11"/>
        <v>1.3863320265203516E-2</v>
      </c>
    </row>
    <row r="31" spans="1:26" x14ac:dyDescent="0.25">
      <c r="A31" s="163" t="s">
        <v>125</v>
      </c>
      <c r="B31" s="164" t="s">
        <v>125</v>
      </c>
      <c r="C31" s="165">
        <v>1736</v>
      </c>
      <c r="D31" s="165">
        <v>3938</v>
      </c>
      <c r="E31" s="165">
        <v>7950</v>
      </c>
      <c r="F31" s="165">
        <v>4040</v>
      </c>
      <c r="G31" s="165">
        <v>3255</v>
      </c>
      <c r="H31" s="166">
        <f t="shared" si="12"/>
        <v>-0.19430693069306926</v>
      </c>
      <c r="I31" s="180">
        <f t="shared" si="1"/>
        <v>0.875</v>
      </c>
      <c r="J31" s="166">
        <f t="shared" si="13"/>
        <v>4.2896113651638753E-3</v>
      </c>
      <c r="K31" s="165">
        <v>12314</v>
      </c>
      <c r="L31" s="165">
        <v>32115</v>
      </c>
      <c r="M31" s="165">
        <v>56445</v>
      </c>
      <c r="N31" s="165">
        <v>53434</v>
      </c>
      <c r="O31" s="165">
        <v>57796</v>
      </c>
      <c r="P31" s="166">
        <f t="shared" si="14"/>
        <v>8.1633416925553037E-2</v>
      </c>
      <c r="Q31" s="180">
        <f t="shared" si="9"/>
        <v>3.6935195712197499</v>
      </c>
      <c r="R31" s="166">
        <f t="shared" si="15"/>
        <v>1.6415447493914787E-2</v>
      </c>
      <c r="S31" s="165">
        <v>14050</v>
      </c>
      <c r="T31" s="165">
        <v>36053</v>
      </c>
      <c r="U31" s="165">
        <v>64395</v>
      </c>
      <c r="V31" s="165">
        <v>57474</v>
      </c>
      <c r="W31" s="165">
        <v>61051</v>
      </c>
      <c r="X31" s="166">
        <f t="shared" si="16"/>
        <v>6.2236837526533639E-2</v>
      </c>
      <c r="Y31" s="180">
        <f t="shared" si="10"/>
        <v>3.3452669039145908</v>
      </c>
      <c r="Z31" s="166">
        <f t="shared" si="11"/>
        <v>1.7049818725702454E-2</v>
      </c>
    </row>
    <row r="32" spans="1:26" x14ac:dyDescent="0.25">
      <c r="A32" s="163" t="s">
        <v>121</v>
      </c>
      <c r="B32" s="164" t="s">
        <v>121</v>
      </c>
      <c r="C32" s="165">
        <v>1403</v>
      </c>
      <c r="D32" s="165">
        <v>2232</v>
      </c>
      <c r="E32" s="165">
        <v>4497</v>
      </c>
      <c r="F32" s="165">
        <v>3231</v>
      </c>
      <c r="G32" s="165">
        <v>2567</v>
      </c>
      <c r="H32" s="166">
        <f t="shared" si="12"/>
        <v>-0.20550913030021667</v>
      </c>
      <c r="I32" s="180">
        <f t="shared" si="1"/>
        <v>0.8296507483962936</v>
      </c>
      <c r="J32" s="166">
        <f t="shared" si="13"/>
        <v>3.3829285328343065E-3</v>
      </c>
      <c r="K32" s="165">
        <v>25064</v>
      </c>
      <c r="L32" s="165">
        <v>46414</v>
      </c>
      <c r="M32" s="165">
        <v>73182</v>
      </c>
      <c r="N32" s="165">
        <v>71382</v>
      </c>
      <c r="O32" s="165">
        <v>73828</v>
      </c>
      <c r="P32" s="166">
        <f t="shared" si="14"/>
        <v>3.4266341654758836E-2</v>
      </c>
      <c r="Q32" s="180">
        <f t="shared" si="9"/>
        <v>1.9455793169486117</v>
      </c>
      <c r="R32" s="166">
        <f t="shared" si="15"/>
        <v>2.0968919260515275E-2</v>
      </c>
      <c r="S32" s="165">
        <v>26467</v>
      </c>
      <c r="T32" s="165">
        <v>48646</v>
      </c>
      <c r="U32" s="165">
        <v>77679</v>
      </c>
      <c r="V32" s="165">
        <v>74613</v>
      </c>
      <c r="W32" s="165">
        <v>76395</v>
      </c>
      <c r="X32" s="166">
        <f t="shared" si="16"/>
        <v>2.3883237505528454E-2</v>
      </c>
      <c r="Y32" s="180">
        <f t="shared" si="10"/>
        <v>1.8864246042241279</v>
      </c>
      <c r="Z32" s="166">
        <f t="shared" si="11"/>
        <v>2.0567014035155536E-2</v>
      </c>
    </row>
    <row r="33" spans="1:26" x14ac:dyDescent="0.25">
      <c r="A33" s="163" t="s">
        <v>130</v>
      </c>
      <c r="B33" s="164" t="s">
        <v>130</v>
      </c>
      <c r="C33" s="165">
        <v>1376</v>
      </c>
      <c r="D33" s="165">
        <v>590</v>
      </c>
      <c r="E33" s="165">
        <v>1708</v>
      </c>
      <c r="F33" s="165">
        <v>2116</v>
      </c>
      <c r="G33" s="165">
        <v>2577</v>
      </c>
      <c r="H33" s="166">
        <f t="shared" si="12"/>
        <v>0.21786389413988649</v>
      </c>
      <c r="I33" s="180">
        <f t="shared" si="1"/>
        <v>0.87281976744186052</v>
      </c>
      <c r="J33" s="166">
        <f t="shared" si="13"/>
        <v>3.3961070623739803E-3</v>
      </c>
      <c r="K33" s="165">
        <v>8223</v>
      </c>
      <c r="L33" s="165">
        <v>5697</v>
      </c>
      <c r="M33" s="165">
        <v>18357</v>
      </c>
      <c r="N33" s="165">
        <v>18861</v>
      </c>
      <c r="O33" s="165">
        <v>18273</v>
      </c>
      <c r="P33" s="166">
        <f t="shared" si="14"/>
        <v>-3.1175441386989022E-2</v>
      </c>
      <c r="Q33" s="180">
        <f t="shared" si="9"/>
        <v>1.2221816855162349</v>
      </c>
      <c r="R33" s="166">
        <f t="shared" si="15"/>
        <v>5.1899694106219271E-3</v>
      </c>
      <c r="S33" s="165">
        <v>9599</v>
      </c>
      <c r="T33" s="165">
        <v>6287</v>
      </c>
      <c r="U33" s="165">
        <v>20065</v>
      </c>
      <c r="V33" s="165">
        <v>20977</v>
      </c>
      <c r="W33" s="165">
        <v>20850</v>
      </c>
      <c r="X33" s="166">
        <f t="shared" si="16"/>
        <v>-6.054249892739616E-3</v>
      </c>
      <c r="Y33" s="180">
        <f t="shared" si="10"/>
        <v>1.1721012605479739</v>
      </c>
      <c r="Z33" s="166">
        <f t="shared" si="11"/>
        <v>5.3125958961288879E-3</v>
      </c>
    </row>
    <row r="34" spans="1:26" x14ac:dyDescent="0.25">
      <c r="A34" s="163" t="s">
        <v>133</v>
      </c>
      <c r="B34" s="164" t="s">
        <v>133</v>
      </c>
      <c r="C34" s="165">
        <v>669</v>
      </c>
      <c r="D34" s="165">
        <v>195</v>
      </c>
      <c r="E34" s="165">
        <v>794</v>
      </c>
      <c r="F34" s="165">
        <v>833</v>
      </c>
      <c r="G34" s="165">
        <v>620</v>
      </c>
      <c r="H34" s="166">
        <f t="shared" si="12"/>
        <v>-0.25570228091236491</v>
      </c>
      <c r="I34" s="180">
        <f t="shared" si="1"/>
        <v>-7.3243647234678577E-2</v>
      </c>
      <c r="J34" s="166">
        <f t="shared" si="13"/>
        <v>8.1706883145978568E-4</v>
      </c>
      <c r="K34" s="165">
        <v>10880</v>
      </c>
      <c r="L34" s="165">
        <v>4211</v>
      </c>
      <c r="M34" s="165">
        <v>16482</v>
      </c>
      <c r="N34" s="165">
        <v>21199</v>
      </c>
      <c r="O34" s="165">
        <v>19378</v>
      </c>
      <c r="P34" s="166">
        <f t="shared" si="14"/>
        <v>-8.59002783150149E-2</v>
      </c>
      <c r="Q34" s="180">
        <f t="shared" si="9"/>
        <v>0.78106617647058818</v>
      </c>
      <c r="R34" s="166">
        <f t="shared" si="15"/>
        <v>5.5038158616008154E-3</v>
      </c>
      <c r="S34" s="165">
        <v>11549</v>
      </c>
      <c r="T34" s="165">
        <v>4406</v>
      </c>
      <c r="U34" s="165">
        <v>17276</v>
      </c>
      <c r="V34" s="165">
        <v>22032</v>
      </c>
      <c r="W34" s="165">
        <v>19998</v>
      </c>
      <c r="X34" s="166">
        <f t="shared" si="16"/>
        <v>-9.2320261437908502E-2</v>
      </c>
      <c r="Y34" s="180">
        <f t="shared" si="10"/>
        <v>0.73157849164429822</v>
      </c>
      <c r="Z34" s="166">
        <f t="shared" si="11"/>
        <v>4.5741543334922828E-3</v>
      </c>
    </row>
    <row r="35" spans="1:26" x14ac:dyDescent="0.25">
      <c r="A35" s="168" t="s">
        <v>147</v>
      </c>
      <c r="B35" s="169" t="s">
        <v>147</v>
      </c>
      <c r="C35" s="170">
        <f>C27-SUM(C28:C34)</f>
        <v>8856</v>
      </c>
      <c r="D35" s="170">
        <f>D27-SUM(D28:D34)</f>
        <v>13446</v>
      </c>
      <c r="E35" s="170">
        <f>E27-SUM(E28:E34)</f>
        <v>39275</v>
      </c>
      <c r="F35" s="170">
        <f>F27-SUM(F28:F34)</f>
        <v>41290</v>
      </c>
      <c r="G35" s="170">
        <f>G27-SUM(G28:G34)</f>
        <v>40122</v>
      </c>
      <c r="H35" s="171">
        <f t="shared" si="12"/>
        <v>-2.8287720997820287E-2</v>
      </c>
      <c r="I35" s="181">
        <f t="shared" si="1"/>
        <v>3.5304878048780486</v>
      </c>
      <c r="J35" s="171">
        <f t="shared" si="13"/>
        <v>5.2874896219079877E-2</v>
      </c>
      <c r="K35" s="170">
        <f>K27-SUM(K28:K34)</f>
        <v>67736</v>
      </c>
      <c r="L35" s="170">
        <f>L27-SUM(L28:L34)</f>
        <v>130178</v>
      </c>
      <c r="M35" s="170">
        <f>M27-SUM(M28:M34)</f>
        <v>232420</v>
      </c>
      <c r="N35" s="170">
        <f>N27-SUM(N28:N34)</f>
        <v>259956</v>
      </c>
      <c r="O35" s="170">
        <f>O27-SUM(O28:O34)</f>
        <v>284694</v>
      </c>
      <c r="P35" s="171">
        <f t="shared" si="14"/>
        <v>9.5162258228315588E-2</v>
      </c>
      <c r="Q35" s="181">
        <f t="shared" si="9"/>
        <v>3.2029939766150939</v>
      </c>
      <c r="R35" s="171">
        <f t="shared" si="15"/>
        <v>8.0859910873288407E-2</v>
      </c>
      <c r="S35" s="170">
        <f>S27-SUM(S28:S34)</f>
        <v>76592</v>
      </c>
      <c r="T35" s="170">
        <f>T27-SUM(T28:T34)</f>
        <v>143624</v>
      </c>
      <c r="U35" s="170">
        <f>U27-SUM(U28:U34)</f>
        <v>271695</v>
      </c>
      <c r="V35" s="170">
        <f>V27-SUM(V28:V34)</f>
        <v>301246</v>
      </c>
      <c r="W35" s="170">
        <f>W27-SUM(W28:W34)</f>
        <v>324816</v>
      </c>
      <c r="X35" s="171">
        <f t="shared" si="16"/>
        <v>7.8241702794394019E-2</v>
      </c>
      <c r="Y35" s="181">
        <f t="shared" si="10"/>
        <v>3.2408606642991433</v>
      </c>
      <c r="Z35" s="171">
        <f t="shared" si="11"/>
        <v>7.1936493496074658E-2</v>
      </c>
    </row>
    <row r="36" spans="1:26" x14ac:dyDescent="0.25">
      <c r="A36" s="1"/>
      <c r="B36" s="156" t="s">
        <v>47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</row>
    <row r="37" spans="1:26" x14ac:dyDescent="0.25">
      <c r="A37" s="1" t="s">
        <v>0</v>
      </c>
      <c r="B37" s="157" t="s">
        <v>70</v>
      </c>
      <c r="C37" s="177">
        <f>C38+C41</f>
        <v>54285</v>
      </c>
      <c r="D37" s="177">
        <f>D38+D41</f>
        <v>50672</v>
      </c>
      <c r="E37" s="177">
        <f>E38+E41</f>
        <v>179190</v>
      </c>
      <c r="F37" s="177">
        <f>F38+F41</f>
        <v>201287</v>
      </c>
      <c r="G37" s="177">
        <f>G38+G41</f>
        <v>210210</v>
      </c>
      <c r="H37" s="178">
        <f>IFERROR(G37/F37-1,"-")</f>
        <v>4.432973813510066E-2</v>
      </c>
      <c r="I37" s="178">
        <f t="shared" si="1"/>
        <v>2.8723404255319149</v>
      </c>
      <c r="J37" s="178">
        <f>G37/G$9</f>
        <v>0.2770258694534864</v>
      </c>
      <c r="K37" s="177">
        <f>K38+K41</f>
        <v>151994</v>
      </c>
      <c r="L37" s="177">
        <f>L38+L41</f>
        <v>206077</v>
      </c>
      <c r="M37" s="177">
        <f>M38+M41</f>
        <v>573367</v>
      </c>
      <c r="N37" s="177">
        <f>N38+N41</f>
        <v>609226</v>
      </c>
      <c r="O37" s="177">
        <f>O38+O41</f>
        <v>651257</v>
      </c>
      <c r="P37" s="178">
        <f>IFERROR(O37/N37-1,"-")</f>
        <v>6.8990817857412567E-2</v>
      </c>
      <c r="Q37" s="178">
        <f t="shared" si="9"/>
        <v>3.2847546613682121</v>
      </c>
      <c r="R37" s="178">
        <f>O37/O$9</f>
        <v>0.18497257748883075</v>
      </c>
      <c r="S37" s="177">
        <f>S38+S41</f>
        <v>206279</v>
      </c>
      <c r="T37" s="177">
        <f>T38+T41</f>
        <v>256749</v>
      </c>
      <c r="U37" s="177">
        <f>U38+U41</f>
        <v>752557</v>
      </c>
      <c r="V37" s="177">
        <f>V38+V41</f>
        <v>810513</v>
      </c>
      <c r="W37" s="177">
        <f>W38+W41</f>
        <v>861467</v>
      </c>
      <c r="X37" s="178">
        <f>IFERROR(W37/V37-1,"-")</f>
        <v>6.2866357479768986E-2</v>
      </c>
      <c r="Y37" s="178">
        <f t="shared" si="10"/>
        <v>3.1762224947764919</v>
      </c>
      <c r="Z37" s="178">
        <f t="shared" ref="Z37:Z49" si="17">U37/U$9</f>
        <v>0.19925398603553787</v>
      </c>
    </row>
    <row r="38" spans="1:26" x14ac:dyDescent="0.25">
      <c r="A38" s="1" t="s">
        <v>98</v>
      </c>
      <c r="B38" s="160" t="s">
        <v>99</v>
      </c>
      <c r="C38" s="161">
        <v>5529</v>
      </c>
      <c r="D38" s="161">
        <v>6062</v>
      </c>
      <c r="E38" s="161">
        <v>22234</v>
      </c>
      <c r="F38" s="161">
        <v>28331</v>
      </c>
      <c r="G38" s="161">
        <v>31527</v>
      </c>
      <c r="H38" s="162">
        <f>IFERROR(G38/F38-1,"-")</f>
        <v>0.11280929017683805</v>
      </c>
      <c r="I38" s="179">
        <f t="shared" si="1"/>
        <v>4.7021161150298427</v>
      </c>
      <c r="J38" s="162">
        <f>G38/G$9</f>
        <v>4.1547950079730105E-2</v>
      </c>
      <c r="K38" s="161">
        <v>19247</v>
      </c>
      <c r="L38" s="161">
        <v>33772</v>
      </c>
      <c r="M38" s="161">
        <v>60854</v>
      </c>
      <c r="N38" s="161">
        <v>52810</v>
      </c>
      <c r="O38" s="161">
        <v>49280</v>
      </c>
      <c r="P38" s="162">
        <f>IFERROR(O38/N38-1,"-")</f>
        <v>-6.6843400871047121E-2</v>
      </c>
      <c r="Q38" s="179">
        <f t="shared" si="9"/>
        <v>1.5603990232243987</v>
      </c>
      <c r="R38" s="162">
        <f>O38/O$9</f>
        <v>1.3996699641845814E-2</v>
      </c>
      <c r="S38" s="161">
        <v>24776</v>
      </c>
      <c r="T38" s="161">
        <v>39834</v>
      </c>
      <c r="U38" s="161">
        <v>83088</v>
      </c>
      <c r="V38" s="161">
        <v>81141</v>
      </c>
      <c r="W38" s="161">
        <v>80807</v>
      </c>
      <c r="X38" s="162">
        <f>IFERROR(W38/V38-1,"-")</f>
        <v>-4.1162913939931656E-3</v>
      </c>
      <c r="Y38" s="179">
        <f t="shared" si="10"/>
        <v>2.2615030674846626</v>
      </c>
      <c r="Z38" s="162">
        <f t="shared" si="17"/>
        <v>2.1999151149641516E-2</v>
      </c>
    </row>
    <row r="39" spans="1:26" x14ac:dyDescent="0.25">
      <c r="A39" s="163" t="s">
        <v>105</v>
      </c>
      <c r="B39" s="164" t="s">
        <v>105</v>
      </c>
      <c r="C39" s="165">
        <v>2180</v>
      </c>
      <c r="D39" s="165">
        <v>4351</v>
      </c>
      <c r="E39" s="165">
        <v>9363</v>
      </c>
      <c r="F39" s="165">
        <v>15562</v>
      </c>
      <c r="G39" s="165">
        <v>21291</v>
      </c>
      <c r="H39" s="166">
        <f>IFERROR(G39/F39-1,"-")</f>
        <v>0.36814034185837285</v>
      </c>
      <c r="I39" s="180">
        <f t="shared" si="1"/>
        <v>8.7665137614678894</v>
      </c>
      <c r="J39" s="166">
        <f>G39/G$9</f>
        <v>2.8058407242919834E-2</v>
      </c>
      <c r="K39" s="165">
        <v>1767</v>
      </c>
      <c r="L39" s="165">
        <v>4726</v>
      </c>
      <c r="M39" s="165">
        <v>9315</v>
      </c>
      <c r="N39" s="165">
        <v>13363</v>
      </c>
      <c r="O39" s="165">
        <v>10110</v>
      </c>
      <c r="P39" s="166">
        <f>IFERROR(O39/N39-1,"-")</f>
        <v>-0.24343336077228173</v>
      </c>
      <c r="Q39" s="180">
        <f t="shared" si="9"/>
        <v>4.7215619694397279</v>
      </c>
      <c r="R39" s="166">
        <f>O39/O$9</f>
        <v>2.8714820085036768E-3</v>
      </c>
      <c r="S39" s="165">
        <v>3947</v>
      </c>
      <c r="T39" s="165">
        <v>9077</v>
      </c>
      <c r="U39" s="165">
        <v>18678</v>
      </c>
      <c r="V39" s="165">
        <v>28925</v>
      </c>
      <c r="W39" s="165">
        <v>31401</v>
      </c>
      <c r="X39" s="166">
        <f>IFERROR(W39/V39-1,"-")</f>
        <v>8.5600691443388E-2</v>
      </c>
      <c r="Y39" s="180">
        <f t="shared" si="10"/>
        <v>6.9556625285026605</v>
      </c>
      <c r="Z39" s="166">
        <f t="shared" si="17"/>
        <v>4.945360884520078E-3</v>
      </c>
    </row>
    <row r="40" spans="1:26" x14ac:dyDescent="0.25">
      <c r="A40" s="163" t="s">
        <v>102</v>
      </c>
      <c r="B40" s="164" t="s">
        <v>102</v>
      </c>
      <c r="C40" s="165">
        <v>3349</v>
      </c>
      <c r="D40" s="165">
        <v>1711</v>
      </c>
      <c r="E40" s="165">
        <v>12871</v>
      </c>
      <c r="F40" s="165">
        <v>12769</v>
      </c>
      <c r="G40" s="165">
        <v>10236</v>
      </c>
      <c r="H40" s="166">
        <f>IFERROR(G40/F40-1,"-")</f>
        <v>-0.19837105489858253</v>
      </c>
      <c r="I40" s="180">
        <f t="shared" si="1"/>
        <v>2.0564347566437742</v>
      </c>
      <c r="J40" s="166">
        <f>G40/G$9</f>
        <v>1.3489542836810269E-2</v>
      </c>
      <c r="K40" s="165">
        <v>17480</v>
      </c>
      <c r="L40" s="165">
        <v>29046</v>
      </c>
      <c r="M40" s="165">
        <v>51539</v>
      </c>
      <c r="N40" s="165">
        <v>39447</v>
      </c>
      <c r="O40" s="165">
        <v>39170</v>
      </c>
      <c r="P40" s="166">
        <f>IFERROR(O40/N40-1,"-")</f>
        <v>-7.0220802595888365E-3</v>
      </c>
      <c r="Q40" s="180">
        <f t="shared" si="9"/>
        <v>1.2408466819221968</v>
      </c>
      <c r="R40" s="166">
        <f>O40/O$9</f>
        <v>1.1125217633342139E-2</v>
      </c>
      <c r="S40" s="165">
        <v>20829</v>
      </c>
      <c r="T40" s="165">
        <v>30757</v>
      </c>
      <c r="U40" s="165">
        <v>64410</v>
      </c>
      <c r="V40" s="165">
        <v>52216</v>
      </c>
      <c r="W40" s="165">
        <v>49406</v>
      </c>
      <c r="X40" s="166">
        <f>IFERROR(W40/V40-1,"-")</f>
        <v>-5.3814922629079165E-2</v>
      </c>
      <c r="Y40" s="180">
        <f t="shared" si="10"/>
        <v>1.3719813721254019</v>
      </c>
      <c r="Z40" s="166">
        <f t="shared" si="17"/>
        <v>1.7053790265121438E-2</v>
      </c>
    </row>
    <row r="41" spans="1:26" x14ac:dyDescent="0.25">
      <c r="A41" s="1" t="s">
        <v>148</v>
      </c>
      <c r="B41" s="160" t="s">
        <v>109</v>
      </c>
      <c r="C41" s="161">
        <v>48756</v>
      </c>
      <c r="D41" s="161">
        <v>44610</v>
      </c>
      <c r="E41" s="161">
        <v>156956</v>
      </c>
      <c r="F41" s="161">
        <v>172956</v>
      </c>
      <c r="G41" s="161">
        <v>178683</v>
      </c>
      <c r="H41" s="162">
        <f>IFERROR(G41/F41-1,"-")</f>
        <v>3.3112467910913823E-2</v>
      </c>
      <c r="I41" s="179">
        <f t="shared" si="1"/>
        <v>2.6648412503076546</v>
      </c>
      <c r="J41" s="162">
        <f>G41/G$9</f>
        <v>0.23547791937375628</v>
      </c>
      <c r="K41" s="161">
        <v>132747</v>
      </c>
      <c r="L41" s="161">
        <v>172305</v>
      </c>
      <c r="M41" s="161">
        <v>512513</v>
      </c>
      <c r="N41" s="161">
        <v>556416</v>
      </c>
      <c r="O41" s="161">
        <v>601977</v>
      </c>
      <c r="P41" s="162">
        <f>IFERROR(O41/N41-1,"-")</f>
        <v>8.1882979641131781E-2</v>
      </c>
      <c r="Q41" s="179">
        <f t="shared" si="9"/>
        <v>3.5347691473253633</v>
      </c>
      <c r="R41" s="162">
        <f>O41/O$9</f>
        <v>0.17097587784698495</v>
      </c>
      <c r="S41" s="161">
        <v>181503</v>
      </c>
      <c r="T41" s="161">
        <v>216915</v>
      </c>
      <c r="U41" s="161">
        <v>669469</v>
      </c>
      <c r="V41" s="161">
        <v>729372</v>
      </c>
      <c r="W41" s="161">
        <v>780660</v>
      </c>
      <c r="X41" s="162">
        <f>IFERROR(W41/V41-1,"-")</f>
        <v>7.0318027015021212E-2</v>
      </c>
      <c r="Y41" s="179">
        <f t="shared" si="10"/>
        <v>3.3010859324639261</v>
      </c>
      <c r="Z41" s="162">
        <f t="shared" si="17"/>
        <v>0.17725483488589636</v>
      </c>
    </row>
    <row r="42" spans="1:26" x14ac:dyDescent="0.25">
      <c r="A42" s="163" t="s">
        <v>112</v>
      </c>
      <c r="B42" s="164" t="s">
        <v>112</v>
      </c>
      <c r="C42" s="165">
        <v>24960</v>
      </c>
      <c r="D42" s="165">
        <v>17021</v>
      </c>
      <c r="E42" s="165">
        <v>75160</v>
      </c>
      <c r="F42" s="165">
        <v>74709</v>
      </c>
      <c r="G42" s="165">
        <v>75962</v>
      </c>
      <c r="H42" s="166">
        <f t="shared" ref="H42:H49" si="18">IFERROR(G42/F42-1,"-")</f>
        <v>1.6771741021831321E-2</v>
      </c>
      <c r="I42" s="180">
        <f t="shared" si="1"/>
        <v>2.0433493589743588</v>
      </c>
      <c r="J42" s="166">
        <f t="shared" ref="J42:J49" si="19">G42/G$9</f>
        <v>0.10010674608927136</v>
      </c>
      <c r="K42" s="165">
        <v>63301</v>
      </c>
      <c r="L42" s="165">
        <v>63769</v>
      </c>
      <c r="M42" s="165">
        <v>269103</v>
      </c>
      <c r="N42" s="165">
        <v>299592</v>
      </c>
      <c r="O42" s="165">
        <v>337098</v>
      </c>
      <c r="P42" s="166">
        <f t="shared" ref="P42:P49" si="20">IFERROR(O42/N42-1,"-")</f>
        <v>0.12519025875190248</v>
      </c>
      <c r="Q42" s="180">
        <f t="shared" si="9"/>
        <v>4.3253187153441495</v>
      </c>
      <c r="R42" s="166">
        <f t="shared" ref="R42:R49" si="21">O42/O$9</f>
        <v>9.574390129600123E-2</v>
      </c>
      <c r="S42" s="165">
        <v>88261</v>
      </c>
      <c r="T42" s="165">
        <v>80790</v>
      </c>
      <c r="U42" s="165">
        <v>344263</v>
      </c>
      <c r="V42" s="165">
        <v>374301</v>
      </c>
      <c r="W42" s="165">
        <v>413060</v>
      </c>
      <c r="X42" s="166">
        <f t="shared" ref="X42:X49" si="22">IFERROR(W42/V42-1,"-")</f>
        <v>0.10355035118794764</v>
      </c>
      <c r="Y42" s="180">
        <f t="shared" si="10"/>
        <v>3.6799832315518746</v>
      </c>
      <c r="Z42" s="166">
        <f t="shared" si="17"/>
        <v>9.1150271666534721E-2</v>
      </c>
    </row>
    <row r="43" spans="1:26" x14ac:dyDescent="0.25">
      <c r="A43" s="163" t="s">
        <v>115</v>
      </c>
      <c r="B43" s="164" t="s">
        <v>115</v>
      </c>
      <c r="C43" s="165">
        <v>3221</v>
      </c>
      <c r="D43" s="165">
        <v>2578</v>
      </c>
      <c r="E43" s="165">
        <v>7845</v>
      </c>
      <c r="F43" s="165">
        <v>10865</v>
      </c>
      <c r="G43" s="165">
        <v>11127</v>
      </c>
      <c r="H43" s="166">
        <f t="shared" si="18"/>
        <v>2.4114127933732243E-2</v>
      </c>
      <c r="I43" s="180">
        <f t="shared" si="1"/>
        <v>2.4545172306737038</v>
      </c>
      <c r="J43" s="166">
        <f t="shared" si="19"/>
        <v>1.4663749818795219E-2</v>
      </c>
      <c r="K43" s="165">
        <v>7570</v>
      </c>
      <c r="L43" s="165">
        <v>10918</v>
      </c>
      <c r="M43" s="165">
        <v>19949</v>
      </c>
      <c r="N43" s="165">
        <v>22563</v>
      </c>
      <c r="O43" s="165">
        <v>20333</v>
      </c>
      <c r="P43" s="166">
        <f t="shared" si="20"/>
        <v>-9.883437486149893E-2</v>
      </c>
      <c r="Q43" s="180">
        <f t="shared" si="9"/>
        <v>1.6859973579920742</v>
      </c>
      <c r="R43" s="166">
        <f t="shared" si="21"/>
        <v>5.775058721949086E-3</v>
      </c>
      <c r="S43" s="165">
        <v>10791</v>
      </c>
      <c r="T43" s="165">
        <v>13496</v>
      </c>
      <c r="U43" s="165">
        <v>27794</v>
      </c>
      <c r="V43" s="165">
        <v>33428</v>
      </c>
      <c r="W43" s="165">
        <v>31460</v>
      </c>
      <c r="X43" s="166">
        <f t="shared" si="22"/>
        <v>-5.88728012444657E-2</v>
      </c>
      <c r="Y43" s="180">
        <f t="shared" si="10"/>
        <v>1.9153924566768605</v>
      </c>
      <c r="Z43" s="166">
        <f t="shared" si="17"/>
        <v>7.3589977740845403E-3</v>
      </c>
    </row>
    <row r="44" spans="1:26" x14ac:dyDescent="0.25">
      <c r="A44" s="163" t="s">
        <v>118</v>
      </c>
      <c r="B44" s="164" t="s">
        <v>118</v>
      </c>
      <c r="C44" s="165">
        <v>1995</v>
      </c>
      <c r="D44" s="165">
        <v>1781</v>
      </c>
      <c r="E44" s="165">
        <v>5675</v>
      </c>
      <c r="F44" s="165">
        <v>7865</v>
      </c>
      <c r="G44" s="165">
        <v>8232</v>
      </c>
      <c r="H44" s="166">
        <f t="shared" si="18"/>
        <v>4.6662428480610307E-2</v>
      </c>
      <c r="I44" s="180">
        <f t="shared" si="1"/>
        <v>3.1263157894736846</v>
      </c>
      <c r="J44" s="166">
        <f t="shared" si="19"/>
        <v>1.0848565517059606E-2</v>
      </c>
      <c r="K44" s="165">
        <v>3970</v>
      </c>
      <c r="L44" s="165">
        <v>8252</v>
      </c>
      <c r="M44" s="165">
        <v>12032</v>
      </c>
      <c r="N44" s="165">
        <v>11886</v>
      </c>
      <c r="O44" s="165">
        <v>11380</v>
      </c>
      <c r="P44" s="166">
        <f t="shared" si="20"/>
        <v>-4.2571092041056691E-2</v>
      </c>
      <c r="Q44" s="180">
        <f t="shared" si="9"/>
        <v>1.8664987405541562</v>
      </c>
      <c r="R44" s="166">
        <f t="shared" si="21"/>
        <v>3.2321924091762455E-3</v>
      </c>
      <c r="S44" s="165">
        <v>5965</v>
      </c>
      <c r="T44" s="165">
        <v>10033</v>
      </c>
      <c r="U44" s="165">
        <v>17707</v>
      </c>
      <c r="V44" s="165">
        <v>19751</v>
      </c>
      <c r="W44" s="165">
        <v>19612</v>
      </c>
      <c r="X44" s="166">
        <f t="shared" si="22"/>
        <v>-7.0376183484380794E-3</v>
      </c>
      <c r="Y44" s="180">
        <f t="shared" si="10"/>
        <v>2.2878457669740149</v>
      </c>
      <c r="Z44" s="166">
        <f t="shared" si="17"/>
        <v>4.688269899464451E-3</v>
      </c>
    </row>
    <row r="45" spans="1:26" x14ac:dyDescent="0.25">
      <c r="A45" s="163" t="s">
        <v>125</v>
      </c>
      <c r="B45" s="164" t="s">
        <v>125</v>
      </c>
      <c r="C45" s="165">
        <v>885</v>
      </c>
      <c r="D45" s="165">
        <v>1430</v>
      </c>
      <c r="E45" s="165">
        <v>3236</v>
      </c>
      <c r="F45" s="165">
        <v>3482</v>
      </c>
      <c r="G45" s="165">
        <v>3809</v>
      </c>
      <c r="H45" s="166">
        <f t="shared" si="18"/>
        <v>9.3911545089029325E-2</v>
      </c>
      <c r="I45" s="180">
        <f t="shared" si="1"/>
        <v>3.303954802259887</v>
      </c>
      <c r="J45" s="166">
        <f t="shared" si="19"/>
        <v>5.0197019016618126E-3</v>
      </c>
      <c r="K45" s="165">
        <v>6712</v>
      </c>
      <c r="L45" s="165">
        <v>13570</v>
      </c>
      <c r="M45" s="165">
        <v>27358</v>
      </c>
      <c r="N45" s="165">
        <v>26160</v>
      </c>
      <c r="O45" s="165">
        <v>28369</v>
      </c>
      <c r="P45" s="166">
        <f t="shared" si="20"/>
        <v>8.4441896024464835E-2</v>
      </c>
      <c r="Q45" s="180">
        <f t="shared" si="9"/>
        <v>3.2266090584028602</v>
      </c>
      <c r="R45" s="166">
        <f t="shared" si="21"/>
        <v>8.0574750840000792E-3</v>
      </c>
      <c r="S45" s="165">
        <v>7597</v>
      </c>
      <c r="T45" s="165">
        <v>15000</v>
      </c>
      <c r="U45" s="165">
        <v>30594</v>
      </c>
      <c r="V45" s="165">
        <v>29642</v>
      </c>
      <c r="W45" s="165">
        <v>32178</v>
      </c>
      <c r="X45" s="166">
        <f t="shared" si="22"/>
        <v>8.5554281087645956E-2</v>
      </c>
      <c r="Y45" s="180">
        <f t="shared" si="10"/>
        <v>3.2356193234171382</v>
      </c>
      <c r="Z45" s="166">
        <f t="shared" si="17"/>
        <v>8.100351798961734E-3</v>
      </c>
    </row>
    <row r="46" spans="1:26" x14ac:dyDescent="0.25">
      <c r="A46" s="163" t="s">
        <v>121</v>
      </c>
      <c r="B46" s="164" t="s">
        <v>121</v>
      </c>
      <c r="C46" s="165">
        <v>1080</v>
      </c>
      <c r="D46" s="165">
        <v>722</v>
      </c>
      <c r="E46" s="165">
        <v>1778</v>
      </c>
      <c r="F46" s="165">
        <v>2269</v>
      </c>
      <c r="G46" s="165">
        <v>2413</v>
      </c>
      <c r="H46" s="166">
        <f t="shared" si="18"/>
        <v>6.3464081092992508E-2</v>
      </c>
      <c r="I46" s="180">
        <f t="shared" si="1"/>
        <v>1.2342592592592592</v>
      </c>
      <c r="J46" s="166">
        <f t="shared" si="19"/>
        <v>3.1799791779233274E-3</v>
      </c>
      <c r="K46" s="165">
        <v>11022</v>
      </c>
      <c r="L46" s="165">
        <v>16968</v>
      </c>
      <c r="M46" s="165">
        <v>29000</v>
      </c>
      <c r="N46" s="165">
        <v>33231</v>
      </c>
      <c r="O46" s="165">
        <v>33087</v>
      </c>
      <c r="P46" s="166">
        <f t="shared" si="20"/>
        <v>-4.3333032409497152E-3</v>
      </c>
      <c r="Q46" s="180">
        <f t="shared" si="9"/>
        <v>2.0019052803483941</v>
      </c>
      <c r="R46" s="166">
        <f t="shared" si="21"/>
        <v>9.397500021301795E-3</v>
      </c>
      <c r="S46" s="165">
        <v>12102</v>
      </c>
      <c r="T46" s="165">
        <v>17690</v>
      </c>
      <c r="U46" s="165">
        <v>30778</v>
      </c>
      <c r="V46" s="165">
        <v>35500</v>
      </c>
      <c r="W46" s="165">
        <v>35500</v>
      </c>
      <c r="X46" s="166">
        <f t="shared" si="22"/>
        <v>0</v>
      </c>
      <c r="Y46" s="180">
        <f t="shared" si="10"/>
        <v>1.9333994381094035</v>
      </c>
      <c r="Z46" s="166">
        <f t="shared" si="17"/>
        <v>8.1490693491679499E-3</v>
      </c>
    </row>
    <row r="47" spans="1:26" x14ac:dyDescent="0.25">
      <c r="A47" s="163" t="s">
        <v>130</v>
      </c>
      <c r="B47" s="164" t="s">
        <v>130</v>
      </c>
      <c r="C47" s="165">
        <v>1099</v>
      </c>
      <c r="D47" s="165">
        <v>749</v>
      </c>
      <c r="E47" s="165">
        <v>2218</v>
      </c>
      <c r="F47" s="165">
        <v>2218</v>
      </c>
      <c r="G47" s="165">
        <v>1673</v>
      </c>
      <c r="H47" s="166">
        <f t="shared" si="18"/>
        <v>-0.24571686203787191</v>
      </c>
      <c r="I47" s="180">
        <f t="shared" si="1"/>
        <v>0.52229299363057335</v>
      </c>
      <c r="J47" s="166">
        <f t="shared" si="19"/>
        <v>2.2047679919874538E-3</v>
      </c>
      <c r="K47" s="165">
        <v>2296</v>
      </c>
      <c r="L47" s="165">
        <v>2639</v>
      </c>
      <c r="M47" s="165">
        <v>6605</v>
      </c>
      <c r="N47" s="165">
        <v>7002</v>
      </c>
      <c r="O47" s="165">
        <v>6960</v>
      </c>
      <c r="P47" s="166">
        <f t="shared" si="20"/>
        <v>-5.9982862039417162E-3</v>
      </c>
      <c r="Q47" s="180">
        <f t="shared" si="9"/>
        <v>2.0313588850174216</v>
      </c>
      <c r="R47" s="166">
        <f t="shared" si="21"/>
        <v>1.9768066052606912E-3</v>
      </c>
      <c r="S47" s="165">
        <v>3395</v>
      </c>
      <c r="T47" s="165">
        <v>3388</v>
      </c>
      <c r="U47" s="165">
        <v>8823</v>
      </c>
      <c r="V47" s="165">
        <v>9220</v>
      </c>
      <c r="W47" s="165">
        <v>8633</v>
      </c>
      <c r="X47" s="166">
        <f t="shared" si="22"/>
        <v>-6.3665943600867636E-2</v>
      </c>
      <c r="Y47" s="180">
        <f t="shared" si="10"/>
        <v>1.5428571428571427</v>
      </c>
      <c r="Z47" s="166">
        <f t="shared" si="17"/>
        <v>2.336059486246956E-3</v>
      </c>
    </row>
    <row r="48" spans="1:26" x14ac:dyDescent="0.25">
      <c r="A48" s="163" t="s">
        <v>133</v>
      </c>
      <c r="B48" s="164" t="s">
        <v>133</v>
      </c>
      <c r="C48" s="165">
        <v>1080</v>
      </c>
      <c r="D48" s="165">
        <v>761</v>
      </c>
      <c r="E48" s="165">
        <v>1311</v>
      </c>
      <c r="F48" s="165">
        <v>1982</v>
      </c>
      <c r="G48" s="165">
        <v>1393</v>
      </c>
      <c r="H48" s="166">
        <f t="shared" si="18"/>
        <v>-0.29717457114026236</v>
      </c>
      <c r="I48" s="180">
        <f t="shared" si="1"/>
        <v>0.28981481481481475</v>
      </c>
      <c r="J48" s="166">
        <f t="shared" si="19"/>
        <v>1.835769164876583E-3</v>
      </c>
      <c r="K48" s="165">
        <v>4136</v>
      </c>
      <c r="L48" s="165">
        <v>3019</v>
      </c>
      <c r="M48" s="165">
        <v>6804</v>
      </c>
      <c r="N48" s="165">
        <v>8431</v>
      </c>
      <c r="O48" s="165">
        <v>7038</v>
      </c>
      <c r="P48" s="166">
        <f t="shared" si="20"/>
        <v>-0.16522357964654255</v>
      </c>
      <c r="Q48" s="180">
        <f t="shared" si="9"/>
        <v>0.70164410058027071</v>
      </c>
      <c r="R48" s="166">
        <f t="shared" si="21"/>
        <v>1.9989604723886127E-3</v>
      </c>
      <c r="S48" s="165">
        <v>5216</v>
      </c>
      <c r="T48" s="165">
        <v>3780</v>
      </c>
      <c r="U48" s="165">
        <v>8115</v>
      </c>
      <c r="V48" s="165">
        <v>10413</v>
      </c>
      <c r="W48" s="165">
        <v>8431</v>
      </c>
      <c r="X48" s="166">
        <f t="shared" si="22"/>
        <v>-0.19033899932776333</v>
      </c>
      <c r="Y48" s="180">
        <f t="shared" si="10"/>
        <v>0.61637269938650308</v>
      </c>
      <c r="Z48" s="166">
        <f t="shared" si="17"/>
        <v>2.1486028256708658E-3</v>
      </c>
    </row>
    <row r="49" spans="1:26" x14ac:dyDescent="0.25">
      <c r="A49" s="168" t="s">
        <v>147</v>
      </c>
      <c r="B49" s="169" t="s">
        <v>147</v>
      </c>
      <c r="C49" s="170">
        <f>C41-SUM(C42:C48)</f>
        <v>14436</v>
      </c>
      <c r="D49" s="170">
        <f>D41-SUM(D42:D48)</f>
        <v>19568</v>
      </c>
      <c r="E49" s="170">
        <f>E41-SUM(E42:E48)</f>
        <v>59733</v>
      </c>
      <c r="F49" s="170">
        <f>F41-SUM(F42:F48)</f>
        <v>69566</v>
      </c>
      <c r="G49" s="170">
        <f>G41-SUM(G42:G48)</f>
        <v>74074</v>
      </c>
      <c r="H49" s="171">
        <f t="shared" si="18"/>
        <v>6.4801770980076556E-2</v>
      </c>
      <c r="I49" s="181">
        <f t="shared" si="1"/>
        <v>4.1311997783319478</v>
      </c>
      <c r="J49" s="171">
        <f t="shared" si="19"/>
        <v>9.7618639712180919E-2</v>
      </c>
      <c r="K49" s="170">
        <f>K41-SUM(K42:K48)</f>
        <v>33740</v>
      </c>
      <c r="L49" s="170">
        <f>L41-SUM(L42:L48)</f>
        <v>53170</v>
      </c>
      <c r="M49" s="170">
        <f>M41-SUM(M42:M48)</f>
        <v>141662</v>
      </c>
      <c r="N49" s="170">
        <f>N41-SUM(N42:N48)</f>
        <v>147551</v>
      </c>
      <c r="O49" s="170">
        <f>O41-SUM(O42:O48)</f>
        <v>157712</v>
      </c>
      <c r="P49" s="171">
        <f t="shared" si="20"/>
        <v>6.8864324877500049E-2</v>
      </c>
      <c r="Q49" s="181">
        <f t="shared" si="9"/>
        <v>3.6743331357439244</v>
      </c>
      <c r="R49" s="171">
        <f t="shared" si="21"/>
        <v>4.4793983236907205E-2</v>
      </c>
      <c r="S49" s="170">
        <f>S41-SUM(S42:S48)</f>
        <v>48176</v>
      </c>
      <c r="T49" s="170">
        <f>T41-SUM(T42:T48)</f>
        <v>72738</v>
      </c>
      <c r="U49" s="170">
        <f>U41-SUM(U42:U48)</f>
        <v>201395</v>
      </c>
      <c r="V49" s="170">
        <f>V41-SUM(V42:V48)</f>
        <v>217117</v>
      </c>
      <c r="W49" s="170">
        <f>W41-SUM(W42:W48)</f>
        <v>231786</v>
      </c>
      <c r="X49" s="171">
        <f t="shared" si="22"/>
        <v>6.7562650552467129E-2</v>
      </c>
      <c r="Y49" s="181">
        <f t="shared" si="10"/>
        <v>3.8112338093656595</v>
      </c>
      <c r="Z49" s="171">
        <f t="shared" si="17"/>
        <v>5.3323212085765126E-2</v>
      </c>
    </row>
    <row r="50" spans="1:26" x14ac:dyDescent="0.25">
      <c r="A50" s="1"/>
      <c r="B50" s="156" t="s">
        <v>48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</row>
    <row r="51" spans="1:26" x14ac:dyDescent="0.25">
      <c r="A51" s="1" t="s">
        <v>0</v>
      </c>
      <c r="B51" s="157" t="s">
        <v>70</v>
      </c>
      <c r="C51" s="177">
        <f>C52+C55</f>
        <v>0</v>
      </c>
      <c r="D51" s="177">
        <f>D52+D55</f>
        <v>0</v>
      </c>
      <c r="E51" s="177">
        <f>E52+E55</f>
        <v>0</v>
      </c>
      <c r="F51" s="177">
        <f>F52+F55</f>
        <v>0</v>
      </c>
      <c r="G51" s="177">
        <f>G52+G55</f>
        <v>0</v>
      </c>
      <c r="H51" s="178" t="str">
        <f>IFERROR(G51/F51-1,"-")</f>
        <v>-</v>
      </c>
      <c r="I51" s="178" t="str">
        <f t="shared" si="1"/>
        <v>-</v>
      </c>
      <c r="J51" s="178">
        <f>G51/G$9</f>
        <v>0</v>
      </c>
      <c r="K51" s="177">
        <f>K52+K55</f>
        <v>0</v>
      </c>
      <c r="L51" s="177">
        <f>L52+L55</f>
        <v>0</v>
      </c>
      <c r="M51" s="177">
        <f>M52+M55</f>
        <v>0</v>
      </c>
      <c r="N51" s="177">
        <f>N52+N55</f>
        <v>0</v>
      </c>
      <c r="O51" s="177">
        <f>O52+O55</f>
        <v>0</v>
      </c>
      <c r="P51" s="178" t="str">
        <f>IFERROR(O51/N51-1,"-")</f>
        <v>-</v>
      </c>
      <c r="Q51" s="178" t="str">
        <f t="shared" si="9"/>
        <v>-</v>
      </c>
      <c r="R51" s="178">
        <f>O51/O$9</f>
        <v>0</v>
      </c>
      <c r="S51" s="177">
        <f>S52+S55</f>
        <v>10755</v>
      </c>
      <c r="T51" s="177">
        <f>T52+T55</f>
        <v>20161</v>
      </c>
      <c r="U51" s="177">
        <f>U52+U55</f>
        <v>37638</v>
      </c>
      <c r="V51" s="177">
        <f>V52+V55</f>
        <v>50521</v>
      </c>
      <c r="W51" s="177">
        <f>W52+W55</f>
        <v>43075</v>
      </c>
      <c r="X51" s="178">
        <f>IFERROR(W51/V51-1,"-")</f>
        <v>-0.14738425605193883</v>
      </c>
      <c r="Y51" s="178">
        <f t="shared" si="10"/>
        <v>3.0051139005113905</v>
      </c>
      <c r="Z51" s="178">
        <f t="shared" ref="Z51:Z63" si="23">U51/U$9</f>
        <v>9.9653867101170725E-3</v>
      </c>
    </row>
    <row r="52" spans="1:26" x14ac:dyDescent="0.25">
      <c r="A52" s="1" t="s">
        <v>98</v>
      </c>
      <c r="B52" s="160" t="s">
        <v>99</v>
      </c>
      <c r="C52" s="161">
        <v>0</v>
      </c>
      <c r="D52" s="161">
        <v>0</v>
      </c>
      <c r="E52" s="161">
        <v>0</v>
      </c>
      <c r="F52" s="161">
        <v>0</v>
      </c>
      <c r="G52" s="161">
        <v>0</v>
      </c>
      <c r="H52" s="162" t="str">
        <f>IFERROR(G52/F52-1,"-")</f>
        <v>-</v>
      </c>
      <c r="I52" s="179" t="str">
        <f t="shared" si="1"/>
        <v>-</v>
      </c>
      <c r="J52" s="162">
        <f>G52/G$9</f>
        <v>0</v>
      </c>
      <c r="K52" s="161">
        <v>0</v>
      </c>
      <c r="L52" s="161">
        <v>0</v>
      </c>
      <c r="M52" s="161">
        <v>0</v>
      </c>
      <c r="N52" s="161">
        <v>0</v>
      </c>
      <c r="O52" s="161">
        <v>0</v>
      </c>
      <c r="P52" s="162" t="str">
        <f>IFERROR(O52/N52-1,"-")</f>
        <v>-</v>
      </c>
      <c r="Q52" s="179" t="str">
        <f t="shared" si="9"/>
        <v>-</v>
      </c>
      <c r="R52" s="162">
        <f>O52/O$9</f>
        <v>0</v>
      </c>
      <c r="S52" s="161">
        <v>1989</v>
      </c>
      <c r="T52" s="161">
        <v>4950</v>
      </c>
      <c r="U52" s="161">
        <v>6738</v>
      </c>
      <c r="V52" s="161">
        <v>20078</v>
      </c>
      <c r="W52" s="161">
        <v>10886</v>
      </c>
      <c r="X52" s="162">
        <f>IFERROR(W52/V52-1,"-")</f>
        <v>-0.45781452335890027</v>
      </c>
      <c r="Y52" s="179">
        <f t="shared" si="10"/>
        <v>4.4731020613373556</v>
      </c>
      <c r="Z52" s="162">
        <f t="shared" si="23"/>
        <v>1.7840155070080461E-3</v>
      </c>
    </row>
    <row r="53" spans="1:26" x14ac:dyDescent="0.25">
      <c r="A53" s="163" t="s">
        <v>105</v>
      </c>
      <c r="B53" s="164" t="s">
        <v>105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6" t="str">
        <f>IFERROR(G53/F53-1,"-")</f>
        <v>-</v>
      </c>
      <c r="I53" s="180" t="str">
        <f t="shared" si="1"/>
        <v>-</v>
      </c>
      <c r="J53" s="166">
        <f>G53/G$9</f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6" t="str">
        <f>IFERROR(O53/N53-1,"-")</f>
        <v>-</v>
      </c>
      <c r="Q53" s="180" t="str">
        <f t="shared" si="9"/>
        <v>-</v>
      </c>
      <c r="R53" s="166">
        <f>O53/O$9</f>
        <v>0</v>
      </c>
      <c r="S53" s="165">
        <v>1487</v>
      </c>
      <c r="T53" s="165">
        <v>2415</v>
      </c>
      <c r="U53" s="165">
        <v>3508</v>
      </c>
      <c r="V53" s="165">
        <v>14700</v>
      </c>
      <c r="W53" s="165">
        <v>7147</v>
      </c>
      <c r="X53" s="166">
        <f>IFERROR(W53/V53-1,"-")</f>
        <v>-0.51380952380952383</v>
      </c>
      <c r="Y53" s="180">
        <f t="shared" si="10"/>
        <v>3.8063214525891054</v>
      </c>
      <c r="Z53" s="166">
        <f t="shared" si="23"/>
        <v>9.2881068545328373E-4</v>
      </c>
    </row>
    <row r="54" spans="1:26" x14ac:dyDescent="0.25">
      <c r="A54" s="163" t="s">
        <v>102</v>
      </c>
      <c r="B54" s="164" t="s">
        <v>102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6" t="str">
        <f>IFERROR(G54/F54-1,"-")</f>
        <v>-</v>
      </c>
      <c r="I54" s="180" t="str">
        <f t="shared" si="1"/>
        <v>-</v>
      </c>
      <c r="J54" s="166">
        <f>G54/G$9</f>
        <v>0</v>
      </c>
      <c r="K54" s="165">
        <v>0</v>
      </c>
      <c r="L54" s="165">
        <v>0</v>
      </c>
      <c r="M54" s="165">
        <v>0</v>
      </c>
      <c r="N54" s="165">
        <v>0</v>
      </c>
      <c r="O54" s="165">
        <v>0</v>
      </c>
      <c r="P54" s="166" t="str">
        <f>IFERROR(O54/N54-1,"-")</f>
        <v>-</v>
      </c>
      <c r="Q54" s="180" t="str">
        <f t="shared" si="9"/>
        <v>-</v>
      </c>
      <c r="R54" s="166">
        <f>O54/O$9</f>
        <v>0</v>
      </c>
      <c r="S54" s="165">
        <v>502</v>
      </c>
      <c r="T54" s="165">
        <v>2535</v>
      </c>
      <c r="U54" s="165">
        <v>3230</v>
      </c>
      <c r="V54" s="165">
        <v>5378</v>
      </c>
      <c r="W54" s="165">
        <v>3739</v>
      </c>
      <c r="X54" s="166">
        <f>IFERROR(W54/V54-1,"-")</f>
        <v>-0.30476013387876533</v>
      </c>
      <c r="Y54" s="180">
        <f t="shared" si="10"/>
        <v>6.4482071713147411</v>
      </c>
      <c r="Z54" s="166">
        <f t="shared" si="23"/>
        <v>8.552048215547624E-4</v>
      </c>
    </row>
    <row r="55" spans="1:26" x14ac:dyDescent="0.25">
      <c r="A55" s="1" t="s">
        <v>148</v>
      </c>
      <c r="B55" s="160" t="s">
        <v>109</v>
      </c>
      <c r="C55" s="161">
        <v>0</v>
      </c>
      <c r="D55" s="161">
        <v>0</v>
      </c>
      <c r="E55" s="161">
        <v>0</v>
      </c>
      <c r="F55" s="161">
        <v>0</v>
      </c>
      <c r="G55" s="161">
        <v>0</v>
      </c>
      <c r="H55" s="162" t="str">
        <f>IFERROR(G55/F55-1,"-")</f>
        <v>-</v>
      </c>
      <c r="I55" s="179" t="str">
        <f t="shared" si="1"/>
        <v>-</v>
      </c>
      <c r="J55" s="162">
        <f>G55/G$9</f>
        <v>0</v>
      </c>
      <c r="K55" s="161">
        <v>0</v>
      </c>
      <c r="L55" s="161">
        <v>0</v>
      </c>
      <c r="M55" s="161">
        <v>0</v>
      </c>
      <c r="N55" s="161">
        <v>0</v>
      </c>
      <c r="O55" s="161">
        <v>0</v>
      </c>
      <c r="P55" s="162" t="str">
        <f>IFERROR(O55/N55-1,"-")</f>
        <v>-</v>
      </c>
      <c r="Q55" s="179" t="str">
        <f t="shared" si="9"/>
        <v>-</v>
      </c>
      <c r="R55" s="162">
        <f>O55/O$9</f>
        <v>0</v>
      </c>
      <c r="S55" s="161">
        <v>8766</v>
      </c>
      <c r="T55" s="161">
        <v>15211</v>
      </c>
      <c r="U55" s="161">
        <v>30900</v>
      </c>
      <c r="V55" s="161">
        <v>30443</v>
      </c>
      <c r="W55" s="161">
        <v>32189</v>
      </c>
      <c r="X55" s="162">
        <f>IFERROR(W55/V55-1,"-")</f>
        <v>5.7353086095325745E-2</v>
      </c>
      <c r="Y55" s="179">
        <f t="shared" si="10"/>
        <v>2.6720282911248003</v>
      </c>
      <c r="Z55" s="162">
        <f t="shared" si="23"/>
        <v>8.1813712031090276E-3</v>
      </c>
    </row>
    <row r="56" spans="1:26" x14ac:dyDescent="0.25">
      <c r="A56" s="163" t="s">
        <v>112</v>
      </c>
      <c r="B56" s="164" t="s">
        <v>112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6" t="str">
        <f t="shared" ref="H56:H63" si="24">IFERROR(G56/F56-1,"-")</f>
        <v>-</v>
      </c>
      <c r="I56" s="180" t="str">
        <f t="shared" si="1"/>
        <v>-</v>
      </c>
      <c r="J56" s="166">
        <f t="shared" ref="J56:J63" si="25">G56/G$9</f>
        <v>0</v>
      </c>
      <c r="K56" s="165">
        <v>0</v>
      </c>
      <c r="L56" s="165">
        <v>0</v>
      </c>
      <c r="M56" s="165">
        <v>0</v>
      </c>
      <c r="N56" s="165">
        <v>0</v>
      </c>
      <c r="O56" s="165">
        <v>0</v>
      </c>
      <c r="P56" s="166" t="str">
        <f t="shared" ref="P56:P63" si="26">IFERROR(O56/N56-1,"-")</f>
        <v>-</v>
      </c>
      <c r="Q56" s="180" t="str">
        <f t="shared" si="9"/>
        <v>-</v>
      </c>
      <c r="R56" s="166">
        <f t="shared" ref="R56:R63" si="27">O56/O$9</f>
        <v>0</v>
      </c>
      <c r="S56" s="165">
        <v>2464</v>
      </c>
      <c r="T56" s="165">
        <v>3030</v>
      </c>
      <c r="U56" s="165">
        <v>10329</v>
      </c>
      <c r="V56" s="165">
        <v>9247</v>
      </c>
      <c r="W56" s="165">
        <v>10942</v>
      </c>
      <c r="X56" s="166">
        <f t="shared" ref="X56:X63" si="28">IFERROR(W56/V56-1,"-")</f>
        <v>0.18330269276522104</v>
      </c>
      <c r="Y56" s="180">
        <f t="shared" si="10"/>
        <v>3.4407467532467528</v>
      </c>
      <c r="Z56" s="166">
        <f t="shared" si="23"/>
        <v>2.7348020439130465E-3</v>
      </c>
    </row>
    <row r="57" spans="1:26" x14ac:dyDescent="0.25">
      <c r="A57" s="163" t="s">
        <v>115</v>
      </c>
      <c r="B57" s="164" t="s">
        <v>115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6" t="str">
        <f t="shared" si="24"/>
        <v>-</v>
      </c>
      <c r="I57" s="180" t="str">
        <f t="shared" si="1"/>
        <v>-</v>
      </c>
      <c r="J57" s="166">
        <f t="shared" si="25"/>
        <v>0</v>
      </c>
      <c r="K57" s="165">
        <v>0</v>
      </c>
      <c r="L57" s="165">
        <v>0</v>
      </c>
      <c r="M57" s="165">
        <v>0</v>
      </c>
      <c r="N57" s="165">
        <v>0</v>
      </c>
      <c r="O57" s="165">
        <v>0</v>
      </c>
      <c r="P57" s="166" t="str">
        <f t="shared" si="26"/>
        <v>-</v>
      </c>
      <c r="Q57" s="180" t="str">
        <f t="shared" si="9"/>
        <v>-</v>
      </c>
      <c r="R57" s="166">
        <f t="shared" si="27"/>
        <v>0</v>
      </c>
      <c r="S57" s="165">
        <v>2785</v>
      </c>
      <c r="T57" s="165">
        <v>5150</v>
      </c>
      <c r="U57" s="165">
        <v>6783</v>
      </c>
      <c r="V57" s="165">
        <v>6068</v>
      </c>
      <c r="W57" s="165">
        <v>6432</v>
      </c>
      <c r="X57" s="166">
        <f t="shared" si="28"/>
        <v>5.9986816084377059E-2</v>
      </c>
      <c r="Y57" s="180">
        <f t="shared" si="10"/>
        <v>1.3095152603231597</v>
      </c>
      <c r="Z57" s="166">
        <f t="shared" si="23"/>
        <v>1.7959301252650009E-3</v>
      </c>
    </row>
    <row r="58" spans="1:26" x14ac:dyDescent="0.25">
      <c r="A58" s="163" t="s">
        <v>118</v>
      </c>
      <c r="B58" s="164" t="s">
        <v>118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6" t="str">
        <f t="shared" si="24"/>
        <v>-</v>
      </c>
      <c r="I58" s="180" t="str">
        <f t="shared" si="1"/>
        <v>-</v>
      </c>
      <c r="J58" s="166">
        <f t="shared" si="25"/>
        <v>0</v>
      </c>
      <c r="K58" s="165">
        <v>0</v>
      </c>
      <c r="L58" s="165">
        <v>0</v>
      </c>
      <c r="M58" s="165">
        <v>0</v>
      </c>
      <c r="N58" s="165">
        <v>0</v>
      </c>
      <c r="O58" s="165">
        <v>0</v>
      </c>
      <c r="P58" s="166" t="str">
        <f t="shared" si="26"/>
        <v>-</v>
      </c>
      <c r="Q58" s="180" t="str">
        <f t="shared" si="9"/>
        <v>-</v>
      </c>
      <c r="R58" s="166">
        <f t="shared" si="27"/>
        <v>0</v>
      </c>
      <c r="S58" s="165">
        <v>488</v>
      </c>
      <c r="T58" s="165">
        <v>1642</v>
      </c>
      <c r="U58" s="165">
        <v>2739</v>
      </c>
      <c r="V58" s="165">
        <v>2907</v>
      </c>
      <c r="W58" s="165">
        <v>2287</v>
      </c>
      <c r="X58" s="166">
        <f t="shared" si="28"/>
        <v>-0.21327829377364982</v>
      </c>
      <c r="Y58" s="180">
        <f t="shared" si="10"/>
        <v>3.6864754098360653</v>
      </c>
      <c r="Z58" s="166">
        <f t="shared" si="23"/>
        <v>7.2520309790665457E-4</v>
      </c>
    </row>
    <row r="59" spans="1:26" x14ac:dyDescent="0.25">
      <c r="A59" s="163" t="s">
        <v>125</v>
      </c>
      <c r="B59" s="164" t="s">
        <v>125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6" t="str">
        <f t="shared" si="24"/>
        <v>-</v>
      </c>
      <c r="I59" s="180" t="str">
        <f t="shared" si="1"/>
        <v>-</v>
      </c>
      <c r="J59" s="166">
        <f t="shared" si="25"/>
        <v>0</v>
      </c>
      <c r="K59" s="165">
        <v>0</v>
      </c>
      <c r="L59" s="165">
        <v>0</v>
      </c>
      <c r="M59" s="165">
        <v>0</v>
      </c>
      <c r="N59" s="165">
        <v>0</v>
      </c>
      <c r="O59" s="165">
        <v>0</v>
      </c>
      <c r="P59" s="166" t="str">
        <f t="shared" si="26"/>
        <v>-</v>
      </c>
      <c r="Q59" s="180" t="str">
        <f t="shared" si="9"/>
        <v>-</v>
      </c>
      <c r="R59" s="166">
        <f t="shared" si="27"/>
        <v>0</v>
      </c>
      <c r="S59" s="165">
        <v>271</v>
      </c>
      <c r="T59" s="165">
        <v>377</v>
      </c>
      <c r="U59" s="165">
        <v>866</v>
      </c>
      <c r="V59" s="165">
        <v>806</v>
      </c>
      <c r="W59" s="165">
        <v>1078</v>
      </c>
      <c r="X59" s="166">
        <f t="shared" si="28"/>
        <v>0.33746898263027303</v>
      </c>
      <c r="Y59" s="180">
        <f t="shared" si="10"/>
        <v>2.9778597785977858</v>
      </c>
      <c r="Z59" s="166">
        <f t="shared" si="23"/>
        <v>2.2929020912273196E-4</v>
      </c>
    </row>
    <row r="60" spans="1:26" x14ac:dyDescent="0.25">
      <c r="A60" s="163" t="s">
        <v>121</v>
      </c>
      <c r="B60" s="164" t="s">
        <v>121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6" t="str">
        <f t="shared" si="24"/>
        <v>-</v>
      </c>
      <c r="I60" s="180" t="str">
        <f t="shared" si="1"/>
        <v>-</v>
      </c>
      <c r="J60" s="166">
        <f t="shared" si="25"/>
        <v>0</v>
      </c>
      <c r="K60" s="165">
        <v>0</v>
      </c>
      <c r="L60" s="165">
        <v>0</v>
      </c>
      <c r="M60" s="165">
        <v>0</v>
      </c>
      <c r="N60" s="165">
        <v>0</v>
      </c>
      <c r="O60" s="165">
        <v>0</v>
      </c>
      <c r="P60" s="166" t="str">
        <f t="shared" si="26"/>
        <v>-</v>
      </c>
      <c r="Q60" s="180" t="str">
        <f t="shared" si="9"/>
        <v>-</v>
      </c>
      <c r="R60" s="166">
        <f t="shared" si="27"/>
        <v>0</v>
      </c>
      <c r="S60" s="165">
        <v>177</v>
      </c>
      <c r="T60" s="165">
        <v>476</v>
      </c>
      <c r="U60" s="165">
        <v>649</v>
      </c>
      <c r="V60" s="165">
        <v>683</v>
      </c>
      <c r="W60" s="165">
        <v>802</v>
      </c>
      <c r="X60" s="166">
        <f t="shared" si="28"/>
        <v>0.17423133235724753</v>
      </c>
      <c r="Y60" s="180">
        <f t="shared" si="10"/>
        <v>3.5310734463276834</v>
      </c>
      <c r="Z60" s="166">
        <f t="shared" si="23"/>
        <v>1.7183527219474947E-4</v>
      </c>
    </row>
    <row r="61" spans="1:26" x14ac:dyDescent="0.25">
      <c r="A61" s="163" t="s">
        <v>130</v>
      </c>
      <c r="B61" s="164" t="s">
        <v>130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6" t="str">
        <f t="shared" si="24"/>
        <v>-</v>
      </c>
      <c r="I61" s="180" t="str">
        <f t="shared" si="1"/>
        <v>-</v>
      </c>
      <c r="J61" s="166">
        <f t="shared" si="25"/>
        <v>0</v>
      </c>
      <c r="K61" s="165">
        <v>0</v>
      </c>
      <c r="L61" s="165">
        <v>0</v>
      </c>
      <c r="M61" s="165">
        <v>0</v>
      </c>
      <c r="N61" s="165">
        <v>0</v>
      </c>
      <c r="O61" s="165">
        <v>0</v>
      </c>
      <c r="P61" s="166" t="str">
        <f t="shared" si="26"/>
        <v>-</v>
      </c>
      <c r="Q61" s="180" t="str">
        <f t="shared" si="9"/>
        <v>-</v>
      </c>
      <c r="R61" s="166">
        <f t="shared" si="27"/>
        <v>0</v>
      </c>
      <c r="S61" s="165">
        <v>76</v>
      </c>
      <c r="T61" s="165">
        <v>98</v>
      </c>
      <c r="U61" s="165">
        <v>132</v>
      </c>
      <c r="V61" s="165">
        <v>239</v>
      </c>
      <c r="W61" s="165">
        <v>141</v>
      </c>
      <c r="X61" s="166">
        <f t="shared" si="28"/>
        <v>-0.41004184100418406</v>
      </c>
      <c r="Y61" s="180">
        <f t="shared" si="10"/>
        <v>0.85526315789473695</v>
      </c>
      <c r="Z61" s="166">
        <f t="shared" si="23"/>
        <v>3.4949546887067689E-5</v>
      </c>
    </row>
    <row r="62" spans="1:26" x14ac:dyDescent="0.25">
      <c r="A62" s="163" t="s">
        <v>133</v>
      </c>
      <c r="B62" s="164" t="s">
        <v>133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6" t="str">
        <f t="shared" si="24"/>
        <v>-</v>
      </c>
      <c r="I62" s="180" t="str">
        <f t="shared" si="1"/>
        <v>-</v>
      </c>
      <c r="J62" s="166">
        <f t="shared" si="25"/>
        <v>0</v>
      </c>
      <c r="K62" s="165">
        <v>0</v>
      </c>
      <c r="L62" s="165">
        <v>0</v>
      </c>
      <c r="M62" s="165">
        <v>0</v>
      </c>
      <c r="N62" s="165">
        <v>0</v>
      </c>
      <c r="O62" s="165">
        <v>0</v>
      </c>
      <c r="P62" s="166" t="str">
        <f t="shared" si="26"/>
        <v>-</v>
      </c>
      <c r="Q62" s="180" t="str">
        <f t="shared" si="9"/>
        <v>-</v>
      </c>
      <c r="R62" s="166">
        <f t="shared" si="27"/>
        <v>0</v>
      </c>
      <c r="S62" s="165">
        <v>121</v>
      </c>
      <c r="T62" s="165">
        <v>91</v>
      </c>
      <c r="U62" s="165">
        <v>153</v>
      </c>
      <c r="V62" s="165">
        <v>195</v>
      </c>
      <c r="W62" s="165">
        <v>154</v>
      </c>
      <c r="X62" s="166">
        <f t="shared" si="28"/>
        <v>-0.21025641025641029</v>
      </c>
      <c r="Y62" s="180">
        <f t="shared" si="10"/>
        <v>0.27272727272727271</v>
      </c>
      <c r="Z62" s="166">
        <f t="shared" si="23"/>
        <v>4.0509702073646636E-5</v>
      </c>
    </row>
    <row r="63" spans="1:26" x14ac:dyDescent="0.25">
      <c r="A63" s="168" t="s">
        <v>147</v>
      </c>
      <c r="B63" s="169" t="s">
        <v>147</v>
      </c>
      <c r="C63" s="170">
        <f>C55-SUM(C56:C62)</f>
        <v>0</v>
      </c>
      <c r="D63" s="170">
        <f>D55-SUM(D56:D62)</f>
        <v>0</v>
      </c>
      <c r="E63" s="170">
        <f>E55-SUM(E56:E62)</f>
        <v>0</v>
      </c>
      <c r="F63" s="170">
        <f>F55-SUM(F56:F62)</f>
        <v>0</v>
      </c>
      <c r="G63" s="170">
        <f>G55-SUM(G56:G62)</f>
        <v>0</v>
      </c>
      <c r="H63" s="171" t="str">
        <f t="shared" si="24"/>
        <v>-</v>
      </c>
      <c r="I63" s="181" t="str">
        <f t="shared" si="1"/>
        <v>-</v>
      </c>
      <c r="J63" s="171">
        <f t="shared" si="25"/>
        <v>0</v>
      </c>
      <c r="K63" s="170">
        <f>K55-SUM(K56:K62)</f>
        <v>0</v>
      </c>
      <c r="L63" s="170">
        <f>L55-SUM(L56:L62)</f>
        <v>0</v>
      </c>
      <c r="M63" s="170">
        <f>M55-SUM(M56:M62)</f>
        <v>0</v>
      </c>
      <c r="N63" s="170">
        <f>N55-SUM(N56:N62)</f>
        <v>0</v>
      </c>
      <c r="O63" s="170">
        <f>O55-SUM(O56:O62)</f>
        <v>0</v>
      </c>
      <c r="P63" s="171" t="str">
        <f t="shared" si="26"/>
        <v>-</v>
      </c>
      <c r="Q63" s="181" t="str">
        <f t="shared" si="9"/>
        <v>-</v>
      </c>
      <c r="R63" s="171">
        <f t="shared" si="27"/>
        <v>0</v>
      </c>
      <c r="S63" s="170">
        <f>S55-SUM(S56:S62)</f>
        <v>2384</v>
      </c>
      <c r="T63" s="170">
        <f>T55-SUM(T56:T62)</f>
        <v>4347</v>
      </c>
      <c r="U63" s="170">
        <f>U55-SUM(U56:U62)</f>
        <v>9249</v>
      </c>
      <c r="V63" s="170">
        <f>V55-SUM(V56:V62)</f>
        <v>10298</v>
      </c>
      <c r="W63" s="170">
        <f>W55-SUM(W56:W62)</f>
        <v>10353</v>
      </c>
      <c r="X63" s="171">
        <f t="shared" si="28"/>
        <v>5.3408428821131171E-3</v>
      </c>
      <c r="Y63" s="181">
        <f t="shared" si="10"/>
        <v>3.3427013422818792</v>
      </c>
      <c r="Z63" s="171">
        <f t="shared" si="23"/>
        <v>2.4488512057461291E-3</v>
      </c>
    </row>
    <row r="64" spans="1:26" x14ac:dyDescent="0.25">
      <c r="A64" s="1"/>
      <c r="B64" s="156" t="s">
        <v>49</v>
      </c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</row>
    <row r="65" spans="1:26" x14ac:dyDescent="0.25">
      <c r="A65" s="1" t="s">
        <v>0</v>
      </c>
      <c r="B65" s="157" t="s">
        <v>70</v>
      </c>
      <c r="C65" s="177">
        <f>C66+C69</f>
        <v>0</v>
      </c>
      <c r="D65" s="177">
        <f>D66+D69</f>
        <v>0</v>
      </c>
      <c r="E65" s="177">
        <f>E66+E69</f>
        <v>0</v>
      </c>
      <c r="F65" s="177">
        <f>F66+F69</f>
        <v>0</v>
      </c>
      <c r="G65" s="177">
        <f>G66+G69</f>
        <v>0</v>
      </c>
      <c r="H65" s="178" t="str">
        <f>IFERROR(G65/F65-1,"-")</f>
        <v>-</v>
      </c>
      <c r="I65" s="178" t="str">
        <f t="shared" si="1"/>
        <v>-</v>
      </c>
      <c r="J65" s="178">
        <f>G65/G$9</f>
        <v>0</v>
      </c>
      <c r="K65" s="177">
        <f>K66+K69</f>
        <v>0</v>
      </c>
      <c r="L65" s="177">
        <f>L66+L69</f>
        <v>0</v>
      </c>
      <c r="M65" s="177">
        <f>M66+M69</f>
        <v>0</v>
      </c>
      <c r="N65" s="177">
        <f>N66+N69</f>
        <v>0</v>
      </c>
      <c r="O65" s="177">
        <f>O66+O69</f>
        <v>0</v>
      </c>
      <c r="P65" s="178" t="str">
        <f>IFERROR(O65/N65-1,"-")</f>
        <v>-</v>
      </c>
      <c r="Q65" s="178" t="str">
        <f t="shared" si="9"/>
        <v>-</v>
      </c>
      <c r="R65" s="178">
        <f>O65/O$9</f>
        <v>0</v>
      </c>
      <c r="S65" s="177">
        <f>S66+S69</f>
        <v>54073</v>
      </c>
      <c r="T65" s="177">
        <f>T66+T69</f>
        <v>62020</v>
      </c>
      <c r="U65" s="177">
        <f>U66+U69</f>
        <v>151473</v>
      </c>
      <c r="V65" s="177">
        <f>V66+V69</f>
        <v>170958</v>
      </c>
      <c r="W65" s="177">
        <f>W66+W69</f>
        <v>191595</v>
      </c>
      <c r="X65" s="178">
        <f>IFERROR(W65/V65-1,"-")</f>
        <v>0.12071385954444946</v>
      </c>
      <c r="Y65" s="178">
        <f t="shared" si="10"/>
        <v>2.5432655854123132</v>
      </c>
      <c r="Z65" s="178">
        <f t="shared" ref="Z65:Z77" si="29">U65/U$9</f>
        <v>4.0105399360793971E-2</v>
      </c>
    </row>
    <row r="66" spans="1:26" x14ac:dyDescent="0.25">
      <c r="A66" s="1" t="s">
        <v>98</v>
      </c>
      <c r="B66" s="160" t="s">
        <v>99</v>
      </c>
      <c r="C66" s="161">
        <v>0</v>
      </c>
      <c r="D66" s="161">
        <v>0</v>
      </c>
      <c r="E66" s="161">
        <v>0</v>
      </c>
      <c r="F66" s="161">
        <v>0</v>
      </c>
      <c r="G66" s="161">
        <v>0</v>
      </c>
      <c r="H66" s="162" t="str">
        <f>IFERROR(G66/F66-1,"-")</f>
        <v>-</v>
      </c>
      <c r="I66" s="179" t="str">
        <f t="shared" si="1"/>
        <v>-</v>
      </c>
      <c r="J66" s="162">
        <f>G66/G$9</f>
        <v>0</v>
      </c>
      <c r="K66" s="161">
        <v>0</v>
      </c>
      <c r="L66" s="161">
        <v>0</v>
      </c>
      <c r="M66" s="161">
        <v>0</v>
      </c>
      <c r="N66" s="161">
        <v>0</v>
      </c>
      <c r="O66" s="161">
        <v>0</v>
      </c>
      <c r="P66" s="162" t="str">
        <f>IFERROR(O66/N66-1,"-")</f>
        <v>-</v>
      </c>
      <c r="Q66" s="179" t="str">
        <f t="shared" si="9"/>
        <v>-</v>
      </c>
      <c r="R66" s="162">
        <f>O66/O$9</f>
        <v>0</v>
      </c>
      <c r="S66" s="161">
        <v>24032</v>
      </c>
      <c r="T66" s="161">
        <v>25803</v>
      </c>
      <c r="U66" s="161">
        <v>30941</v>
      </c>
      <c r="V66" s="161">
        <v>45548</v>
      </c>
      <c r="W66" s="161">
        <v>58550</v>
      </c>
      <c r="X66" s="162">
        <f>IFERROR(W66/V66-1,"-")</f>
        <v>0.28545710020198478</v>
      </c>
      <c r="Y66" s="179">
        <f t="shared" si="10"/>
        <v>1.4363348868175767</v>
      </c>
      <c r="Z66" s="162">
        <f t="shared" si="29"/>
        <v>8.1922267441875852E-3</v>
      </c>
    </row>
    <row r="67" spans="1:26" x14ac:dyDescent="0.25">
      <c r="A67" s="163" t="s">
        <v>105</v>
      </c>
      <c r="B67" s="164" t="s">
        <v>105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6" t="str">
        <f>IFERROR(G67/F67-1,"-")</f>
        <v>-</v>
      </c>
      <c r="I67" s="180" t="str">
        <f t="shared" si="1"/>
        <v>-</v>
      </c>
      <c r="J67" s="166">
        <f>G67/G$9</f>
        <v>0</v>
      </c>
      <c r="K67" s="165">
        <v>0</v>
      </c>
      <c r="L67" s="165">
        <v>0</v>
      </c>
      <c r="M67" s="165">
        <v>0</v>
      </c>
      <c r="N67" s="165">
        <v>0</v>
      </c>
      <c r="O67" s="165">
        <v>0</v>
      </c>
      <c r="P67" s="166" t="str">
        <f>IFERROR(O67/N67-1,"-")</f>
        <v>-</v>
      </c>
      <c r="Q67" s="180" t="str">
        <f t="shared" si="9"/>
        <v>-</v>
      </c>
      <c r="R67" s="166">
        <f>O67/O$9</f>
        <v>0</v>
      </c>
      <c r="S67" s="165">
        <v>8814</v>
      </c>
      <c r="T67" s="165">
        <v>21207</v>
      </c>
      <c r="U67" s="165">
        <v>22920</v>
      </c>
      <c r="V67" s="165">
        <v>31464</v>
      </c>
      <c r="W67" s="165">
        <v>34800</v>
      </c>
      <c r="X67" s="166">
        <f>IFERROR(W67/V67-1,"-")</f>
        <v>0.10602593440122043</v>
      </c>
      <c r="Y67" s="180">
        <f t="shared" si="10"/>
        <v>2.9482641252552755</v>
      </c>
      <c r="Z67" s="166">
        <f t="shared" si="29"/>
        <v>6.0685122322090262E-3</v>
      </c>
    </row>
    <row r="68" spans="1:26" x14ac:dyDescent="0.25">
      <c r="A68" s="163" t="s">
        <v>102</v>
      </c>
      <c r="B68" s="164" t="s">
        <v>102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6" t="str">
        <f>IFERROR(G68/F68-1,"-")</f>
        <v>-</v>
      </c>
      <c r="I68" s="180" t="str">
        <f t="shared" si="1"/>
        <v>-</v>
      </c>
      <c r="J68" s="166">
        <f>G68/G$9</f>
        <v>0</v>
      </c>
      <c r="K68" s="165">
        <v>0</v>
      </c>
      <c r="L68" s="165">
        <v>0</v>
      </c>
      <c r="M68" s="165">
        <v>0</v>
      </c>
      <c r="N68" s="165">
        <v>0</v>
      </c>
      <c r="O68" s="165">
        <v>0</v>
      </c>
      <c r="P68" s="166" t="str">
        <f>IFERROR(O68/N68-1,"-")</f>
        <v>-</v>
      </c>
      <c r="Q68" s="180" t="str">
        <f t="shared" si="9"/>
        <v>-</v>
      </c>
      <c r="R68" s="166">
        <f>O68/O$9</f>
        <v>0</v>
      </c>
      <c r="S68" s="165">
        <v>15218</v>
      </c>
      <c r="T68" s="165">
        <v>4596</v>
      </c>
      <c r="U68" s="165">
        <v>8021</v>
      </c>
      <c r="V68" s="165">
        <v>14084</v>
      </c>
      <c r="W68" s="165">
        <v>23750</v>
      </c>
      <c r="X68" s="166">
        <f>IFERROR(W68/V68-1,"-")</f>
        <v>0.68631070718545861</v>
      </c>
      <c r="Y68" s="180">
        <f t="shared" si="10"/>
        <v>0.56065185963990016</v>
      </c>
      <c r="Z68" s="166">
        <f t="shared" si="29"/>
        <v>2.1237145119785599E-3</v>
      </c>
    </row>
    <row r="69" spans="1:26" x14ac:dyDescent="0.25">
      <c r="A69" s="1" t="s">
        <v>148</v>
      </c>
      <c r="B69" s="160" t="s">
        <v>109</v>
      </c>
      <c r="C69" s="161">
        <v>0</v>
      </c>
      <c r="D69" s="161">
        <v>0</v>
      </c>
      <c r="E69" s="161">
        <v>0</v>
      </c>
      <c r="F69" s="161">
        <v>0</v>
      </c>
      <c r="G69" s="161">
        <v>0</v>
      </c>
      <c r="H69" s="162" t="str">
        <f>IFERROR(G69/F69-1,"-")</f>
        <v>-</v>
      </c>
      <c r="I69" s="179" t="str">
        <f t="shared" si="1"/>
        <v>-</v>
      </c>
      <c r="J69" s="162">
        <f>G69/G$9</f>
        <v>0</v>
      </c>
      <c r="K69" s="161">
        <v>0</v>
      </c>
      <c r="L69" s="161">
        <v>0</v>
      </c>
      <c r="M69" s="161">
        <v>0</v>
      </c>
      <c r="N69" s="161">
        <v>0</v>
      </c>
      <c r="O69" s="161">
        <v>0</v>
      </c>
      <c r="P69" s="162" t="str">
        <f>IFERROR(O69/N69-1,"-")</f>
        <v>-</v>
      </c>
      <c r="Q69" s="179" t="str">
        <f t="shared" si="9"/>
        <v>-</v>
      </c>
      <c r="R69" s="162">
        <f>O69/O$9</f>
        <v>0</v>
      </c>
      <c r="S69" s="161">
        <v>30041</v>
      </c>
      <c r="T69" s="161">
        <v>36217</v>
      </c>
      <c r="U69" s="161">
        <v>120532</v>
      </c>
      <c r="V69" s="161">
        <v>125410</v>
      </c>
      <c r="W69" s="161">
        <v>133045</v>
      </c>
      <c r="X69" s="162">
        <f>IFERROR(W69/V69-1,"-")</f>
        <v>6.0880312574754791E-2</v>
      </c>
      <c r="Y69" s="179">
        <f t="shared" si="10"/>
        <v>3.428780666422556</v>
      </c>
      <c r="Z69" s="162">
        <f t="shared" si="29"/>
        <v>3.1913172616606381E-2</v>
      </c>
    </row>
    <row r="70" spans="1:26" x14ac:dyDescent="0.25">
      <c r="A70" s="163" t="s">
        <v>112</v>
      </c>
      <c r="B70" s="164" t="s">
        <v>112</v>
      </c>
      <c r="C70" s="165">
        <v>0</v>
      </c>
      <c r="D70" s="165">
        <v>0</v>
      </c>
      <c r="E70" s="165">
        <v>0</v>
      </c>
      <c r="F70" s="165">
        <v>0</v>
      </c>
      <c r="G70" s="165">
        <v>0</v>
      </c>
      <c r="H70" s="166" t="str">
        <f t="shared" ref="H70:H77" si="30">IFERROR(G70/F70-1,"-")</f>
        <v>-</v>
      </c>
      <c r="I70" s="180" t="str">
        <f t="shared" si="1"/>
        <v>-</v>
      </c>
      <c r="J70" s="166">
        <f t="shared" ref="J70:J77" si="31">G70/G$9</f>
        <v>0</v>
      </c>
      <c r="K70" s="165">
        <v>0</v>
      </c>
      <c r="L70" s="165">
        <v>0</v>
      </c>
      <c r="M70" s="165">
        <v>0</v>
      </c>
      <c r="N70" s="165">
        <v>0</v>
      </c>
      <c r="O70" s="165">
        <v>0</v>
      </c>
      <c r="P70" s="166" t="str">
        <f t="shared" ref="P70:P77" si="32">IFERROR(O70/N70-1,"-")</f>
        <v>-</v>
      </c>
      <c r="Q70" s="180" t="str">
        <f t="shared" si="9"/>
        <v>-</v>
      </c>
      <c r="R70" s="166">
        <f t="shared" ref="R70:R77" si="33">O70/O$9</f>
        <v>0</v>
      </c>
      <c r="S70" s="165">
        <v>13564</v>
      </c>
      <c r="T70" s="165">
        <v>7549</v>
      </c>
      <c r="U70" s="165">
        <v>52809</v>
      </c>
      <c r="V70" s="165">
        <v>48101</v>
      </c>
      <c r="W70" s="165">
        <v>45250</v>
      </c>
      <c r="X70" s="166">
        <f t="shared" ref="X70:X77" si="34">IFERROR(W70/V70-1,"-")</f>
        <v>-5.9271117024594089E-2</v>
      </c>
      <c r="Y70" s="180">
        <f t="shared" si="10"/>
        <v>2.3360365673842525</v>
      </c>
      <c r="Z70" s="166">
        <f t="shared" si="29"/>
        <v>1.3982201678478466E-2</v>
      </c>
    </row>
    <row r="71" spans="1:26" x14ac:dyDescent="0.25">
      <c r="A71" s="163" t="s">
        <v>115</v>
      </c>
      <c r="B71" s="164" t="s">
        <v>115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  <c r="H71" s="166" t="str">
        <f t="shared" si="30"/>
        <v>-</v>
      </c>
      <c r="I71" s="180" t="str">
        <f t="shared" si="1"/>
        <v>-</v>
      </c>
      <c r="J71" s="166">
        <f t="shared" si="31"/>
        <v>0</v>
      </c>
      <c r="K71" s="165">
        <v>0</v>
      </c>
      <c r="L71" s="165">
        <v>0</v>
      </c>
      <c r="M71" s="165">
        <v>0</v>
      </c>
      <c r="N71" s="165">
        <v>0</v>
      </c>
      <c r="O71" s="165">
        <v>0</v>
      </c>
      <c r="P71" s="166" t="str">
        <f t="shared" si="32"/>
        <v>-</v>
      </c>
      <c r="Q71" s="180" t="str">
        <f t="shared" si="9"/>
        <v>-</v>
      </c>
      <c r="R71" s="166">
        <f t="shared" si="33"/>
        <v>0</v>
      </c>
      <c r="S71" s="165">
        <v>3277</v>
      </c>
      <c r="T71" s="165">
        <v>3513</v>
      </c>
      <c r="U71" s="165">
        <v>7009</v>
      </c>
      <c r="V71" s="165">
        <v>9961</v>
      </c>
      <c r="W71" s="165">
        <v>9892</v>
      </c>
      <c r="X71" s="166">
        <f t="shared" si="34"/>
        <v>-6.9270153599035877E-3</v>
      </c>
      <c r="Y71" s="180">
        <f t="shared" si="10"/>
        <v>2.0186145865120535</v>
      </c>
      <c r="Z71" s="166">
        <f t="shared" si="29"/>
        <v>1.8557679858443744E-3</v>
      </c>
    </row>
    <row r="72" spans="1:26" x14ac:dyDescent="0.25">
      <c r="A72" s="163" t="s">
        <v>118</v>
      </c>
      <c r="B72" s="164" t="s">
        <v>118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  <c r="H72" s="166" t="str">
        <f t="shared" si="30"/>
        <v>-</v>
      </c>
      <c r="I72" s="180" t="str">
        <f t="shared" si="1"/>
        <v>-</v>
      </c>
      <c r="J72" s="166">
        <f t="shared" si="31"/>
        <v>0</v>
      </c>
      <c r="K72" s="165">
        <v>0</v>
      </c>
      <c r="L72" s="165">
        <v>0</v>
      </c>
      <c r="M72" s="165">
        <v>0</v>
      </c>
      <c r="N72" s="165">
        <v>0</v>
      </c>
      <c r="O72" s="165">
        <v>0</v>
      </c>
      <c r="P72" s="166" t="str">
        <f t="shared" si="32"/>
        <v>-</v>
      </c>
      <c r="Q72" s="180" t="str">
        <f t="shared" si="9"/>
        <v>-</v>
      </c>
      <c r="R72" s="166">
        <f t="shared" si="33"/>
        <v>0</v>
      </c>
      <c r="S72" s="165">
        <v>3407</v>
      </c>
      <c r="T72" s="165">
        <v>6247</v>
      </c>
      <c r="U72" s="165">
        <v>17604</v>
      </c>
      <c r="V72" s="165">
        <v>15357</v>
      </c>
      <c r="W72" s="165">
        <v>19078</v>
      </c>
      <c r="X72" s="166">
        <f t="shared" si="34"/>
        <v>0.24229992837142666</v>
      </c>
      <c r="Y72" s="180">
        <f t="shared" si="10"/>
        <v>4.599647783974171</v>
      </c>
      <c r="Z72" s="166">
        <f t="shared" si="29"/>
        <v>4.6609986621207545E-3</v>
      </c>
    </row>
    <row r="73" spans="1:26" x14ac:dyDescent="0.25">
      <c r="A73" s="163" t="s">
        <v>125</v>
      </c>
      <c r="B73" s="164" t="s">
        <v>125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6" t="str">
        <f t="shared" si="30"/>
        <v>-</v>
      </c>
      <c r="I73" s="180" t="str">
        <f t="shared" si="1"/>
        <v>-</v>
      </c>
      <c r="J73" s="166">
        <f t="shared" si="31"/>
        <v>0</v>
      </c>
      <c r="K73" s="165">
        <v>0</v>
      </c>
      <c r="L73" s="165">
        <v>0</v>
      </c>
      <c r="M73" s="165">
        <v>0</v>
      </c>
      <c r="N73" s="165">
        <v>0</v>
      </c>
      <c r="O73" s="165">
        <v>0</v>
      </c>
      <c r="P73" s="166" t="str">
        <f t="shared" si="32"/>
        <v>-</v>
      </c>
      <c r="Q73" s="180" t="str">
        <f t="shared" si="9"/>
        <v>-</v>
      </c>
      <c r="R73" s="166">
        <f t="shared" si="33"/>
        <v>0</v>
      </c>
      <c r="S73" s="165">
        <v>502</v>
      </c>
      <c r="T73" s="165">
        <v>1777</v>
      </c>
      <c r="U73" s="165">
        <v>2468</v>
      </c>
      <c r="V73" s="165">
        <v>3478</v>
      </c>
      <c r="W73" s="165">
        <v>4281</v>
      </c>
      <c r="X73" s="166">
        <f t="shared" si="34"/>
        <v>0.23087981598619889</v>
      </c>
      <c r="Y73" s="180">
        <f t="shared" si="10"/>
        <v>7.5278884462151403</v>
      </c>
      <c r="Z73" s="166">
        <f t="shared" si="29"/>
        <v>6.5345061907032612E-4</v>
      </c>
    </row>
    <row r="74" spans="1:26" x14ac:dyDescent="0.25">
      <c r="A74" s="163" t="s">
        <v>121</v>
      </c>
      <c r="B74" s="164" t="s">
        <v>121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6" t="str">
        <f t="shared" si="30"/>
        <v>-</v>
      </c>
      <c r="I74" s="180" t="str">
        <f t="shared" ref="I74:I137" si="35">IFERROR(G74/C74-1,"-")</f>
        <v>-</v>
      </c>
      <c r="J74" s="166">
        <f t="shared" si="31"/>
        <v>0</v>
      </c>
      <c r="K74" s="165">
        <v>0</v>
      </c>
      <c r="L74" s="165">
        <v>0</v>
      </c>
      <c r="M74" s="165">
        <v>0</v>
      </c>
      <c r="N74" s="165">
        <v>0</v>
      </c>
      <c r="O74" s="165">
        <v>0</v>
      </c>
      <c r="P74" s="166" t="str">
        <f t="shared" si="32"/>
        <v>-</v>
      </c>
      <c r="Q74" s="180" t="str">
        <f t="shared" si="9"/>
        <v>-</v>
      </c>
      <c r="R74" s="166">
        <f t="shared" si="33"/>
        <v>0</v>
      </c>
      <c r="S74" s="165">
        <v>1200</v>
      </c>
      <c r="T74" s="165">
        <v>1607</v>
      </c>
      <c r="U74" s="165">
        <v>2853</v>
      </c>
      <c r="V74" s="165">
        <v>2272</v>
      </c>
      <c r="W74" s="165">
        <v>3870</v>
      </c>
      <c r="X74" s="166">
        <f t="shared" si="34"/>
        <v>0.70334507042253525</v>
      </c>
      <c r="Y74" s="180">
        <f t="shared" si="10"/>
        <v>2.2250000000000001</v>
      </c>
      <c r="Z74" s="166">
        <f t="shared" si="29"/>
        <v>7.5538679749094029E-4</v>
      </c>
    </row>
    <row r="75" spans="1:26" x14ac:dyDescent="0.25">
      <c r="A75" s="163" t="s">
        <v>130</v>
      </c>
      <c r="B75" s="164" t="s">
        <v>130</v>
      </c>
      <c r="C75" s="165">
        <v>0</v>
      </c>
      <c r="D75" s="165">
        <v>0</v>
      </c>
      <c r="E75" s="165">
        <v>0</v>
      </c>
      <c r="F75" s="165">
        <v>0</v>
      </c>
      <c r="G75" s="165">
        <v>0</v>
      </c>
      <c r="H75" s="166" t="str">
        <f t="shared" si="30"/>
        <v>-</v>
      </c>
      <c r="I75" s="180" t="str">
        <f t="shared" si="35"/>
        <v>-</v>
      </c>
      <c r="J75" s="166">
        <f t="shared" si="31"/>
        <v>0</v>
      </c>
      <c r="K75" s="165">
        <v>0</v>
      </c>
      <c r="L75" s="165">
        <v>0</v>
      </c>
      <c r="M75" s="165">
        <v>0</v>
      </c>
      <c r="N75" s="165">
        <v>0</v>
      </c>
      <c r="O75" s="165">
        <v>0</v>
      </c>
      <c r="P75" s="166" t="str">
        <f t="shared" si="32"/>
        <v>-</v>
      </c>
      <c r="Q75" s="180" t="str">
        <f t="shared" si="9"/>
        <v>-</v>
      </c>
      <c r="R75" s="166">
        <f t="shared" si="33"/>
        <v>0</v>
      </c>
      <c r="S75" s="165">
        <v>651</v>
      </c>
      <c r="T75" s="165">
        <v>1674</v>
      </c>
      <c r="U75" s="165">
        <v>2685</v>
      </c>
      <c r="V75" s="165">
        <v>3745</v>
      </c>
      <c r="W75" s="165">
        <v>2300</v>
      </c>
      <c r="X75" s="166">
        <f t="shared" si="34"/>
        <v>-0.3858477970627503</v>
      </c>
      <c r="Y75" s="180">
        <f t="shared" si="10"/>
        <v>2.5330261136712751</v>
      </c>
      <c r="Z75" s="166">
        <f t="shared" si="29"/>
        <v>7.1090555599830866E-4</v>
      </c>
    </row>
    <row r="76" spans="1:26" x14ac:dyDescent="0.25">
      <c r="A76" s="163" t="s">
        <v>133</v>
      </c>
      <c r="B76" s="164" t="s">
        <v>133</v>
      </c>
      <c r="C76" s="165">
        <v>0</v>
      </c>
      <c r="D76" s="165">
        <v>0</v>
      </c>
      <c r="E76" s="165">
        <v>0</v>
      </c>
      <c r="F76" s="165">
        <v>0</v>
      </c>
      <c r="G76" s="165">
        <v>0</v>
      </c>
      <c r="H76" s="166" t="str">
        <f t="shared" si="30"/>
        <v>-</v>
      </c>
      <c r="I76" s="180" t="str">
        <f t="shared" si="35"/>
        <v>-</v>
      </c>
      <c r="J76" s="166">
        <f t="shared" si="31"/>
        <v>0</v>
      </c>
      <c r="K76" s="165">
        <v>0</v>
      </c>
      <c r="L76" s="165">
        <v>0</v>
      </c>
      <c r="M76" s="165">
        <v>0</v>
      </c>
      <c r="N76" s="165">
        <v>0</v>
      </c>
      <c r="O76" s="165">
        <v>0</v>
      </c>
      <c r="P76" s="166" t="str">
        <f t="shared" si="32"/>
        <v>-</v>
      </c>
      <c r="Q76" s="180" t="str">
        <f t="shared" si="9"/>
        <v>-</v>
      </c>
      <c r="R76" s="166">
        <f t="shared" si="33"/>
        <v>0</v>
      </c>
      <c r="S76" s="165">
        <v>907</v>
      </c>
      <c r="T76" s="165">
        <v>154</v>
      </c>
      <c r="U76" s="165">
        <v>799</v>
      </c>
      <c r="V76" s="165">
        <v>1039</v>
      </c>
      <c r="W76" s="165">
        <v>628</v>
      </c>
      <c r="X76" s="166">
        <f t="shared" si="34"/>
        <v>-0.39557266602502406</v>
      </c>
      <c r="Y76" s="180">
        <f t="shared" si="10"/>
        <v>-0.30760749724366043</v>
      </c>
      <c r="Z76" s="166">
        <f t="shared" si="29"/>
        <v>2.1155066638459911E-4</v>
      </c>
    </row>
    <row r="77" spans="1:26" x14ac:dyDescent="0.25">
      <c r="A77" s="168" t="s">
        <v>147</v>
      </c>
      <c r="B77" s="169" t="s">
        <v>147</v>
      </c>
      <c r="C77" s="170">
        <f>C69-SUM(C70:C76)</f>
        <v>0</v>
      </c>
      <c r="D77" s="170">
        <f>D69-SUM(D70:D76)</f>
        <v>0</v>
      </c>
      <c r="E77" s="170">
        <f>E69-SUM(E70:E76)</f>
        <v>0</v>
      </c>
      <c r="F77" s="170">
        <f>F69-SUM(F70:F76)</f>
        <v>0</v>
      </c>
      <c r="G77" s="170">
        <f>G69-SUM(G70:G76)</f>
        <v>0</v>
      </c>
      <c r="H77" s="171" t="str">
        <f t="shared" si="30"/>
        <v>-</v>
      </c>
      <c r="I77" s="181" t="str">
        <f t="shared" si="35"/>
        <v>-</v>
      </c>
      <c r="J77" s="171">
        <f t="shared" si="31"/>
        <v>0</v>
      </c>
      <c r="K77" s="170">
        <f>K69-SUM(K70:K76)</f>
        <v>0</v>
      </c>
      <c r="L77" s="170">
        <f>L69-SUM(L70:L76)</f>
        <v>0</v>
      </c>
      <c r="M77" s="170">
        <f>M69-SUM(M70:M76)</f>
        <v>0</v>
      </c>
      <c r="N77" s="170">
        <f>N69-SUM(N70:N76)</f>
        <v>0</v>
      </c>
      <c r="O77" s="170">
        <f>O69-SUM(O70:O76)</f>
        <v>0</v>
      </c>
      <c r="P77" s="171" t="str">
        <f t="shared" si="32"/>
        <v>-</v>
      </c>
      <c r="Q77" s="181" t="str">
        <f t="shared" si="9"/>
        <v>-</v>
      </c>
      <c r="R77" s="171">
        <f t="shared" si="33"/>
        <v>0</v>
      </c>
      <c r="S77" s="170">
        <f>S69-SUM(S70:S76)</f>
        <v>6533</v>
      </c>
      <c r="T77" s="170">
        <f>T69-SUM(T70:T76)</f>
        <v>13696</v>
      </c>
      <c r="U77" s="170">
        <f>U69-SUM(U70:U76)</f>
        <v>34305</v>
      </c>
      <c r="V77" s="170">
        <f>V69-SUM(V70:V76)</f>
        <v>41457</v>
      </c>
      <c r="W77" s="170">
        <f>W69-SUM(W70:W76)</f>
        <v>47746</v>
      </c>
      <c r="X77" s="171">
        <f t="shared" si="34"/>
        <v>0.15169935113491095</v>
      </c>
      <c r="Y77" s="181">
        <f t="shared" si="10"/>
        <v>6.3084341037808054</v>
      </c>
      <c r="Z77" s="171">
        <f t="shared" si="29"/>
        <v>9.0829106512186134E-3</v>
      </c>
    </row>
    <row r="78" spans="1:26" x14ac:dyDescent="0.25">
      <c r="A78" s="1"/>
      <c r="B78" s="156" t="s">
        <v>50</v>
      </c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</row>
    <row r="79" spans="1:26" x14ac:dyDescent="0.25">
      <c r="A79" s="1" t="s">
        <v>0</v>
      </c>
      <c r="B79" s="157" t="s">
        <v>70</v>
      </c>
      <c r="C79" s="177">
        <f>C80+C83</f>
        <v>34055</v>
      </c>
      <c r="D79" s="177">
        <f>D80+D83</f>
        <v>70827</v>
      </c>
      <c r="E79" s="177">
        <f>E80+E83</f>
        <v>98456</v>
      </c>
      <c r="F79" s="177">
        <f>F80+F83</f>
        <v>103299</v>
      </c>
      <c r="G79" s="177">
        <f>G80+G83</f>
        <v>118688</v>
      </c>
      <c r="H79" s="178">
        <f>IFERROR(G79/F79-1,"-")</f>
        <v>0.14897530469801246</v>
      </c>
      <c r="I79" s="178">
        <f t="shared" si="35"/>
        <v>2.4851857289678461</v>
      </c>
      <c r="J79" s="178">
        <f>G79/G$9</f>
        <v>0.15641333140048233</v>
      </c>
      <c r="K79" s="177">
        <f>K80+K83</f>
        <v>143122</v>
      </c>
      <c r="L79" s="177">
        <f>L80+L83</f>
        <v>214429</v>
      </c>
      <c r="M79" s="177">
        <f>M80+M83</f>
        <v>476344</v>
      </c>
      <c r="N79" s="177">
        <f>N80+N83</f>
        <v>549349</v>
      </c>
      <c r="O79" s="177">
        <f>O80+O83</f>
        <v>622363</v>
      </c>
      <c r="P79" s="178">
        <f>IFERROR(O79/N79-1,"-")</f>
        <v>0.13291004443441246</v>
      </c>
      <c r="Q79" s="178">
        <f t="shared" si="9"/>
        <v>3.3484789200821679</v>
      </c>
      <c r="R79" s="178">
        <f>O79/O$9</f>
        <v>0.17676598983762351</v>
      </c>
      <c r="S79" s="177">
        <f>S80+S83</f>
        <v>177177</v>
      </c>
      <c r="T79" s="177">
        <f>T80+T83</f>
        <v>285256</v>
      </c>
      <c r="U79" s="177">
        <f>U80+U83</f>
        <v>574800</v>
      </c>
      <c r="V79" s="177">
        <f>V80+V83</f>
        <v>652648</v>
      </c>
      <c r="W79" s="177">
        <f>W80+W83</f>
        <v>741051</v>
      </c>
      <c r="X79" s="178">
        <f>IFERROR(W79/V79-1,"-")</f>
        <v>0.13545280151015548</v>
      </c>
      <c r="Y79" s="178">
        <f t="shared" si="10"/>
        <v>3.1825462672920297</v>
      </c>
      <c r="Z79" s="178">
        <f t="shared" ref="Z79:Z91" si="36">U79/U$9</f>
        <v>0.15218939053550384</v>
      </c>
    </row>
    <row r="80" spans="1:26" x14ac:dyDescent="0.25">
      <c r="A80" s="1" t="s">
        <v>98</v>
      </c>
      <c r="B80" s="160" t="s">
        <v>99</v>
      </c>
      <c r="C80" s="161">
        <v>15296</v>
      </c>
      <c r="D80" s="161">
        <v>38077</v>
      </c>
      <c r="E80" s="161">
        <v>48839</v>
      </c>
      <c r="F80" s="161">
        <v>49185</v>
      </c>
      <c r="G80" s="161">
        <v>55960</v>
      </c>
      <c r="H80" s="162">
        <f>IFERROR(G80/F80-1,"-")</f>
        <v>0.13774524753481754</v>
      </c>
      <c r="I80" s="179">
        <f t="shared" si="35"/>
        <v>2.6584728033472804</v>
      </c>
      <c r="J80" s="162">
        <f>G80/G$9</f>
        <v>7.3747051304015501E-2</v>
      </c>
      <c r="K80" s="161">
        <v>67449</v>
      </c>
      <c r="L80" s="161">
        <v>109519</v>
      </c>
      <c r="M80" s="161">
        <v>230615</v>
      </c>
      <c r="N80" s="161">
        <v>229974</v>
      </c>
      <c r="O80" s="161">
        <v>243808</v>
      </c>
      <c r="P80" s="162">
        <f>IFERROR(O80/N80-1,"-")</f>
        <v>6.0154626175132897E-2</v>
      </c>
      <c r="Q80" s="179">
        <f t="shared" si="9"/>
        <v>2.6147014781538642</v>
      </c>
      <c r="R80" s="162">
        <f>O80/O$9</f>
        <v>6.9247308163131988E-2</v>
      </c>
      <c r="S80" s="161">
        <v>82745</v>
      </c>
      <c r="T80" s="161">
        <v>147596</v>
      </c>
      <c r="U80" s="161">
        <v>279454</v>
      </c>
      <c r="V80" s="161">
        <v>279159</v>
      </c>
      <c r="W80" s="161">
        <v>299768</v>
      </c>
      <c r="X80" s="162">
        <f>IFERROR(W80/V80-1,"-")</f>
        <v>7.3825311023467011E-2</v>
      </c>
      <c r="Y80" s="179">
        <f t="shared" si="10"/>
        <v>2.6227929180010876</v>
      </c>
      <c r="Z80" s="162">
        <f t="shared" si="36"/>
        <v>7.3990838452868288E-2</v>
      </c>
    </row>
    <row r="81" spans="1:26" x14ac:dyDescent="0.25">
      <c r="A81" s="163" t="s">
        <v>105</v>
      </c>
      <c r="B81" s="164" t="s">
        <v>105</v>
      </c>
      <c r="C81" s="165">
        <v>7696</v>
      </c>
      <c r="D81" s="165">
        <v>24218</v>
      </c>
      <c r="E81" s="165">
        <v>29828</v>
      </c>
      <c r="F81" s="165">
        <v>29979</v>
      </c>
      <c r="G81" s="165">
        <v>30308</v>
      </c>
      <c r="H81" s="166">
        <f>IFERROR(G81/F81-1,"-")</f>
        <v>1.0974348710764303E-2</v>
      </c>
      <c r="I81" s="180">
        <f t="shared" si="35"/>
        <v>2.938149688149688</v>
      </c>
      <c r="J81" s="166">
        <f>G81/G$9</f>
        <v>3.9941487328843846E-2</v>
      </c>
      <c r="K81" s="165">
        <v>11781</v>
      </c>
      <c r="L81" s="165">
        <v>24585</v>
      </c>
      <c r="M81" s="165">
        <v>36378</v>
      </c>
      <c r="N81" s="165">
        <v>30210</v>
      </c>
      <c r="O81" s="165">
        <v>42021</v>
      </c>
      <c r="P81" s="166">
        <f>IFERROR(O81/N81-1,"-")</f>
        <v>0.39096325719960268</v>
      </c>
      <c r="Q81" s="180">
        <f t="shared" si="9"/>
        <v>2.5668449197860963</v>
      </c>
      <c r="R81" s="166">
        <f>O81/O$9</f>
        <v>1.1934969879261424E-2</v>
      </c>
      <c r="S81" s="165">
        <v>19477</v>
      </c>
      <c r="T81" s="165">
        <v>48803</v>
      </c>
      <c r="U81" s="165">
        <v>66206</v>
      </c>
      <c r="V81" s="165">
        <v>60189</v>
      </c>
      <c r="W81" s="165">
        <v>72329</v>
      </c>
      <c r="X81" s="166">
        <f>IFERROR(W81/V81-1,"-")</f>
        <v>0.20169798468158628</v>
      </c>
      <c r="Y81" s="180">
        <f t="shared" si="10"/>
        <v>2.713559583098013</v>
      </c>
      <c r="Z81" s="166">
        <f t="shared" si="36"/>
        <v>1.7529315918221239E-2</v>
      </c>
    </row>
    <row r="82" spans="1:26" x14ac:dyDescent="0.25">
      <c r="A82" s="163" t="s">
        <v>102</v>
      </c>
      <c r="B82" s="164" t="s">
        <v>102</v>
      </c>
      <c r="C82" s="165">
        <v>7600</v>
      </c>
      <c r="D82" s="165">
        <v>13859</v>
      </c>
      <c r="E82" s="165">
        <v>19011</v>
      </c>
      <c r="F82" s="165">
        <v>19206</v>
      </c>
      <c r="G82" s="165">
        <v>25652</v>
      </c>
      <c r="H82" s="166">
        <f>IFERROR(G82/F82-1,"-")</f>
        <v>0.33562428407789224</v>
      </c>
      <c r="I82" s="180">
        <f t="shared" si="35"/>
        <v>2.3752631578947367</v>
      </c>
      <c r="J82" s="166">
        <f>G82/G$9</f>
        <v>3.3805563975171649E-2</v>
      </c>
      <c r="K82" s="165">
        <v>55668</v>
      </c>
      <c r="L82" s="165">
        <v>84934</v>
      </c>
      <c r="M82" s="165">
        <v>194237</v>
      </c>
      <c r="N82" s="165">
        <v>199764</v>
      </c>
      <c r="O82" s="165">
        <v>201787</v>
      </c>
      <c r="P82" s="166">
        <f>IFERROR(O82/N82-1,"-")</f>
        <v>1.0126949800765006E-2</v>
      </c>
      <c r="Q82" s="180">
        <f t="shared" si="9"/>
        <v>2.6248293454049003</v>
      </c>
      <c r="R82" s="166">
        <f>O82/O$9</f>
        <v>5.7312338283870563E-2</v>
      </c>
      <c r="S82" s="165">
        <v>63268</v>
      </c>
      <c r="T82" s="165">
        <v>98793</v>
      </c>
      <c r="U82" s="165">
        <v>213248</v>
      </c>
      <c r="V82" s="165">
        <v>218970</v>
      </c>
      <c r="W82" s="165">
        <v>227439</v>
      </c>
      <c r="X82" s="166">
        <f>IFERROR(W82/V82-1,"-")</f>
        <v>3.8676531031648143E-2</v>
      </c>
      <c r="Y82" s="180">
        <f t="shared" si="10"/>
        <v>2.5948504773345134</v>
      </c>
      <c r="Z82" s="166">
        <f t="shared" si="36"/>
        <v>5.6461522534647049E-2</v>
      </c>
    </row>
    <row r="83" spans="1:26" x14ac:dyDescent="0.25">
      <c r="A83" s="1" t="s">
        <v>148</v>
      </c>
      <c r="B83" s="160" t="s">
        <v>109</v>
      </c>
      <c r="C83" s="161">
        <v>18759</v>
      </c>
      <c r="D83" s="161">
        <v>32750</v>
      </c>
      <c r="E83" s="161">
        <v>49617</v>
      </c>
      <c r="F83" s="161">
        <v>54114</v>
      </c>
      <c r="G83" s="161">
        <v>62728</v>
      </c>
      <c r="H83" s="162">
        <f>IFERROR(G83/F83-1,"-")</f>
        <v>0.15918246664449121</v>
      </c>
      <c r="I83" s="179">
        <f t="shared" si="35"/>
        <v>2.3438882669651901</v>
      </c>
      <c r="J83" s="162">
        <f>G83/G$9</f>
        <v>8.2666280096466843E-2</v>
      </c>
      <c r="K83" s="161">
        <v>75673</v>
      </c>
      <c r="L83" s="161">
        <v>104910</v>
      </c>
      <c r="M83" s="161">
        <v>245729</v>
      </c>
      <c r="N83" s="161">
        <v>319375</v>
      </c>
      <c r="O83" s="161">
        <v>378555</v>
      </c>
      <c r="P83" s="162">
        <f>IFERROR(O83/N83-1,"-")</f>
        <v>0.18529941291585117</v>
      </c>
      <c r="Q83" s="179">
        <f t="shared" si="9"/>
        <v>4.0025108030605372</v>
      </c>
      <c r="R83" s="162">
        <f>O83/O$9</f>
        <v>0.10751868167449152</v>
      </c>
      <c r="S83" s="161">
        <v>94432</v>
      </c>
      <c r="T83" s="161">
        <v>137660</v>
      </c>
      <c r="U83" s="161">
        <v>295346</v>
      </c>
      <c r="V83" s="161">
        <v>373489</v>
      </c>
      <c r="W83" s="161">
        <v>441283</v>
      </c>
      <c r="X83" s="162">
        <f>IFERROR(W83/V83-1,"-")</f>
        <v>0.18151538599530381</v>
      </c>
      <c r="Y83" s="179">
        <f t="shared" si="10"/>
        <v>3.6730239749237548</v>
      </c>
      <c r="Z83" s="162">
        <f t="shared" si="36"/>
        <v>7.8198552082635556E-2</v>
      </c>
    </row>
    <row r="84" spans="1:26" x14ac:dyDescent="0.25">
      <c r="A84" s="163" t="s">
        <v>112</v>
      </c>
      <c r="B84" s="164" t="s">
        <v>112</v>
      </c>
      <c r="C84" s="165">
        <v>2578</v>
      </c>
      <c r="D84" s="165">
        <v>3228</v>
      </c>
      <c r="E84" s="165">
        <v>5828</v>
      </c>
      <c r="F84" s="165">
        <v>7060</v>
      </c>
      <c r="G84" s="165">
        <v>9146</v>
      </c>
      <c r="H84" s="166">
        <f t="shared" ref="H84:H91" si="37">IFERROR(G84/F84-1,"-")</f>
        <v>0.29546742209631738</v>
      </c>
      <c r="I84" s="180">
        <f t="shared" si="35"/>
        <v>2.5477114041892941</v>
      </c>
      <c r="J84" s="166">
        <f t="shared" ref="J84:J91" si="38">G84/G$9</f>
        <v>1.2053083116985807E-2</v>
      </c>
      <c r="K84" s="165">
        <v>15879</v>
      </c>
      <c r="L84" s="165">
        <v>11210</v>
      </c>
      <c r="M84" s="165">
        <v>56300</v>
      </c>
      <c r="N84" s="165">
        <v>75139</v>
      </c>
      <c r="O84" s="165">
        <v>87125</v>
      </c>
      <c r="P84" s="166">
        <f t="shared" ref="P84:P91" si="39">IFERROR(O84/N84-1,"-")</f>
        <v>0.15951769387402015</v>
      </c>
      <c r="Q84" s="180">
        <f t="shared" si="9"/>
        <v>4.4868064739593176</v>
      </c>
      <c r="R84" s="166">
        <f t="shared" ref="R84:R91" si="40">O84/O$9</f>
        <v>2.4745585557950825E-2</v>
      </c>
      <c r="S84" s="165">
        <v>18457</v>
      </c>
      <c r="T84" s="165">
        <v>14438</v>
      </c>
      <c r="U84" s="165">
        <v>62128</v>
      </c>
      <c r="V84" s="165">
        <v>82199</v>
      </c>
      <c r="W84" s="165">
        <v>96271</v>
      </c>
      <c r="X84" s="166">
        <f t="shared" ref="X84:X91" si="41">IFERROR(W84/V84-1,"-")</f>
        <v>0.17119429676760056</v>
      </c>
      <c r="Y84" s="180">
        <f t="shared" si="10"/>
        <v>4.2159614238500298</v>
      </c>
      <c r="Z84" s="166">
        <f t="shared" si="36"/>
        <v>1.6449586734846526E-2</v>
      </c>
    </row>
    <row r="85" spans="1:26" x14ac:dyDescent="0.25">
      <c r="A85" s="163" t="s">
        <v>115</v>
      </c>
      <c r="B85" s="164" t="s">
        <v>115</v>
      </c>
      <c r="C85" s="165">
        <v>5409</v>
      </c>
      <c r="D85" s="165">
        <v>8563</v>
      </c>
      <c r="E85" s="165">
        <v>13220</v>
      </c>
      <c r="F85" s="165">
        <v>14980</v>
      </c>
      <c r="G85" s="165">
        <v>15604</v>
      </c>
      <c r="H85" s="166">
        <f t="shared" si="37"/>
        <v>4.1655540720961337E-2</v>
      </c>
      <c r="I85" s="180">
        <f t="shared" si="35"/>
        <v>1.8848215936402291</v>
      </c>
      <c r="J85" s="166">
        <f t="shared" si="38"/>
        <v>2.0563777493707251E-2</v>
      </c>
      <c r="K85" s="165">
        <v>27251</v>
      </c>
      <c r="L85" s="165">
        <v>36097</v>
      </c>
      <c r="M85" s="165">
        <v>84214</v>
      </c>
      <c r="N85" s="165">
        <v>96686</v>
      </c>
      <c r="O85" s="165">
        <v>107377</v>
      </c>
      <c r="P85" s="166">
        <f t="shared" si="39"/>
        <v>0.11057443683677048</v>
      </c>
      <c r="Q85" s="180">
        <f t="shared" si="9"/>
        <v>2.9402957689626068</v>
      </c>
      <c r="R85" s="166">
        <f t="shared" si="40"/>
        <v>3.0497638340959376E-2</v>
      </c>
      <c r="S85" s="165">
        <v>32660</v>
      </c>
      <c r="T85" s="165">
        <v>44660</v>
      </c>
      <c r="U85" s="165">
        <v>97434</v>
      </c>
      <c r="V85" s="165">
        <v>111666</v>
      </c>
      <c r="W85" s="165">
        <v>122981</v>
      </c>
      <c r="X85" s="166">
        <f t="shared" si="41"/>
        <v>0.101328963157989</v>
      </c>
      <c r="Y85" s="180">
        <f t="shared" si="10"/>
        <v>2.7654929577464791</v>
      </c>
      <c r="Z85" s="166">
        <f t="shared" si="36"/>
        <v>2.5797531449958735E-2</v>
      </c>
    </row>
    <row r="86" spans="1:26" x14ac:dyDescent="0.25">
      <c r="A86" s="163" t="s">
        <v>118</v>
      </c>
      <c r="B86" s="164" t="s">
        <v>118</v>
      </c>
      <c r="C86" s="165">
        <v>1714</v>
      </c>
      <c r="D86" s="165">
        <v>5280</v>
      </c>
      <c r="E86" s="165">
        <v>5870</v>
      </c>
      <c r="F86" s="165">
        <v>5315</v>
      </c>
      <c r="G86" s="165">
        <v>6020</v>
      </c>
      <c r="H86" s="166">
        <f t="shared" si="37"/>
        <v>0.13264346190028231</v>
      </c>
      <c r="I86" s="180">
        <f t="shared" si="35"/>
        <v>2.5122520420070011</v>
      </c>
      <c r="J86" s="166">
        <f t="shared" si="38"/>
        <v>7.933474782883726E-3</v>
      </c>
      <c r="K86" s="165">
        <v>5151</v>
      </c>
      <c r="L86" s="165">
        <v>11108</v>
      </c>
      <c r="M86" s="165">
        <v>20133</v>
      </c>
      <c r="N86" s="165">
        <v>32539</v>
      </c>
      <c r="O86" s="165">
        <v>46070</v>
      </c>
      <c r="P86" s="166">
        <f t="shared" si="39"/>
        <v>0.41583945419342938</v>
      </c>
      <c r="Q86" s="180">
        <f t="shared" si="9"/>
        <v>7.9438943894389435</v>
      </c>
      <c r="R86" s="166">
        <f t="shared" si="40"/>
        <v>1.3084982802350582E-2</v>
      </c>
      <c r="S86" s="165">
        <v>6865</v>
      </c>
      <c r="T86" s="165">
        <v>16388</v>
      </c>
      <c r="U86" s="165">
        <v>26003</v>
      </c>
      <c r="V86" s="165">
        <v>37854</v>
      </c>
      <c r="W86" s="165">
        <v>52090</v>
      </c>
      <c r="X86" s="166">
        <f t="shared" si="41"/>
        <v>0.37607650446452157</v>
      </c>
      <c r="Y86" s="180">
        <f t="shared" si="10"/>
        <v>6.5877640203932994</v>
      </c>
      <c r="Z86" s="166">
        <f t="shared" si="36"/>
        <v>6.8847959674577354E-3</v>
      </c>
    </row>
    <row r="87" spans="1:26" x14ac:dyDescent="0.25">
      <c r="A87" s="163" t="s">
        <v>125</v>
      </c>
      <c r="B87" s="164" t="s">
        <v>125</v>
      </c>
      <c r="C87" s="165">
        <v>286</v>
      </c>
      <c r="D87" s="165">
        <v>921</v>
      </c>
      <c r="E87" s="165">
        <v>1133</v>
      </c>
      <c r="F87" s="165">
        <v>1153</v>
      </c>
      <c r="G87" s="165">
        <v>1481</v>
      </c>
      <c r="H87" s="166">
        <f t="shared" si="37"/>
        <v>0.28447528187337379</v>
      </c>
      <c r="I87" s="180">
        <f t="shared" si="35"/>
        <v>4.1783216783216783</v>
      </c>
      <c r="J87" s="166">
        <f t="shared" si="38"/>
        <v>1.951740224825714E-3</v>
      </c>
      <c r="K87" s="165">
        <v>1248</v>
      </c>
      <c r="L87" s="165">
        <v>2935</v>
      </c>
      <c r="M87" s="165">
        <v>4473</v>
      </c>
      <c r="N87" s="165">
        <v>6684</v>
      </c>
      <c r="O87" s="165">
        <v>11325</v>
      </c>
      <c r="P87" s="166">
        <f t="shared" si="39"/>
        <v>0.69434470377019752</v>
      </c>
      <c r="Q87" s="180">
        <f t="shared" ref="Q87:Q150" si="42">IFERROR(O87/K87-1,"-")</f>
        <v>8.0745192307692299</v>
      </c>
      <c r="R87" s="166">
        <f t="shared" si="40"/>
        <v>3.2165710926116853E-3</v>
      </c>
      <c r="S87" s="165">
        <v>1534</v>
      </c>
      <c r="T87" s="165">
        <v>3856</v>
      </c>
      <c r="U87" s="165">
        <v>5606</v>
      </c>
      <c r="V87" s="165">
        <v>7837</v>
      </c>
      <c r="W87" s="165">
        <v>12806</v>
      </c>
      <c r="X87" s="166">
        <f t="shared" si="41"/>
        <v>0.63404363914763295</v>
      </c>
      <c r="Y87" s="180">
        <f t="shared" ref="Y87:Y150" si="43">IFERROR(W87/S87-1,"-")</f>
        <v>7.3481095176010438</v>
      </c>
      <c r="Z87" s="166">
        <f t="shared" si="36"/>
        <v>1.4842966655219808E-3</v>
      </c>
    </row>
    <row r="88" spans="1:26" x14ac:dyDescent="0.25">
      <c r="A88" s="163" t="s">
        <v>121</v>
      </c>
      <c r="B88" s="164" t="s">
        <v>121</v>
      </c>
      <c r="C88" s="165">
        <v>240</v>
      </c>
      <c r="D88" s="165">
        <v>804</v>
      </c>
      <c r="E88" s="165">
        <v>921</v>
      </c>
      <c r="F88" s="165">
        <v>774</v>
      </c>
      <c r="G88" s="165">
        <v>909</v>
      </c>
      <c r="H88" s="166">
        <f t="shared" si="37"/>
        <v>0.17441860465116288</v>
      </c>
      <c r="I88" s="180">
        <f t="shared" si="35"/>
        <v>2.7875000000000001</v>
      </c>
      <c r="J88" s="166">
        <f t="shared" si="38"/>
        <v>1.1979283351563632E-3</v>
      </c>
      <c r="K88" s="165">
        <v>1576</v>
      </c>
      <c r="L88" s="165">
        <v>3904</v>
      </c>
      <c r="M88" s="165">
        <v>4162</v>
      </c>
      <c r="N88" s="165">
        <v>5494</v>
      </c>
      <c r="O88" s="165">
        <v>7100</v>
      </c>
      <c r="P88" s="166">
        <f t="shared" si="39"/>
        <v>0.29231889333818706</v>
      </c>
      <c r="Q88" s="180">
        <f t="shared" si="42"/>
        <v>3.5050761421319798</v>
      </c>
      <c r="R88" s="166">
        <f t="shared" si="40"/>
        <v>2.0165699565159352E-3</v>
      </c>
      <c r="S88" s="165">
        <v>1816</v>
      </c>
      <c r="T88" s="165">
        <v>4708</v>
      </c>
      <c r="U88" s="165">
        <v>5083</v>
      </c>
      <c r="V88" s="165">
        <v>6268</v>
      </c>
      <c r="W88" s="165">
        <v>8009</v>
      </c>
      <c r="X88" s="166">
        <f t="shared" si="41"/>
        <v>0.27776005105296742</v>
      </c>
      <c r="Y88" s="180">
        <f t="shared" si="43"/>
        <v>3.410242290748899</v>
      </c>
      <c r="Z88" s="166">
        <f t="shared" si="36"/>
        <v>1.345822324446705E-3</v>
      </c>
    </row>
    <row r="89" spans="1:26" x14ac:dyDescent="0.25">
      <c r="A89" s="163" t="s">
        <v>130</v>
      </c>
      <c r="B89" s="164" t="s">
        <v>130</v>
      </c>
      <c r="C89" s="165">
        <v>286</v>
      </c>
      <c r="D89" s="165">
        <v>296</v>
      </c>
      <c r="E89" s="165">
        <v>433</v>
      </c>
      <c r="F89" s="165">
        <v>454</v>
      </c>
      <c r="G89" s="165">
        <v>500</v>
      </c>
      <c r="H89" s="166">
        <f t="shared" si="37"/>
        <v>0.1013215859030836</v>
      </c>
      <c r="I89" s="180">
        <f t="shared" si="35"/>
        <v>0.74825174825174834</v>
      </c>
      <c r="J89" s="166">
        <f t="shared" si="38"/>
        <v>6.589264769836982E-4</v>
      </c>
      <c r="K89" s="165">
        <v>1422</v>
      </c>
      <c r="L89" s="165">
        <v>781</v>
      </c>
      <c r="M89" s="165">
        <v>2952</v>
      </c>
      <c r="N89" s="165">
        <v>3351</v>
      </c>
      <c r="O89" s="165">
        <v>3056</v>
      </c>
      <c r="P89" s="166">
        <f t="shared" si="39"/>
        <v>-8.8033422858848076E-2</v>
      </c>
      <c r="Q89" s="180">
        <f t="shared" si="42"/>
        <v>1.1490857946554147</v>
      </c>
      <c r="R89" s="166">
        <f t="shared" si="40"/>
        <v>8.6797715311446449E-4</v>
      </c>
      <c r="S89" s="165">
        <v>1708</v>
      </c>
      <c r="T89" s="165">
        <v>1077</v>
      </c>
      <c r="U89" s="165">
        <v>3385</v>
      </c>
      <c r="V89" s="165">
        <v>3805</v>
      </c>
      <c r="W89" s="165">
        <v>3556</v>
      </c>
      <c r="X89" s="166">
        <f t="shared" si="41"/>
        <v>-6.5440210249671504E-2</v>
      </c>
      <c r="Y89" s="180">
        <f t="shared" si="43"/>
        <v>1.081967213114754</v>
      </c>
      <c r="Z89" s="166">
        <f t="shared" si="36"/>
        <v>8.9624406221760697E-4</v>
      </c>
    </row>
    <row r="90" spans="1:26" x14ac:dyDescent="0.25">
      <c r="A90" s="163" t="s">
        <v>133</v>
      </c>
      <c r="B90" s="164" t="s">
        <v>133</v>
      </c>
      <c r="C90" s="165">
        <v>408</v>
      </c>
      <c r="D90" s="165">
        <v>385</v>
      </c>
      <c r="E90" s="165">
        <v>658</v>
      </c>
      <c r="F90" s="165">
        <v>679</v>
      </c>
      <c r="G90" s="165">
        <v>636</v>
      </c>
      <c r="H90" s="166">
        <f t="shared" si="37"/>
        <v>-6.3328424153166418E-2</v>
      </c>
      <c r="I90" s="180">
        <f t="shared" si="35"/>
        <v>0.55882352941176472</v>
      </c>
      <c r="J90" s="166">
        <f t="shared" si="38"/>
        <v>8.3815447872326407E-4</v>
      </c>
      <c r="K90" s="165">
        <v>1922</v>
      </c>
      <c r="L90" s="165">
        <v>947</v>
      </c>
      <c r="M90" s="165">
        <v>3040</v>
      </c>
      <c r="N90" s="165">
        <v>3728</v>
      </c>
      <c r="O90" s="165">
        <v>4053</v>
      </c>
      <c r="P90" s="166">
        <f t="shared" si="39"/>
        <v>8.7178111587982832E-2</v>
      </c>
      <c r="Q90" s="180">
        <f t="shared" si="42"/>
        <v>1.1087408949011448</v>
      </c>
      <c r="R90" s="166">
        <f t="shared" si="40"/>
        <v>1.1511490188393077E-3</v>
      </c>
      <c r="S90" s="165">
        <v>2330</v>
      </c>
      <c r="T90" s="165">
        <v>1332</v>
      </c>
      <c r="U90" s="165">
        <v>3698</v>
      </c>
      <c r="V90" s="165">
        <v>4407</v>
      </c>
      <c r="W90" s="165">
        <v>4689</v>
      </c>
      <c r="X90" s="166">
        <f t="shared" si="41"/>
        <v>6.3989108236895742E-2</v>
      </c>
      <c r="Y90" s="180">
        <f t="shared" si="43"/>
        <v>1.0124463519313305</v>
      </c>
      <c r="Z90" s="166">
        <f t="shared" si="36"/>
        <v>9.7911685142709325E-4</v>
      </c>
    </row>
    <row r="91" spans="1:26" x14ac:dyDescent="0.25">
      <c r="A91" s="168" t="s">
        <v>147</v>
      </c>
      <c r="B91" s="169" t="s">
        <v>147</v>
      </c>
      <c r="C91" s="170">
        <f>C83-SUM(C84:C90)</f>
        <v>7838</v>
      </c>
      <c r="D91" s="170">
        <f>D83-SUM(D84:D90)</f>
        <v>13273</v>
      </c>
      <c r="E91" s="170">
        <f>E83-SUM(E84:E90)</f>
        <v>21554</v>
      </c>
      <c r="F91" s="170">
        <f>F83-SUM(F84:F90)</f>
        <v>23699</v>
      </c>
      <c r="G91" s="170">
        <f>G83-SUM(G84:G90)</f>
        <v>28432</v>
      </c>
      <c r="H91" s="171">
        <f t="shared" si="37"/>
        <v>0.19971306806194344</v>
      </c>
      <c r="I91" s="181">
        <f t="shared" si="35"/>
        <v>2.6274559836693032</v>
      </c>
      <c r="J91" s="171">
        <f t="shared" si="38"/>
        <v>3.7469195187201015E-2</v>
      </c>
      <c r="K91" s="170">
        <f>K83-SUM(K84:K90)</f>
        <v>21224</v>
      </c>
      <c r="L91" s="170">
        <f>L83-SUM(L84:L90)</f>
        <v>37928</v>
      </c>
      <c r="M91" s="170">
        <f>M83-SUM(M84:M90)</f>
        <v>70455</v>
      </c>
      <c r="N91" s="170">
        <f>N83-SUM(N84:N90)</f>
        <v>95754</v>
      </c>
      <c r="O91" s="170">
        <f>O83-SUM(O84:O90)</f>
        <v>112449</v>
      </c>
      <c r="P91" s="171">
        <f t="shared" si="39"/>
        <v>0.17435302963844856</v>
      </c>
      <c r="Q91" s="181">
        <f t="shared" si="42"/>
        <v>4.2982001507727103</v>
      </c>
      <c r="R91" s="171">
        <f t="shared" si="40"/>
        <v>3.1938207752149353E-2</v>
      </c>
      <c r="S91" s="170">
        <f>S83-SUM(S84:S90)</f>
        <v>29062</v>
      </c>
      <c r="T91" s="170">
        <f>T83-SUM(T84:T90)</f>
        <v>51201</v>
      </c>
      <c r="U91" s="170">
        <f>U83-SUM(U84:U90)</f>
        <v>92009</v>
      </c>
      <c r="V91" s="170">
        <f>V83-SUM(V84:V90)</f>
        <v>119453</v>
      </c>
      <c r="W91" s="170">
        <f>W83-SUM(W84:W90)</f>
        <v>140881</v>
      </c>
      <c r="X91" s="171">
        <f t="shared" si="41"/>
        <v>0.17938436037604744</v>
      </c>
      <c r="Y91" s="181">
        <f t="shared" si="43"/>
        <v>3.8476016791686742</v>
      </c>
      <c r="Z91" s="171">
        <f t="shared" si="36"/>
        <v>2.4361158026759172E-2</v>
      </c>
    </row>
    <row r="92" spans="1:26" x14ac:dyDescent="0.25">
      <c r="A92" s="1"/>
      <c r="B92" s="156" t="s">
        <v>51</v>
      </c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</row>
    <row r="93" spans="1:26" x14ac:dyDescent="0.25">
      <c r="A93" s="1" t="s">
        <v>0</v>
      </c>
      <c r="B93" s="157" t="s">
        <v>70</v>
      </c>
      <c r="C93" s="177">
        <f>C94+C97</f>
        <v>0</v>
      </c>
      <c r="D93" s="177">
        <f>D94+D97</f>
        <v>0</v>
      </c>
      <c r="E93" s="177">
        <f>E94+E97</f>
        <v>5131</v>
      </c>
      <c r="F93" s="177">
        <f>F94+F97</f>
        <v>7607</v>
      </c>
      <c r="G93" s="177">
        <f>G94+G97</f>
        <v>7923</v>
      </c>
      <c r="H93" s="178">
        <f>IFERROR(G93/F93-1,"-")</f>
        <v>4.1540686210069566E-2</v>
      </c>
      <c r="I93" s="178" t="str">
        <f t="shared" si="35"/>
        <v>-</v>
      </c>
      <c r="J93" s="178">
        <f>G93/G$9</f>
        <v>1.0441348954283681E-2</v>
      </c>
      <c r="K93" s="177">
        <f>K94+K97</f>
        <v>0</v>
      </c>
      <c r="L93" s="177">
        <f>L94+L97</f>
        <v>0</v>
      </c>
      <c r="M93" s="177">
        <f>M94+M97</f>
        <v>46354</v>
      </c>
      <c r="N93" s="177">
        <f>N94+N97</f>
        <v>50550</v>
      </c>
      <c r="O93" s="177">
        <f>O94+O97</f>
        <v>49465</v>
      </c>
      <c r="P93" s="178">
        <f>IFERROR(O93/N93-1,"-")</f>
        <v>-2.1463897131552945E-2</v>
      </c>
      <c r="Q93" s="178" t="str">
        <f t="shared" si="42"/>
        <v>-</v>
      </c>
      <c r="R93" s="178">
        <f>O93/O$9</f>
        <v>1.4049244070290245E-2</v>
      </c>
      <c r="S93" s="177">
        <f>S94+S97</f>
        <v>24221</v>
      </c>
      <c r="T93" s="177">
        <f>T94+T97</f>
        <v>33444</v>
      </c>
      <c r="U93" s="177">
        <f>U94+U97</f>
        <v>51485</v>
      </c>
      <c r="V93" s="177">
        <f>V94+V97</f>
        <v>58157</v>
      </c>
      <c r="W93" s="177">
        <f>W94+W97</f>
        <v>57388</v>
      </c>
      <c r="X93" s="178">
        <f>IFERROR(W93/V93-1,"-")</f>
        <v>-1.3222827862510056E-2</v>
      </c>
      <c r="Y93" s="178">
        <f t="shared" si="43"/>
        <v>1.3693489121010693</v>
      </c>
      <c r="Z93" s="178">
        <f t="shared" ref="Z93:Z105" si="44">U93/U$9</f>
        <v>1.3631647132429394E-2</v>
      </c>
    </row>
    <row r="94" spans="1:26" x14ac:dyDescent="0.25">
      <c r="A94" s="1" t="s">
        <v>98</v>
      </c>
      <c r="B94" s="160" t="s">
        <v>99</v>
      </c>
      <c r="C94" s="161">
        <v>0</v>
      </c>
      <c r="D94" s="161">
        <v>0</v>
      </c>
      <c r="E94" s="161">
        <v>3937</v>
      </c>
      <c r="F94" s="161">
        <v>5346</v>
      </c>
      <c r="G94" s="161">
        <v>5742</v>
      </c>
      <c r="H94" s="162">
        <f>IFERROR(G94/F94-1,"-")</f>
        <v>7.4074074074074181E-2</v>
      </c>
      <c r="I94" s="179" t="str">
        <f t="shared" si="35"/>
        <v>-</v>
      </c>
      <c r="J94" s="162">
        <f>G94/G$9</f>
        <v>7.5671116616807896E-3</v>
      </c>
      <c r="K94" s="161">
        <v>0</v>
      </c>
      <c r="L94" s="161">
        <v>0</v>
      </c>
      <c r="M94" s="161">
        <v>29872</v>
      </c>
      <c r="N94" s="161">
        <v>32376</v>
      </c>
      <c r="O94" s="161">
        <v>30079</v>
      </c>
      <c r="P94" s="162">
        <f>IFERROR(O94/N94-1,"-")</f>
        <v>-7.0947615517667373E-2</v>
      </c>
      <c r="Q94" s="179" t="str">
        <f t="shared" si="42"/>
        <v>-</v>
      </c>
      <c r="R94" s="162">
        <f>O94/O$9</f>
        <v>8.5431560171891283E-3</v>
      </c>
      <c r="S94" s="161">
        <v>16023</v>
      </c>
      <c r="T94" s="161">
        <v>21732</v>
      </c>
      <c r="U94" s="161">
        <v>33809</v>
      </c>
      <c r="V94" s="161">
        <v>37722</v>
      </c>
      <c r="W94" s="161">
        <v>35821</v>
      </c>
      <c r="X94" s="162">
        <f>IFERROR(W94/V94-1,"-")</f>
        <v>-5.0394994963151474E-2</v>
      </c>
      <c r="Y94" s="179">
        <f t="shared" si="43"/>
        <v>1.2355988266866378</v>
      </c>
      <c r="Z94" s="162">
        <f t="shared" si="44"/>
        <v>8.9515850810975104E-3</v>
      </c>
    </row>
    <row r="95" spans="1:26" x14ac:dyDescent="0.25">
      <c r="A95" s="163" t="s">
        <v>105</v>
      </c>
      <c r="B95" s="164" t="s">
        <v>105</v>
      </c>
      <c r="C95" s="165">
        <v>0</v>
      </c>
      <c r="D95" s="165">
        <v>0</v>
      </c>
      <c r="E95" s="165">
        <v>2928</v>
      </c>
      <c r="F95" s="165">
        <v>3814</v>
      </c>
      <c r="G95" s="165">
        <v>4202</v>
      </c>
      <c r="H95" s="166">
        <f>IFERROR(G95/F95-1,"-")</f>
        <v>0.10173046670162567</v>
      </c>
      <c r="I95" s="180" t="str">
        <f t="shared" si="35"/>
        <v>-</v>
      </c>
      <c r="J95" s="166">
        <f>G95/G$9</f>
        <v>5.5376181125709996E-3</v>
      </c>
      <c r="K95" s="165">
        <v>0</v>
      </c>
      <c r="L95" s="165">
        <v>0</v>
      </c>
      <c r="M95" s="165">
        <v>13361</v>
      </c>
      <c r="N95" s="165">
        <v>8210</v>
      </c>
      <c r="O95" s="165">
        <v>7675</v>
      </c>
      <c r="P95" s="166">
        <f>IFERROR(O95/N95-1,"-")</f>
        <v>-6.5164433617539541E-2</v>
      </c>
      <c r="Q95" s="180" t="str">
        <f t="shared" si="42"/>
        <v>-</v>
      </c>
      <c r="R95" s="166">
        <f>O95/O$9</f>
        <v>2.1798837205999721E-3</v>
      </c>
      <c r="S95" s="165">
        <v>8684</v>
      </c>
      <c r="T95" s="165">
        <v>11001</v>
      </c>
      <c r="U95" s="165">
        <v>16289</v>
      </c>
      <c r="V95" s="165">
        <v>12024</v>
      </c>
      <c r="W95" s="165">
        <v>11877</v>
      </c>
      <c r="X95" s="166">
        <f>IFERROR(W95/V95-1,"-")</f>
        <v>-1.2225548902195627E-2</v>
      </c>
      <c r="Y95" s="180">
        <f t="shared" si="43"/>
        <v>0.36768770152003682</v>
      </c>
      <c r="Z95" s="166">
        <f t="shared" si="44"/>
        <v>4.3128270397230729E-3</v>
      </c>
    </row>
    <row r="96" spans="1:26" x14ac:dyDescent="0.25">
      <c r="A96" s="163" t="s">
        <v>102</v>
      </c>
      <c r="B96" s="164" t="s">
        <v>102</v>
      </c>
      <c r="C96" s="165">
        <v>0</v>
      </c>
      <c r="D96" s="165">
        <v>0</v>
      </c>
      <c r="E96" s="165">
        <v>1009</v>
      </c>
      <c r="F96" s="165">
        <v>1532</v>
      </c>
      <c r="G96" s="165">
        <v>1540</v>
      </c>
      <c r="H96" s="166">
        <f>IFERROR(G96/F96-1,"-")</f>
        <v>5.2219321148825326E-3</v>
      </c>
      <c r="I96" s="180" t="str">
        <f t="shared" si="35"/>
        <v>-</v>
      </c>
      <c r="J96" s="166">
        <f>G96/G$9</f>
        <v>2.0294935491097905E-3</v>
      </c>
      <c r="K96" s="165">
        <v>0</v>
      </c>
      <c r="L96" s="165">
        <v>0</v>
      </c>
      <c r="M96" s="165">
        <v>16511</v>
      </c>
      <c r="N96" s="165">
        <v>24166</v>
      </c>
      <c r="O96" s="165">
        <v>22404</v>
      </c>
      <c r="P96" s="166">
        <f>IFERROR(O96/N96-1,"-")</f>
        <v>-7.2912356202929685E-2</v>
      </c>
      <c r="Q96" s="180" t="str">
        <f t="shared" si="42"/>
        <v>-</v>
      </c>
      <c r="R96" s="166">
        <f>O96/O$9</f>
        <v>6.3632722965891566E-3</v>
      </c>
      <c r="S96" s="165">
        <v>7339</v>
      </c>
      <c r="T96" s="165">
        <v>10731</v>
      </c>
      <c r="U96" s="165">
        <v>17520</v>
      </c>
      <c r="V96" s="165">
        <v>25698</v>
      </c>
      <c r="W96" s="165">
        <v>23944</v>
      </c>
      <c r="X96" s="166">
        <f>IFERROR(W96/V96-1,"-")</f>
        <v>-6.8254338859055186E-2</v>
      </c>
      <c r="Y96" s="180">
        <f t="shared" si="43"/>
        <v>2.2625698324022347</v>
      </c>
      <c r="Z96" s="166">
        <f t="shared" si="44"/>
        <v>4.6387580413744384E-3</v>
      </c>
    </row>
    <row r="97" spans="1:26" x14ac:dyDescent="0.25">
      <c r="A97" s="1" t="s">
        <v>148</v>
      </c>
      <c r="B97" s="160" t="s">
        <v>109</v>
      </c>
      <c r="C97" s="161">
        <v>0</v>
      </c>
      <c r="D97" s="161">
        <v>0</v>
      </c>
      <c r="E97" s="161">
        <v>1194</v>
      </c>
      <c r="F97" s="161">
        <v>2261</v>
      </c>
      <c r="G97" s="161">
        <v>2181</v>
      </c>
      <c r="H97" s="162">
        <f>IFERROR(G97/F97-1,"-")</f>
        <v>-3.5382574082264528E-2</v>
      </c>
      <c r="I97" s="179" t="str">
        <f t="shared" si="35"/>
        <v>-</v>
      </c>
      <c r="J97" s="162">
        <f>G97/G$9</f>
        <v>2.8742372926028915E-3</v>
      </c>
      <c r="K97" s="161">
        <v>0</v>
      </c>
      <c r="L97" s="161">
        <v>0</v>
      </c>
      <c r="M97" s="161">
        <v>16482</v>
      </c>
      <c r="N97" s="161">
        <v>18174</v>
      </c>
      <c r="O97" s="161">
        <v>19386</v>
      </c>
      <c r="P97" s="162">
        <f>IFERROR(O97/N97-1,"-")</f>
        <v>6.6688676130736146E-2</v>
      </c>
      <c r="Q97" s="179" t="str">
        <f t="shared" si="42"/>
        <v>-</v>
      </c>
      <c r="R97" s="162">
        <f>O97/O$9</f>
        <v>5.5060880531011156E-3</v>
      </c>
      <c r="S97" s="161">
        <v>8198</v>
      </c>
      <c r="T97" s="161">
        <v>11712</v>
      </c>
      <c r="U97" s="161">
        <v>17676</v>
      </c>
      <c r="V97" s="161">
        <v>20435</v>
      </c>
      <c r="W97" s="161">
        <v>21567</v>
      </c>
      <c r="X97" s="162">
        <f>IFERROR(W97/V97-1,"-")</f>
        <v>5.539515537068751E-2</v>
      </c>
      <c r="Y97" s="179">
        <f t="shared" si="43"/>
        <v>1.6307636008782631</v>
      </c>
      <c r="Z97" s="162">
        <f t="shared" si="44"/>
        <v>4.6800620513318819E-3</v>
      </c>
    </row>
    <row r="98" spans="1:26" x14ac:dyDescent="0.25">
      <c r="A98" s="163" t="s">
        <v>112</v>
      </c>
      <c r="B98" s="164" t="s">
        <v>112</v>
      </c>
      <c r="C98" s="165">
        <v>0</v>
      </c>
      <c r="D98" s="165">
        <v>0</v>
      </c>
      <c r="E98" s="165">
        <v>50</v>
      </c>
      <c r="F98" s="165">
        <v>173</v>
      </c>
      <c r="G98" s="165">
        <v>203</v>
      </c>
      <c r="H98" s="166">
        <f t="shared" ref="H98:H105" si="45">IFERROR(G98/F98-1,"-")</f>
        <v>0.17341040462427748</v>
      </c>
      <c r="I98" s="180" t="str">
        <f t="shared" si="35"/>
        <v>-</v>
      </c>
      <c r="J98" s="166">
        <f t="shared" ref="J98:J105" si="46">G98/G$9</f>
        <v>2.6752414965538145E-4</v>
      </c>
      <c r="K98" s="165">
        <v>0</v>
      </c>
      <c r="L98" s="165">
        <v>0</v>
      </c>
      <c r="M98" s="165">
        <v>2353</v>
      </c>
      <c r="N98" s="165">
        <v>2622</v>
      </c>
      <c r="O98" s="165">
        <v>2827</v>
      </c>
      <c r="P98" s="166">
        <f t="shared" ref="P98:P105" si="47">IFERROR(O98/N98-1,"-")</f>
        <v>7.8184591914568946E-2</v>
      </c>
      <c r="Q98" s="180" t="str">
        <f t="shared" si="42"/>
        <v>-</v>
      </c>
      <c r="R98" s="166">
        <f t="shared" ref="R98:R105" si="48">O98/O$9</f>
        <v>8.029356714183871E-4</v>
      </c>
      <c r="S98" s="165">
        <v>1288</v>
      </c>
      <c r="T98" s="165">
        <v>921</v>
      </c>
      <c r="U98" s="165">
        <v>2403</v>
      </c>
      <c r="V98" s="165">
        <v>2795</v>
      </c>
      <c r="W98" s="165">
        <v>3030</v>
      </c>
      <c r="X98" s="166">
        <f t="shared" ref="X98:X105" si="49">IFERROR(W98/V98-1,"-")</f>
        <v>8.4078711985688726E-2</v>
      </c>
      <c r="Y98" s="180">
        <f t="shared" si="43"/>
        <v>1.3524844720496896</v>
      </c>
      <c r="Z98" s="166">
        <f t="shared" si="44"/>
        <v>6.3624061492139131E-4</v>
      </c>
    </row>
    <row r="99" spans="1:26" x14ac:dyDescent="0.25">
      <c r="A99" s="163" t="s">
        <v>115</v>
      </c>
      <c r="B99" s="164" t="s">
        <v>115</v>
      </c>
      <c r="C99" s="165">
        <v>0</v>
      </c>
      <c r="D99" s="165">
        <v>0</v>
      </c>
      <c r="E99" s="165">
        <v>194</v>
      </c>
      <c r="F99" s="165">
        <v>319</v>
      </c>
      <c r="G99" s="165">
        <v>341</v>
      </c>
      <c r="H99" s="166">
        <f t="shared" si="45"/>
        <v>6.8965517241379226E-2</v>
      </c>
      <c r="I99" s="180" t="str">
        <f t="shared" si="35"/>
        <v>-</v>
      </c>
      <c r="J99" s="166">
        <f t="shared" si="46"/>
        <v>4.4938785730288215E-4</v>
      </c>
      <c r="K99" s="165">
        <v>0</v>
      </c>
      <c r="L99" s="165">
        <v>0</v>
      </c>
      <c r="M99" s="165">
        <v>3288</v>
      </c>
      <c r="N99" s="165">
        <v>3495</v>
      </c>
      <c r="O99" s="165">
        <v>3893</v>
      </c>
      <c r="P99" s="166">
        <f t="shared" si="47"/>
        <v>0.11387696709585127</v>
      </c>
      <c r="Q99" s="180" t="str">
        <f t="shared" si="42"/>
        <v>-</v>
      </c>
      <c r="R99" s="166">
        <f t="shared" si="48"/>
        <v>1.1057051888333149E-3</v>
      </c>
      <c r="S99" s="165">
        <v>1481</v>
      </c>
      <c r="T99" s="165">
        <v>2395</v>
      </c>
      <c r="U99" s="165">
        <v>3482</v>
      </c>
      <c r="V99" s="165">
        <v>3814</v>
      </c>
      <c r="W99" s="165">
        <v>4234</v>
      </c>
      <c r="X99" s="166">
        <f t="shared" si="49"/>
        <v>0.11012060828526482</v>
      </c>
      <c r="Y99" s="180">
        <f t="shared" si="43"/>
        <v>1.8588791357191088</v>
      </c>
      <c r="Z99" s="166">
        <f t="shared" si="44"/>
        <v>9.219266837937098E-4</v>
      </c>
    </row>
    <row r="100" spans="1:26" x14ac:dyDescent="0.25">
      <c r="A100" s="163" t="s">
        <v>118</v>
      </c>
      <c r="B100" s="164" t="s">
        <v>118</v>
      </c>
      <c r="C100" s="165">
        <v>0</v>
      </c>
      <c r="D100" s="165">
        <v>0</v>
      </c>
      <c r="E100" s="165">
        <v>346</v>
      </c>
      <c r="F100" s="165">
        <v>771</v>
      </c>
      <c r="G100" s="165">
        <v>574</v>
      </c>
      <c r="H100" s="166">
        <f t="shared" si="45"/>
        <v>-0.25551232166018156</v>
      </c>
      <c r="I100" s="180" t="str">
        <f t="shared" si="35"/>
        <v>-</v>
      </c>
      <c r="J100" s="166">
        <f t="shared" si="46"/>
        <v>7.5644759557728545E-4</v>
      </c>
      <c r="K100" s="165">
        <v>0</v>
      </c>
      <c r="L100" s="165">
        <v>0</v>
      </c>
      <c r="M100" s="165">
        <v>3066</v>
      </c>
      <c r="N100" s="165">
        <v>3114</v>
      </c>
      <c r="O100" s="165">
        <v>3111</v>
      </c>
      <c r="P100" s="166">
        <f t="shared" si="47"/>
        <v>-9.633911368015502E-4</v>
      </c>
      <c r="Q100" s="180" t="str">
        <f t="shared" si="42"/>
        <v>-</v>
      </c>
      <c r="R100" s="166">
        <f t="shared" si="48"/>
        <v>8.835984696790246E-4</v>
      </c>
      <c r="S100" s="165">
        <v>1974</v>
      </c>
      <c r="T100" s="165">
        <v>3541</v>
      </c>
      <c r="U100" s="165">
        <v>3412</v>
      </c>
      <c r="V100" s="165">
        <v>3885</v>
      </c>
      <c r="W100" s="165">
        <v>3685</v>
      </c>
      <c r="X100" s="166">
        <f t="shared" si="49"/>
        <v>-5.1480051480051525E-2</v>
      </c>
      <c r="Y100" s="180">
        <f t="shared" si="43"/>
        <v>0.86676798378926034</v>
      </c>
      <c r="Z100" s="166">
        <f t="shared" si="44"/>
        <v>9.0339283317177998E-4</v>
      </c>
    </row>
    <row r="101" spans="1:26" x14ac:dyDescent="0.25">
      <c r="A101" s="163" t="s">
        <v>125</v>
      </c>
      <c r="B101" s="164" t="s">
        <v>125</v>
      </c>
      <c r="C101" s="165">
        <v>0</v>
      </c>
      <c r="D101" s="165">
        <v>0</v>
      </c>
      <c r="E101" s="165">
        <v>32</v>
      </c>
      <c r="F101" s="165">
        <v>58</v>
      </c>
      <c r="G101" s="165">
        <v>90</v>
      </c>
      <c r="H101" s="166">
        <f t="shared" si="45"/>
        <v>0.55172413793103448</v>
      </c>
      <c r="I101" s="180" t="str">
        <f t="shared" si="35"/>
        <v>-</v>
      </c>
      <c r="J101" s="166">
        <f t="shared" si="46"/>
        <v>1.1860676585706567E-4</v>
      </c>
      <c r="K101" s="165">
        <v>0</v>
      </c>
      <c r="L101" s="165">
        <v>0</v>
      </c>
      <c r="M101" s="165">
        <v>1140</v>
      </c>
      <c r="N101" s="165">
        <v>880</v>
      </c>
      <c r="O101" s="165">
        <v>843</v>
      </c>
      <c r="P101" s="166">
        <f t="shared" si="47"/>
        <v>-4.2045454545454497E-2</v>
      </c>
      <c r="Q101" s="180" t="str">
        <f t="shared" si="42"/>
        <v>-</v>
      </c>
      <c r="R101" s="166">
        <f t="shared" si="48"/>
        <v>2.3943217934407511E-4</v>
      </c>
      <c r="S101" s="165">
        <v>323</v>
      </c>
      <c r="T101" s="165">
        <v>432</v>
      </c>
      <c r="U101" s="165">
        <v>1172</v>
      </c>
      <c r="V101" s="165">
        <v>938</v>
      </c>
      <c r="W101" s="165">
        <v>933</v>
      </c>
      <c r="X101" s="166">
        <f t="shared" si="49"/>
        <v>-5.3304904051172386E-3</v>
      </c>
      <c r="Y101" s="180">
        <f t="shared" si="43"/>
        <v>1.8885448916408669</v>
      </c>
      <c r="Z101" s="166">
        <f t="shared" si="44"/>
        <v>3.1030961327002524E-4</v>
      </c>
    </row>
    <row r="102" spans="1:26" x14ac:dyDescent="0.25">
      <c r="A102" s="163" t="s">
        <v>121</v>
      </c>
      <c r="B102" s="164" t="s">
        <v>121</v>
      </c>
      <c r="C102" s="165">
        <v>0</v>
      </c>
      <c r="D102" s="165">
        <v>0</v>
      </c>
      <c r="E102" s="165">
        <v>15</v>
      </c>
      <c r="F102" s="165">
        <v>87</v>
      </c>
      <c r="G102" s="165">
        <v>64</v>
      </c>
      <c r="H102" s="166">
        <f t="shared" si="45"/>
        <v>-0.26436781609195403</v>
      </c>
      <c r="I102" s="180" t="str">
        <f t="shared" si="35"/>
        <v>-</v>
      </c>
      <c r="J102" s="166">
        <f t="shared" si="46"/>
        <v>8.4342589053913367E-5</v>
      </c>
      <c r="K102" s="165">
        <v>0</v>
      </c>
      <c r="L102" s="165">
        <v>0</v>
      </c>
      <c r="M102" s="165">
        <v>667</v>
      </c>
      <c r="N102" s="165">
        <v>563</v>
      </c>
      <c r="O102" s="165">
        <v>839</v>
      </c>
      <c r="P102" s="166">
        <f t="shared" si="47"/>
        <v>0.49023090586145646</v>
      </c>
      <c r="Q102" s="180" t="str">
        <f t="shared" si="42"/>
        <v>-</v>
      </c>
      <c r="R102" s="166">
        <f t="shared" si="48"/>
        <v>2.382960835939253E-4</v>
      </c>
      <c r="S102" s="165">
        <v>351</v>
      </c>
      <c r="T102" s="165">
        <v>507</v>
      </c>
      <c r="U102" s="165">
        <v>682</v>
      </c>
      <c r="V102" s="165">
        <v>650</v>
      </c>
      <c r="W102" s="165">
        <v>903</v>
      </c>
      <c r="X102" s="166">
        <f t="shared" si="49"/>
        <v>0.38923076923076927</v>
      </c>
      <c r="Y102" s="180">
        <f t="shared" si="43"/>
        <v>1.5726495726495728</v>
      </c>
      <c r="Z102" s="166">
        <f t="shared" si="44"/>
        <v>1.8057265891651639E-4</v>
      </c>
    </row>
    <row r="103" spans="1:26" x14ac:dyDescent="0.25">
      <c r="A103" s="163" t="s">
        <v>130</v>
      </c>
      <c r="B103" s="164" t="s">
        <v>130</v>
      </c>
      <c r="C103" s="165">
        <v>0</v>
      </c>
      <c r="D103" s="165">
        <v>0</v>
      </c>
      <c r="E103" s="165">
        <v>10</v>
      </c>
      <c r="F103" s="165">
        <v>22</v>
      </c>
      <c r="G103" s="165">
        <v>28</v>
      </c>
      <c r="H103" s="166">
        <f t="shared" si="45"/>
        <v>0.27272727272727271</v>
      </c>
      <c r="I103" s="180" t="str">
        <f t="shared" si="35"/>
        <v>-</v>
      </c>
      <c r="J103" s="166">
        <f t="shared" si="46"/>
        <v>3.68998827110871E-5</v>
      </c>
      <c r="K103" s="165">
        <v>0</v>
      </c>
      <c r="L103" s="165">
        <v>0</v>
      </c>
      <c r="M103" s="165">
        <v>260</v>
      </c>
      <c r="N103" s="165">
        <v>131</v>
      </c>
      <c r="O103" s="165">
        <v>202</v>
      </c>
      <c r="P103" s="166">
        <f t="shared" si="47"/>
        <v>0.54198473282442738</v>
      </c>
      <c r="Q103" s="180" t="str">
        <f t="shared" si="42"/>
        <v>-</v>
      </c>
      <c r="R103" s="166">
        <f t="shared" si="48"/>
        <v>5.7372835382566045E-5</v>
      </c>
      <c r="S103" s="165">
        <v>124</v>
      </c>
      <c r="T103" s="165">
        <v>105</v>
      </c>
      <c r="U103" s="165">
        <v>270</v>
      </c>
      <c r="V103" s="165">
        <v>153</v>
      </c>
      <c r="W103" s="165">
        <v>230</v>
      </c>
      <c r="X103" s="166">
        <f t="shared" si="49"/>
        <v>0.50326797385620914</v>
      </c>
      <c r="Y103" s="180">
        <f t="shared" si="43"/>
        <v>0.85483870967741926</v>
      </c>
      <c r="Z103" s="166">
        <f t="shared" si="44"/>
        <v>7.1487709541729355E-5</v>
      </c>
    </row>
    <row r="104" spans="1:26" x14ac:dyDescent="0.25">
      <c r="A104" s="163" t="s">
        <v>133</v>
      </c>
      <c r="B104" s="164" t="s">
        <v>133</v>
      </c>
      <c r="C104" s="165">
        <v>0</v>
      </c>
      <c r="D104" s="165">
        <v>0</v>
      </c>
      <c r="E104" s="165">
        <v>11</v>
      </c>
      <c r="F104" s="165">
        <v>10</v>
      </c>
      <c r="G104" s="165">
        <v>25</v>
      </c>
      <c r="H104" s="166">
        <f t="shared" si="45"/>
        <v>1.5</v>
      </c>
      <c r="I104" s="180" t="str">
        <f t="shared" si="35"/>
        <v>-</v>
      </c>
      <c r="J104" s="166">
        <f t="shared" si="46"/>
        <v>3.2946323849184909E-5</v>
      </c>
      <c r="K104" s="165">
        <v>0</v>
      </c>
      <c r="L104" s="165">
        <v>0</v>
      </c>
      <c r="M104" s="165">
        <v>157</v>
      </c>
      <c r="N104" s="165">
        <v>260</v>
      </c>
      <c r="O104" s="165">
        <v>359</v>
      </c>
      <c r="P104" s="166">
        <f t="shared" si="47"/>
        <v>0.38076923076923075</v>
      </c>
      <c r="Q104" s="180" t="str">
        <f t="shared" si="42"/>
        <v>-</v>
      </c>
      <c r="R104" s="166">
        <f t="shared" si="48"/>
        <v>1.0196459357594658E-4</v>
      </c>
      <c r="S104" s="165">
        <v>89</v>
      </c>
      <c r="T104" s="165">
        <v>96</v>
      </c>
      <c r="U104" s="165">
        <v>168</v>
      </c>
      <c r="V104" s="165">
        <v>270</v>
      </c>
      <c r="W104" s="165">
        <v>384</v>
      </c>
      <c r="X104" s="166">
        <f t="shared" si="49"/>
        <v>0.42222222222222228</v>
      </c>
      <c r="Y104" s="180">
        <f t="shared" si="43"/>
        <v>3.3146067415730336</v>
      </c>
      <c r="Z104" s="166">
        <f t="shared" si="44"/>
        <v>4.44812414926316E-5</v>
      </c>
    </row>
    <row r="105" spans="1:26" x14ac:dyDescent="0.25">
      <c r="A105" s="168" t="s">
        <v>147</v>
      </c>
      <c r="B105" s="169" t="s">
        <v>147</v>
      </c>
      <c r="C105" s="170">
        <f>C97-SUM(C98:C104)</f>
        <v>0</v>
      </c>
      <c r="D105" s="170">
        <f>D97-SUM(D98:D104)</f>
        <v>0</v>
      </c>
      <c r="E105" s="170">
        <f>E97-SUM(E98:E104)</f>
        <v>536</v>
      </c>
      <c r="F105" s="170">
        <f>F97-SUM(F98:F104)</f>
        <v>821</v>
      </c>
      <c r="G105" s="170">
        <f>G97-SUM(G98:G104)</f>
        <v>856</v>
      </c>
      <c r="H105" s="171">
        <f t="shared" si="45"/>
        <v>4.2630937880633324E-2</v>
      </c>
      <c r="I105" s="181" t="str">
        <f t="shared" si="35"/>
        <v>-</v>
      </c>
      <c r="J105" s="171">
        <f t="shared" si="46"/>
        <v>1.1280821285960913E-3</v>
      </c>
      <c r="K105" s="170">
        <f>K97-SUM(K98:K104)</f>
        <v>0</v>
      </c>
      <c r="L105" s="170">
        <f>L97-SUM(L98:L104)</f>
        <v>0</v>
      </c>
      <c r="M105" s="170">
        <f>M97-SUM(M98:M104)</f>
        <v>5551</v>
      </c>
      <c r="N105" s="170">
        <f>N97-SUM(N98:N104)</f>
        <v>7109</v>
      </c>
      <c r="O105" s="170">
        <f>O97-SUM(O98:O104)</f>
        <v>7312</v>
      </c>
      <c r="P105" s="171">
        <f t="shared" si="47"/>
        <v>2.8555352370234877E-2</v>
      </c>
      <c r="Q105" s="181" t="str">
        <f t="shared" si="42"/>
        <v>-</v>
      </c>
      <c r="R105" s="171">
        <f t="shared" si="48"/>
        <v>2.0767830312738759E-3</v>
      </c>
      <c r="S105" s="170">
        <f>S97-SUM(S98:S104)</f>
        <v>2568</v>
      </c>
      <c r="T105" s="170">
        <f>T97-SUM(T98:T104)</f>
        <v>3715</v>
      </c>
      <c r="U105" s="170">
        <f>U97-SUM(U98:U104)</f>
        <v>6087</v>
      </c>
      <c r="V105" s="170">
        <f>V97-SUM(V98:V104)</f>
        <v>7930</v>
      </c>
      <c r="W105" s="170">
        <f>W97-SUM(W98:W104)</f>
        <v>8168</v>
      </c>
      <c r="X105" s="171">
        <f t="shared" si="49"/>
        <v>3.0012610340479196E-2</v>
      </c>
      <c r="Y105" s="181">
        <f t="shared" si="43"/>
        <v>2.1806853582554515</v>
      </c>
      <c r="Z105" s="171">
        <f t="shared" si="44"/>
        <v>1.6116506962240986E-3</v>
      </c>
    </row>
    <row r="106" spans="1:26" x14ac:dyDescent="0.25">
      <c r="A106" s="1"/>
      <c r="B106" s="156" t="s">
        <v>52</v>
      </c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spans="1:26" x14ac:dyDescent="0.25">
      <c r="A107" s="1" t="s">
        <v>0</v>
      </c>
      <c r="B107" s="157" t="s">
        <v>70</v>
      </c>
      <c r="C107" s="177">
        <f>C108+C111</f>
        <v>0</v>
      </c>
      <c r="D107" s="177">
        <f>D108+D111</f>
        <v>0</v>
      </c>
      <c r="E107" s="177">
        <f>E108+E111</f>
        <v>0</v>
      </c>
      <c r="F107" s="177">
        <f>F108+F111</f>
        <v>0</v>
      </c>
      <c r="G107" s="177">
        <f>G108+G111</f>
        <v>0</v>
      </c>
      <c r="H107" s="178" t="str">
        <f>IFERROR(G107/F107-1,"-")</f>
        <v>-</v>
      </c>
      <c r="I107" s="178" t="str">
        <f t="shared" si="35"/>
        <v>-</v>
      </c>
      <c r="J107" s="178">
        <f>G107/G$9</f>
        <v>0</v>
      </c>
      <c r="K107" s="177">
        <f>K108+K111</f>
        <v>0</v>
      </c>
      <c r="L107" s="177">
        <f>L108+L111</f>
        <v>0</v>
      </c>
      <c r="M107" s="177">
        <f>M108+M111</f>
        <v>0</v>
      </c>
      <c r="N107" s="177">
        <f>N108+N111</f>
        <v>0</v>
      </c>
      <c r="O107" s="177">
        <f>O108+O111</f>
        <v>0</v>
      </c>
      <c r="P107" s="178" t="str">
        <f>IFERROR(O107/N107-1,"-")</f>
        <v>-</v>
      </c>
      <c r="Q107" s="178" t="str">
        <f t="shared" si="42"/>
        <v>-</v>
      </c>
      <c r="R107" s="178">
        <f>O107/O$9</f>
        <v>0</v>
      </c>
      <c r="S107" s="177">
        <f>S108+S111</f>
        <v>63499</v>
      </c>
      <c r="T107" s="177">
        <f>T108+T111</f>
        <v>95997</v>
      </c>
      <c r="U107" s="177">
        <f>U108+U111</f>
        <v>169794</v>
      </c>
      <c r="V107" s="177">
        <f>V108+V111</f>
        <v>220761</v>
      </c>
      <c r="W107" s="177">
        <f>W108+W111</f>
        <v>207278</v>
      </c>
      <c r="X107" s="178">
        <f>IFERROR(W107/V107-1,"-")</f>
        <v>-6.1075099315549441E-2</v>
      </c>
      <c r="Y107" s="178">
        <f t="shared" si="43"/>
        <v>2.2642718782972961</v>
      </c>
      <c r="Z107" s="178">
        <f t="shared" ref="Z107:Z119" si="50">U107/U$9</f>
        <v>4.4956237607142208E-2</v>
      </c>
    </row>
    <row r="108" spans="1:26" x14ac:dyDescent="0.25">
      <c r="A108" s="1" t="s">
        <v>98</v>
      </c>
      <c r="B108" s="160" t="s">
        <v>99</v>
      </c>
      <c r="C108" s="161">
        <v>0</v>
      </c>
      <c r="D108" s="161">
        <v>0</v>
      </c>
      <c r="E108" s="161">
        <v>0</v>
      </c>
      <c r="F108" s="161">
        <v>0</v>
      </c>
      <c r="G108" s="161">
        <v>0</v>
      </c>
      <c r="H108" s="162" t="str">
        <f>IFERROR(G108/F108-1,"-")</f>
        <v>-</v>
      </c>
      <c r="I108" s="179" t="str">
        <f t="shared" si="35"/>
        <v>-</v>
      </c>
      <c r="J108" s="162">
        <f>G108/G$9</f>
        <v>0</v>
      </c>
      <c r="K108" s="161">
        <v>0</v>
      </c>
      <c r="L108" s="161">
        <v>0</v>
      </c>
      <c r="M108" s="161">
        <v>0</v>
      </c>
      <c r="N108" s="161">
        <v>0</v>
      </c>
      <c r="O108" s="161">
        <v>0</v>
      </c>
      <c r="P108" s="162" t="str">
        <f>IFERROR(O108/N108-1,"-")</f>
        <v>-</v>
      </c>
      <c r="Q108" s="179" t="str">
        <f t="shared" si="42"/>
        <v>-</v>
      </c>
      <c r="R108" s="162">
        <f>O108/O$9</f>
        <v>0</v>
      </c>
      <c r="S108" s="161">
        <v>28387</v>
      </c>
      <c r="T108" s="161">
        <v>39659</v>
      </c>
      <c r="U108" s="161">
        <v>41132</v>
      </c>
      <c r="V108" s="161">
        <v>48543</v>
      </c>
      <c r="W108" s="161">
        <v>43479</v>
      </c>
      <c r="X108" s="162">
        <f>IFERROR(W108/V108-1,"-")</f>
        <v>-0.10431988134231507</v>
      </c>
      <c r="Y108" s="179">
        <f t="shared" si="43"/>
        <v>0.53165181244936055</v>
      </c>
      <c r="Z108" s="162">
        <f t="shared" si="50"/>
        <v>1.089049062544597E-2</v>
      </c>
    </row>
    <row r="109" spans="1:26" x14ac:dyDescent="0.25">
      <c r="A109" s="163" t="s">
        <v>105</v>
      </c>
      <c r="B109" s="164" t="s">
        <v>105</v>
      </c>
      <c r="C109" s="165">
        <v>0</v>
      </c>
      <c r="D109" s="165">
        <v>0</v>
      </c>
      <c r="E109" s="165">
        <v>0</v>
      </c>
      <c r="F109" s="165">
        <v>0</v>
      </c>
      <c r="G109" s="165">
        <v>0</v>
      </c>
      <c r="H109" s="166" t="str">
        <f>IFERROR(G109/F109-1,"-")</f>
        <v>-</v>
      </c>
      <c r="I109" s="180" t="str">
        <f t="shared" si="35"/>
        <v>-</v>
      </c>
      <c r="J109" s="166">
        <f>G109/G$9</f>
        <v>0</v>
      </c>
      <c r="K109" s="165">
        <v>0</v>
      </c>
      <c r="L109" s="165">
        <v>0</v>
      </c>
      <c r="M109" s="165">
        <v>0</v>
      </c>
      <c r="N109" s="165">
        <v>0</v>
      </c>
      <c r="O109" s="165">
        <v>0</v>
      </c>
      <c r="P109" s="166" t="str">
        <f>IFERROR(O109/N109-1,"-")</f>
        <v>-</v>
      </c>
      <c r="Q109" s="180" t="str">
        <f t="shared" si="42"/>
        <v>-</v>
      </c>
      <c r="R109" s="166">
        <f>O109/O$9</f>
        <v>0</v>
      </c>
      <c r="S109" s="165">
        <v>3383</v>
      </c>
      <c r="T109" s="165">
        <v>20351</v>
      </c>
      <c r="U109" s="165">
        <v>11031</v>
      </c>
      <c r="V109" s="165">
        <v>14560</v>
      </c>
      <c r="W109" s="165">
        <v>12208</v>
      </c>
      <c r="X109" s="166">
        <f>IFERROR(W109/V109-1,"-")</f>
        <v>-0.16153846153846152</v>
      </c>
      <c r="Y109" s="180">
        <f t="shared" si="43"/>
        <v>2.6086313922553948</v>
      </c>
      <c r="Z109" s="166">
        <f t="shared" si="50"/>
        <v>2.9206700887215429E-3</v>
      </c>
    </row>
    <row r="110" spans="1:26" x14ac:dyDescent="0.25">
      <c r="A110" s="163" t="s">
        <v>102</v>
      </c>
      <c r="B110" s="164" t="s">
        <v>102</v>
      </c>
      <c r="C110" s="165">
        <v>0</v>
      </c>
      <c r="D110" s="165">
        <v>0</v>
      </c>
      <c r="E110" s="165">
        <v>0</v>
      </c>
      <c r="F110" s="165">
        <v>0</v>
      </c>
      <c r="G110" s="165">
        <v>0</v>
      </c>
      <c r="H110" s="166" t="str">
        <f>IFERROR(G110/F110-1,"-")</f>
        <v>-</v>
      </c>
      <c r="I110" s="180" t="str">
        <f t="shared" si="35"/>
        <v>-</v>
      </c>
      <c r="J110" s="166">
        <f>G110/G$9</f>
        <v>0</v>
      </c>
      <c r="K110" s="165">
        <v>0</v>
      </c>
      <c r="L110" s="165">
        <v>0</v>
      </c>
      <c r="M110" s="165">
        <v>0</v>
      </c>
      <c r="N110" s="165">
        <v>0</v>
      </c>
      <c r="O110" s="165">
        <v>0</v>
      </c>
      <c r="P110" s="166" t="str">
        <f>IFERROR(O110/N110-1,"-")</f>
        <v>-</v>
      </c>
      <c r="Q110" s="180" t="str">
        <f t="shared" si="42"/>
        <v>-</v>
      </c>
      <c r="R110" s="166">
        <f>O110/O$9</f>
        <v>0</v>
      </c>
      <c r="S110" s="165">
        <v>25004</v>
      </c>
      <c r="T110" s="165">
        <v>19308</v>
      </c>
      <c r="U110" s="165">
        <v>30101</v>
      </c>
      <c r="V110" s="165">
        <v>33983</v>
      </c>
      <c r="W110" s="165">
        <v>31271</v>
      </c>
      <c r="X110" s="166">
        <f>IFERROR(W110/V110-1,"-")</f>
        <v>-7.9804608186446191E-2</v>
      </c>
      <c r="Y110" s="180">
        <f t="shared" si="43"/>
        <v>0.25063989761638128</v>
      </c>
      <c r="Z110" s="166">
        <f t="shared" si="50"/>
        <v>7.9698205367244278E-3</v>
      </c>
    </row>
    <row r="111" spans="1:26" x14ac:dyDescent="0.25">
      <c r="A111" s="1" t="s">
        <v>148</v>
      </c>
      <c r="B111" s="160" t="s">
        <v>109</v>
      </c>
      <c r="C111" s="161">
        <v>0</v>
      </c>
      <c r="D111" s="161">
        <v>0</v>
      </c>
      <c r="E111" s="161">
        <v>0</v>
      </c>
      <c r="F111" s="161">
        <v>0</v>
      </c>
      <c r="G111" s="161">
        <v>0</v>
      </c>
      <c r="H111" s="162" t="str">
        <f>IFERROR(G111/F111-1,"-")</f>
        <v>-</v>
      </c>
      <c r="I111" s="179" t="str">
        <f t="shared" si="35"/>
        <v>-</v>
      </c>
      <c r="J111" s="162">
        <f>G111/G$9</f>
        <v>0</v>
      </c>
      <c r="K111" s="161">
        <v>0</v>
      </c>
      <c r="L111" s="161">
        <v>0</v>
      </c>
      <c r="M111" s="161">
        <v>0</v>
      </c>
      <c r="N111" s="161">
        <v>0</v>
      </c>
      <c r="O111" s="161">
        <v>0</v>
      </c>
      <c r="P111" s="162" t="str">
        <f>IFERROR(O111/N111-1,"-")</f>
        <v>-</v>
      </c>
      <c r="Q111" s="179" t="str">
        <f t="shared" si="42"/>
        <v>-</v>
      </c>
      <c r="R111" s="162">
        <f>O111/O$9</f>
        <v>0</v>
      </c>
      <c r="S111" s="161">
        <v>35112</v>
      </c>
      <c r="T111" s="161">
        <v>56338</v>
      </c>
      <c r="U111" s="161">
        <v>128662</v>
      </c>
      <c r="V111" s="161">
        <v>172218</v>
      </c>
      <c r="W111" s="161">
        <v>163799</v>
      </c>
      <c r="X111" s="162">
        <f>IFERROR(W111/V111-1,"-")</f>
        <v>-4.8885714617519671E-2</v>
      </c>
      <c r="Y111" s="179">
        <f t="shared" si="43"/>
        <v>3.6650432900432897</v>
      </c>
      <c r="Z111" s="162">
        <f t="shared" si="50"/>
        <v>3.4065746981696232E-2</v>
      </c>
    </row>
    <row r="112" spans="1:26" x14ac:dyDescent="0.25">
      <c r="A112" s="163" t="s">
        <v>112</v>
      </c>
      <c r="B112" s="164" t="s">
        <v>112</v>
      </c>
      <c r="C112" s="165">
        <v>0</v>
      </c>
      <c r="D112" s="165">
        <v>0</v>
      </c>
      <c r="E112" s="165">
        <v>0</v>
      </c>
      <c r="F112" s="165">
        <v>0</v>
      </c>
      <c r="G112" s="165">
        <v>0</v>
      </c>
      <c r="H112" s="166" t="str">
        <f t="shared" ref="H112:H119" si="51">IFERROR(G112/F112-1,"-")</f>
        <v>-</v>
      </c>
      <c r="I112" s="180" t="str">
        <f t="shared" si="35"/>
        <v>-</v>
      </c>
      <c r="J112" s="166">
        <f t="shared" ref="J112:J119" si="52">G112/G$9</f>
        <v>0</v>
      </c>
      <c r="K112" s="165">
        <v>0</v>
      </c>
      <c r="L112" s="165">
        <v>0</v>
      </c>
      <c r="M112" s="165">
        <v>0</v>
      </c>
      <c r="N112" s="165">
        <v>0</v>
      </c>
      <c r="O112" s="165">
        <v>0</v>
      </c>
      <c r="P112" s="166" t="str">
        <f t="shared" ref="P112:P119" si="53">IFERROR(O112/N112-1,"-")</f>
        <v>-</v>
      </c>
      <c r="Q112" s="180" t="str">
        <f t="shared" si="42"/>
        <v>-</v>
      </c>
      <c r="R112" s="166">
        <f t="shared" ref="R112:R119" si="54">O112/O$9</f>
        <v>0</v>
      </c>
      <c r="S112" s="165">
        <v>20258</v>
      </c>
      <c r="T112" s="165">
        <v>23009</v>
      </c>
      <c r="U112" s="165">
        <v>77726</v>
      </c>
      <c r="V112" s="165">
        <v>113230</v>
      </c>
      <c r="W112" s="165">
        <v>102157</v>
      </c>
      <c r="X112" s="166">
        <f t="shared" ref="X112:X119" si="55">IFERROR(W112/V112-1,"-")</f>
        <v>-9.7792104565927795E-2</v>
      </c>
      <c r="Y112" s="180">
        <f t="shared" si="43"/>
        <v>4.042797906999704</v>
      </c>
      <c r="Z112" s="166">
        <f t="shared" si="50"/>
        <v>2.0579458192001691E-2</v>
      </c>
    </row>
    <row r="113" spans="1:26" x14ac:dyDescent="0.25">
      <c r="A113" s="163" t="s">
        <v>115</v>
      </c>
      <c r="B113" s="164" t="s">
        <v>115</v>
      </c>
      <c r="C113" s="165">
        <v>0</v>
      </c>
      <c r="D113" s="165">
        <v>0</v>
      </c>
      <c r="E113" s="165">
        <v>0</v>
      </c>
      <c r="F113" s="165">
        <v>0</v>
      </c>
      <c r="G113" s="165">
        <v>0</v>
      </c>
      <c r="H113" s="166" t="str">
        <f t="shared" si="51"/>
        <v>-</v>
      </c>
      <c r="I113" s="180" t="str">
        <f t="shared" si="35"/>
        <v>-</v>
      </c>
      <c r="J113" s="166">
        <f t="shared" si="52"/>
        <v>0</v>
      </c>
      <c r="K113" s="165">
        <v>0</v>
      </c>
      <c r="L113" s="165">
        <v>0</v>
      </c>
      <c r="M113" s="165">
        <v>0</v>
      </c>
      <c r="N113" s="165">
        <v>0</v>
      </c>
      <c r="O113" s="165">
        <v>0</v>
      </c>
      <c r="P113" s="166" t="str">
        <f t="shared" si="53"/>
        <v>-</v>
      </c>
      <c r="Q113" s="180" t="str">
        <f t="shared" si="42"/>
        <v>-</v>
      </c>
      <c r="R113" s="166">
        <f t="shared" si="54"/>
        <v>0</v>
      </c>
      <c r="S113" s="165">
        <v>2717</v>
      </c>
      <c r="T113" s="165">
        <v>6854</v>
      </c>
      <c r="U113" s="165">
        <v>5917</v>
      </c>
      <c r="V113" s="165">
        <v>7594</v>
      </c>
      <c r="W113" s="165">
        <v>7215</v>
      </c>
      <c r="X113" s="166">
        <f t="shared" si="55"/>
        <v>-4.9907821964708998E-2</v>
      </c>
      <c r="Y113" s="180">
        <f t="shared" si="43"/>
        <v>1.6555023923444976</v>
      </c>
      <c r="Z113" s="166">
        <f t="shared" si="50"/>
        <v>1.5666399161422689E-3</v>
      </c>
    </row>
    <row r="114" spans="1:26" x14ac:dyDescent="0.25">
      <c r="A114" s="163" t="s">
        <v>118</v>
      </c>
      <c r="B114" s="164" t="s">
        <v>118</v>
      </c>
      <c r="C114" s="165">
        <v>0</v>
      </c>
      <c r="D114" s="165">
        <v>0</v>
      </c>
      <c r="E114" s="165">
        <v>0</v>
      </c>
      <c r="F114" s="165">
        <v>0</v>
      </c>
      <c r="G114" s="165">
        <v>0</v>
      </c>
      <c r="H114" s="166" t="str">
        <f t="shared" si="51"/>
        <v>-</v>
      </c>
      <c r="I114" s="180" t="str">
        <f t="shared" si="35"/>
        <v>-</v>
      </c>
      <c r="J114" s="166">
        <f t="shared" si="52"/>
        <v>0</v>
      </c>
      <c r="K114" s="165">
        <v>0</v>
      </c>
      <c r="L114" s="165">
        <v>0</v>
      </c>
      <c r="M114" s="165">
        <v>0</v>
      </c>
      <c r="N114" s="165">
        <v>0</v>
      </c>
      <c r="O114" s="165">
        <v>0</v>
      </c>
      <c r="P114" s="166" t="str">
        <f t="shared" si="53"/>
        <v>-</v>
      </c>
      <c r="Q114" s="180" t="str">
        <f t="shared" si="42"/>
        <v>-</v>
      </c>
      <c r="R114" s="166">
        <f t="shared" si="54"/>
        <v>0</v>
      </c>
      <c r="S114" s="165">
        <v>1871</v>
      </c>
      <c r="T114" s="165">
        <v>6300</v>
      </c>
      <c r="U114" s="165">
        <v>8638</v>
      </c>
      <c r="V114" s="165">
        <v>12056</v>
      </c>
      <c r="W114" s="165">
        <v>12800</v>
      </c>
      <c r="X114" s="166">
        <f t="shared" si="55"/>
        <v>6.1712010617120061E-2</v>
      </c>
      <c r="Y114" s="180">
        <f t="shared" si="43"/>
        <v>5.841261357562801</v>
      </c>
      <c r="Z114" s="166">
        <f t="shared" si="50"/>
        <v>2.2870771667461414E-3</v>
      </c>
    </row>
    <row r="115" spans="1:26" x14ac:dyDescent="0.25">
      <c r="A115" s="163" t="s">
        <v>125</v>
      </c>
      <c r="B115" s="164" t="s">
        <v>125</v>
      </c>
      <c r="C115" s="165">
        <v>0</v>
      </c>
      <c r="D115" s="165">
        <v>0</v>
      </c>
      <c r="E115" s="165">
        <v>0</v>
      </c>
      <c r="F115" s="165">
        <v>0</v>
      </c>
      <c r="G115" s="165">
        <v>0</v>
      </c>
      <c r="H115" s="166" t="str">
        <f t="shared" si="51"/>
        <v>-</v>
      </c>
      <c r="I115" s="180" t="str">
        <f t="shared" si="35"/>
        <v>-</v>
      </c>
      <c r="J115" s="166">
        <f t="shared" si="52"/>
        <v>0</v>
      </c>
      <c r="K115" s="165">
        <v>0</v>
      </c>
      <c r="L115" s="165">
        <v>0</v>
      </c>
      <c r="M115" s="165">
        <v>0</v>
      </c>
      <c r="N115" s="165">
        <v>0</v>
      </c>
      <c r="O115" s="165">
        <v>0</v>
      </c>
      <c r="P115" s="166" t="str">
        <f t="shared" si="53"/>
        <v>-</v>
      </c>
      <c r="Q115" s="180" t="str">
        <f t="shared" si="42"/>
        <v>-</v>
      </c>
      <c r="R115" s="166">
        <f t="shared" si="54"/>
        <v>0</v>
      </c>
      <c r="S115" s="165">
        <v>1133</v>
      </c>
      <c r="T115" s="165">
        <v>3529</v>
      </c>
      <c r="U115" s="165">
        <v>5894</v>
      </c>
      <c r="V115" s="165">
        <v>6032</v>
      </c>
      <c r="W115" s="165">
        <v>5918</v>
      </c>
      <c r="X115" s="166">
        <f t="shared" si="55"/>
        <v>-1.8899204244031798E-2</v>
      </c>
      <c r="Y115" s="180">
        <f t="shared" si="43"/>
        <v>4.2233009708737868</v>
      </c>
      <c r="Z115" s="166">
        <f t="shared" si="50"/>
        <v>1.5605502223664921E-3</v>
      </c>
    </row>
    <row r="116" spans="1:26" x14ac:dyDescent="0.25">
      <c r="A116" s="163" t="s">
        <v>121</v>
      </c>
      <c r="B116" s="164" t="s">
        <v>121</v>
      </c>
      <c r="C116" s="165">
        <v>0</v>
      </c>
      <c r="D116" s="165">
        <v>0</v>
      </c>
      <c r="E116" s="165">
        <v>0</v>
      </c>
      <c r="F116" s="165">
        <v>0</v>
      </c>
      <c r="G116" s="165">
        <v>0</v>
      </c>
      <c r="H116" s="166" t="str">
        <f t="shared" si="51"/>
        <v>-</v>
      </c>
      <c r="I116" s="180" t="str">
        <f t="shared" si="35"/>
        <v>-</v>
      </c>
      <c r="J116" s="166">
        <f t="shared" si="52"/>
        <v>0</v>
      </c>
      <c r="K116" s="165">
        <v>0</v>
      </c>
      <c r="L116" s="165">
        <v>0</v>
      </c>
      <c r="M116" s="165">
        <v>0</v>
      </c>
      <c r="N116" s="165">
        <v>0</v>
      </c>
      <c r="O116" s="165">
        <v>0</v>
      </c>
      <c r="P116" s="166" t="str">
        <f t="shared" si="53"/>
        <v>-</v>
      </c>
      <c r="Q116" s="180" t="str">
        <f t="shared" si="42"/>
        <v>-</v>
      </c>
      <c r="R116" s="166">
        <f t="shared" si="54"/>
        <v>0</v>
      </c>
      <c r="S116" s="165">
        <v>2557</v>
      </c>
      <c r="T116" s="165">
        <v>4170</v>
      </c>
      <c r="U116" s="165">
        <v>4317</v>
      </c>
      <c r="V116" s="165">
        <v>4916</v>
      </c>
      <c r="W116" s="165">
        <v>4686</v>
      </c>
      <c r="X116" s="166">
        <f t="shared" si="55"/>
        <v>-4.6786004882017895E-2</v>
      </c>
      <c r="Y116" s="180">
        <f t="shared" si="43"/>
        <v>0.83261634728197098</v>
      </c>
      <c r="Z116" s="166">
        <f t="shared" si="50"/>
        <v>1.1430090447838727E-3</v>
      </c>
    </row>
    <row r="117" spans="1:26" x14ac:dyDescent="0.25">
      <c r="A117" s="163" t="s">
        <v>130</v>
      </c>
      <c r="B117" s="164" t="s">
        <v>130</v>
      </c>
      <c r="C117" s="165">
        <v>0</v>
      </c>
      <c r="D117" s="165">
        <v>0</v>
      </c>
      <c r="E117" s="165">
        <v>0</v>
      </c>
      <c r="F117" s="165">
        <v>0</v>
      </c>
      <c r="G117" s="165">
        <v>0</v>
      </c>
      <c r="H117" s="166" t="str">
        <f t="shared" si="51"/>
        <v>-</v>
      </c>
      <c r="I117" s="180" t="str">
        <f t="shared" si="35"/>
        <v>-</v>
      </c>
      <c r="J117" s="166">
        <f t="shared" si="52"/>
        <v>0</v>
      </c>
      <c r="K117" s="165">
        <v>0</v>
      </c>
      <c r="L117" s="165">
        <v>0</v>
      </c>
      <c r="M117" s="165">
        <v>0</v>
      </c>
      <c r="N117" s="165">
        <v>0</v>
      </c>
      <c r="O117" s="165">
        <v>0</v>
      </c>
      <c r="P117" s="166" t="str">
        <f t="shared" si="53"/>
        <v>-</v>
      </c>
      <c r="Q117" s="180" t="str">
        <f t="shared" si="42"/>
        <v>-</v>
      </c>
      <c r="R117" s="166">
        <f t="shared" si="54"/>
        <v>0</v>
      </c>
      <c r="S117" s="165">
        <v>226</v>
      </c>
      <c r="T117" s="165">
        <v>308</v>
      </c>
      <c r="U117" s="165">
        <v>1123</v>
      </c>
      <c r="V117" s="165">
        <v>1300</v>
      </c>
      <c r="W117" s="165">
        <v>1069</v>
      </c>
      <c r="X117" s="166">
        <f t="shared" si="55"/>
        <v>-0.1776923076923077</v>
      </c>
      <c r="Y117" s="180">
        <f t="shared" si="43"/>
        <v>3.7300884955752212</v>
      </c>
      <c r="Z117" s="166">
        <f t="shared" si="50"/>
        <v>2.9733591783467434E-4</v>
      </c>
    </row>
    <row r="118" spans="1:26" x14ac:dyDescent="0.25">
      <c r="A118" s="163" t="s">
        <v>133</v>
      </c>
      <c r="B118" s="164" t="s">
        <v>133</v>
      </c>
      <c r="C118" s="165">
        <v>0</v>
      </c>
      <c r="D118" s="165">
        <v>0</v>
      </c>
      <c r="E118" s="165">
        <v>0</v>
      </c>
      <c r="F118" s="165">
        <v>0</v>
      </c>
      <c r="G118" s="165">
        <v>0</v>
      </c>
      <c r="H118" s="166" t="str">
        <f t="shared" si="51"/>
        <v>-</v>
      </c>
      <c r="I118" s="180" t="str">
        <f t="shared" si="35"/>
        <v>-</v>
      </c>
      <c r="J118" s="166">
        <f t="shared" si="52"/>
        <v>0</v>
      </c>
      <c r="K118" s="165">
        <v>0</v>
      </c>
      <c r="L118" s="165">
        <v>0</v>
      </c>
      <c r="M118" s="165">
        <v>0</v>
      </c>
      <c r="N118" s="165">
        <v>0</v>
      </c>
      <c r="O118" s="165">
        <v>0</v>
      </c>
      <c r="P118" s="166" t="str">
        <f t="shared" si="53"/>
        <v>-</v>
      </c>
      <c r="Q118" s="180" t="str">
        <f t="shared" si="42"/>
        <v>-</v>
      </c>
      <c r="R118" s="166">
        <f t="shared" si="54"/>
        <v>0</v>
      </c>
      <c r="S118" s="165">
        <v>549</v>
      </c>
      <c r="T118" s="165">
        <v>470</v>
      </c>
      <c r="U118" s="165">
        <v>840</v>
      </c>
      <c r="V118" s="165">
        <v>770</v>
      </c>
      <c r="W118" s="165">
        <v>1368</v>
      </c>
      <c r="X118" s="166">
        <f t="shared" si="55"/>
        <v>0.77662337662337655</v>
      </c>
      <c r="Y118" s="180">
        <f t="shared" si="43"/>
        <v>1.4918032786885247</v>
      </c>
      <c r="Z118" s="166">
        <f t="shared" si="50"/>
        <v>2.2240620746315801E-4</v>
      </c>
    </row>
    <row r="119" spans="1:26" x14ac:dyDescent="0.25">
      <c r="A119" s="168" t="s">
        <v>147</v>
      </c>
      <c r="B119" s="169" t="s">
        <v>147</v>
      </c>
      <c r="C119" s="170">
        <f>C111-SUM(C112:C118)</f>
        <v>0</v>
      </c>
      <c r="D119" s="170">
        <f>D111-SUM(D112:D118)</f>
        <v>0</v>
      </c>
      <c r="E119" s="170">
        <f>E111-SUM(E112:E118)</f>
        <v>0</v>
      </c>
      <c r="F119" s="170">
        <f>F111-SUM(F112:F118)</f>
        <v>0</v>
      </c>
      <c r="G119" s="170">
        <f>G111-SUM(G112:G118)</f>
        <v>0</v>
      </c>
      <c r="H119" s="171" t="str">
        <f t="shared" si="51"/>
        <v>-</v>
      </c>
      <c r="I119" s="181" t="str">
        <f t="shared" si="35"/>
        <v>-</v>
      </c>
      <c r="J119" s="171">
        <f t="shared" si="52"/>
        <v>0</v>
      </c>
      <c r="K119" s="170">
        <f>K111-SUM(K112:K118)</f>
        <v>0</v>
      </c>
      <c r="L119" s="170">
        <f>L111-SUM(L112:L118)</f>
        <v>0</v>
      </c>
      <c r="M119" s="170">
        <f>M111-SUM(M112:M118)</f>
        <v>0</v>
      </c>
      <c r="N119" s="170">
        <f>N111-SUM(N112:N118)</f>
        <v>0</v>
      </c>
      <c r="O119" s="170">
        <f>O111-SUM(O112:O118)</f>
        <v>0</v>
      </c>
      <c r="P119" s="171" t="str">
        <f t="shared" si="53"/>
        <v>-</v>
      </c>
      <c r="Q119" s="181" t="str">
        <f t="shared" si="42"/>
        <v>-</v>
      </c>
      <c r="R119" s="171">
        <f t="shared" si="54"/>
        <v>0</v>
      </c>
      <c r="S119" s="170">
        <f>S111-SUM(S112:S118)</f>
        <v>5801</v>
      </c>
      <c r="T119" s="170">
        <f>T111-SUM(T112:T118)</f>
        <v>11698</v>
      </c>
      <c r="U119" s="170">
        <f>U111-SUM(U112:U118)</f>
        <v>24207</v>
      </c>
      <c r="V119" s="170">
        <f>V111-SUM(V112:V118)</f>
        <v>26320</v>
      </c>
      <c r="W119" s="170">
        <f>W111-SUM(W112:W118)</f>
        <v>28586</v>
      </c>
      <c r="X119" s="171">
        <f t="shared" si="55"/>
        <v>8.6094224924012197E-2</v>
      </c>
      <c r="Y119" s="181">
        <f t="shared" si="43"/>
        <v>3.9277710739527665</v>
      </c>
      <c r="Z119" s="171">
        <f t="shared" si="50"/>
        <v>6.4092703143579354E-3</v>
      </c>
    </row>
    <row r="120" spans="1:26" x14ac:dyDescent="0.25">
      <c r="A120" s="1"/>
      <c r="B120" s="156" t="s">
        <v>53</v>
      </c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  <c r="U120" s="154"/>
      <c r="V120" s="154"/>
      <c r="W120" s="154"/>
      <c r="X120" s="154"/>
      <c r="Y120" s="154"/>
      <c r="Z120" s="154"/>
    </row>
    <row r="121" spans="1:26" x14ac:dyDescent="0.25">
      <c r="A121" s="1" t="s">
        <v>0</v>
      </c>
      <c r="B121" s="157" t="s">
        <v>70</v>
      </c>
      <c r="C121" s="177">
        <f>C122+C125</f>
        <v>48728</v>
      </c>
      <c r="D121" s="177">
        <f>D122+D125</f>
        <v>61314</v>
      </c>
      <c r="E121" s="177">
        <f>E122+E125</f>
        <v>93434</v>
      </c>
      <c r="F121" s="177">
        <f>F122+F125</f>
        <v>93472</v>
      </c>
      <c r="G121" s="177">
        <f>G122+G125</f>
        <v>99644</v>
      </c>
      <c r="H121" s="178">
        <f>IFERROR(G121/F121-1,"-")</f>
        <v>6.6030469017459792E-2</v>
      </c>
      <c r="I121" s="178">
        <f t="shared" si="35"/>
        <v>1.0449023148908223</v>
      </c>
      <c r="J121" s="178">
        <f>G121/G$9</f>
        <v>0.13131613974512724</v>
      </c>
      <c r="K121" s="177">
        <f>K122+K125</f>
        <v>54788</v>
      </c>
      <c r="L121" s="177">
        <f>L122+L125</f>
        <v>102944</v>
      </c>
      <c r="M121" s="177">
        <f>M122+M125</f>
        <v>135697</v>
      </c>
      <c r="N121" s="177">
        <f>N122+N125</f>
        <v>145637</v>
      </c>
      <c r="O121" s="177">
        <f>O122+O125</f>
        <v>151227</v>
      </c>
      <c r="P121" s="178">
        <f>IFERROR(O121/N121-1,"-")</f>
        <v>3.8383103194929769E-2</v>
      </c>
      <c r="Q121" s="178">
        <f t="shared" si="42"/>
        <v>1.7602212163247426</v>
      </c>
      <c r="R121" s="178">
        <f>O121/O$9</f>
        <v>4.2952088001976807E-2</v>
      </c>
      <c r="S121" s="177">
        <f>S122+S125</f>
        <v>103516</v>
      </c>
      <c r="T121" s="177">
        <f>T122+T125</f>
        <v>164258</v>
      </c>
      <c r="U121" s="177">
        <f>U122+U125</f>
        <v>229131</v>
      </c>
      <c r="V121" s="177">
        <f>V122+V125</f>
        <v>239109</v>
      </c>
      <c r="W121" s="177">
        <f>W122+W125</f>
        <v>250871</v>
      </c>
      <c r="X121" s="178">
        <f>IFERROR(W121/V121-1,"-")</f>
        <v>4.9190954752853289E-2</v>
      </c>
      <c r="Y121" s="178">
        <f t="shared" si="43"/>
        <v>1.4234997488310985</v>
      </c>
      <c r="Z121" s="178">
        <f t="shared" ref="Z121:Z133" si="56">U121/U$9</f>
        <v>6.066685324076293E-2</v>
      </c>
    </row>
    <row r="122" spans="1:26" x14ac:dyDescent="0.25">
      <c r="A122" s="1" t="s">
        <v>98</v>
      </c>
      <c r="B122" s="160" t="s">
        <v>99</v>
      </c>
      <c r="C122" s="161">
        <v>23736</v>
      </c>
      <c r="D122" s="161">
        <v>32824</v>
      </c>
      <c r="E122" s="161">
        <v>51574</v>
      </c>
      <c r="F122" s="161">
        <v>60712</v>
      </c>
      <c r="G122" s="161">
        <v>66829</v>
      </c>
      <c r="H122" s="162">
        <f>IFERROR(G122/F122-1,"-")</f>
        <v>0.10075438134141512</v>
      </c>
      <c r="I122" s="179">
        <f t="shared" si="35"/>
        <v>1.8155123019885404</v>
      </c>
      <c r="J122" s="162">
        <f>G122/G$9</f>
        <v>8.8070795060687129E-2</v>
      </c>
      <c r="K122" s="161">
        <v>37835</v>
      </c>
      <c r="L122" s="161">
        <v>71733</v>
      </c>
      <c r="M122" s="161">
        <v>83312</v>
      </c>
      <c r="N122" s="161">
        <v>85718</v>
      </c>
      <c r="O122" s="161">
        <v>89737</v>
      </c>
      <c r="P122" s="162">
        <f>IFERROR(O122/N122-1,"-")</f>
        <v>4.6886301593597635E-2</v>
      </c>
      <c r="Q122" s="179">
        <f t="shared" si="42"/>
        <v>1.3717985991806527</v>
      </c>
      <c r="R122" s="162">
        <f>O122/O$9</f>
        <v>2.5487456082798659E-2</v>
      </c>
      <c r="S122" s="161">
        <v>61571</v>
      </c>
      <c r="T122" s="161">
        <v>104557</v>
      </c>
      <c r="U122" s="161">
        <v>134886</v>
      </c>
      <c r="V122" s="161">
        <v>146430</v>
      </c>
      <c r="W122" s="161">
        <v>156566</v>
      </c>
      <c r="X122" s="162">
        <f>IFERROR(W122/V122-1,"-")</f>
        <v>6.9220788089872309E-2</v>
      </c>
      <c r="Y122" s="179">
        <f t="shared" si="43"/>
        <v>1.5428529664939665</v>
      </c>
      <c r="Z122" s="162">
        <f t="shared" si="56"/>
        <v>3.5713671071280394E-2</v>
      </c>
    </row>
    <row r="123" spans="1:26" x14ac:dyDescent="0.25">
      <c r="A123" s="163" t="s">
        <v>105</v>
      </c>
      <c r="B123" s="164" t="s">
        <v>105</v>
      </c>
      <c r="C123" s="165">
        <v>11647</v>
      </c>
      <c r="D123" s="165">
        <v>15693</v>
      </c>
      <c r="E123" s="165">
        <v>29334</v>
      </c>
      <c r="F123" s="165">
        <v>29429</v>
      </c>
      <c r="G123" s="165">
        <v>38467</v>
      </c>
      <c r="H123" s="166">
        <f>IFERROR(G123/F123-1,"-")</f>
        <v>0.3071120323490435</v>
      </c>
      <c r="I123" s="180">
        <f t="shared" si="35"/>
        <v>2.3027389027217309</v>
      </c>
      <c r="J123" s="166">
        <f>G123/G$9</f>
        <v>5.0693849580263836E-2</v>
      </c>
      <c r="K123" s="165">
        <v>16144</v>
      </c>
      <c r="L123" s="165">
        <v>37554</v>
      </c>
      <c r="M123" s="165">
        <v>40531</v>
      </c>
      <c r="N123" s="165">
        <v>36692</v>
      </c>
      <c r="O123" s="165">
        <v>37326</v>
      </c>
      <c r="P123" s="166">
        <f>IFERROR(O123/N123-1,"-")</f>
        <v>1.7278970892837586E-2</v>
      </c>
      <c r="Q123" s="180">
        <f t="shared" si="42"/>
        <v>1.3120664023785928</v>
      </c>
      <c r="R123" s="166">
        <f>O123/O$9</f>
        <v>1.0601477492523069E-2</v>
      </c>
      <c r="S123" s="165">
        <v>27791</v>
      </c>
      <c r="T123" s="165">
        <v>53247</v>
      </c>
      <c r="U123" s="165">
        <v>69865</v>
      </c>
      <c r="V123" s="165">
        <v>66121</v>
      </c>
      <c r="W123" s="165">
        <v>75793</v>
      </c>
      <c r="X123" s="166">
        <f>IFERROR(W123/V123-1,"-")</f>
        <v>0.14627727953297742</v>
      </c>
      <c r="Y123" s="180">
        <f t="shared" si="43"/>
        <v>1.7272498290813574</v>
      </c>
      <c r="Z123" s="166">
        <f t="shared" si="56"/>
        <v>1.8498106767158969E-2</v>
      </c>
    </row>
    <row r="124" spans="1:26" x14ac:dyDescent="0.25">
      <c r="A124" s="163" t="s">
        <v>102</v>
      </c>
      <c r="B124" s="164" t="s">
        <v>102</v>
      </c>
      <c r="C124" s="165">
        <v>12089</v>
      </c>
      <c r="D124" s="165">
        <v>17131</v>
      </c>
      <c r="E124" s="165">
        <v>22240</v>
      </c>
      <c r="F124" s="165">
        <v>31283</v>
      </c>
      <c r="G124" s="165">
        <v>28362</v>
      </c>
      <c r="H124" s="166">
        <f>IFERROR(G124/F124-1,"-")</f>
        <v>-9.337339769203723E-2</v>
      </c>
      <c r="I124" s="180">
        <f t="shared" si="35"/>
        <v>1.3460997601124989</v>
      </c>
      <c r="J124" s="166">
        <f>G124/G$9</f>
        <v>3.7376945480423293E-2</v>
      </c>
      <c r="K124" s="165">
        <v>21691</v>
      </c>
      <c r="L124" s="165">
        <v>34179</v>
      </c>
      <c r="M124" s="165">
        <v>42781</v>
      </c>
      <c r="N124" s="165">
        <v>49026</v>
      </c>
      <c r="O124" s="165">
        <v>52411</v>
      </c>
      <c r="P124" s="166">
        <f>IFERROR(O124/N124-1,"-")</f>
        <v>6.9044996532452219E-2</v>
      </c>
      <c r="Q124" s="180">
        <f t="shared" si="42"/>
        <v>1.4162555898759854</v>
      </c>
      <c r="R124" s="166">
        <f>O124/O$9</f>
        <v>1.4885978590275588E-2</v>
      </c>
      <c r="S124" s="165">
        <v>33780</v>
      </c>
      <c r="T124" s="165">
        <v>51310</v>
      </c>
      <c r="U124" s="165">
        <v>65021</v>
      </c>
      <c r="V124" s="165">
        <v>80309</v>
      </c>
      <c r="W124" s="165">
        <v>80773</v>
      </c>
      <c r="X124" s="166">
        <f>IFERROR(W124/V124-1,"-")</f>
        <v>5.7776836967213807E-3</v>
      </c>
      <c r="Y124" s="180">
        <f t="shared" si="43"/>
        <v>1.3911486086441682</v>
      </c>
      <c r="Z124" s="166">
        <f t="shared" si="56"/>
        <v>1.7215564304121425E-2</v>
      </c>
    </row>
    <row r="125" spans="1:26" x14ac:dyDescent="0.25">
      <c r="A125" s="1" t="s">
        <v>148</v>
      </c>
      <c r="B125" s="160" t="s">
        <v>109</v>
      </c>
      <c r="C125" s="161">
        <v>24992</v>
      </c>
      <c r="D125" s="161">
        <v>28490</v>
      </c>
      <c r="E125" s="161">
        <v>41860</v>
      </c>
      <c r="F125" s="161">
        <v>32760</v>
      </c>
      <c r="G125" s="161">
        <v>32815</v>
      </c>
      <c r="H125" s="162">
        <f>IFERROR(G125/F125-1,"-")</f>
        <v>1.6788766788766729E-3</v>
      </c>
      <c r="I125" s="179">
        <f t="shared" si="35"/>
        <v>0.31302016645326503</v>
      </c>
      <c r="J125" s="162">
        <f>G125/G$9</f>
        <v>4.3245344684440107E-2</v>
      </c>
      <c r="K125" s="161">
        <v>16953</v>
      </c>
      <c r="L125" s="161">
        <v>31211</v>
      </c>
      <c r="M125" s="161">
        <v>52385</v>
      </c>
      <c r="N125" s="161">
        <v>59919</v>
      </c>
      <c r="O125" s="161">
        <v>61490</v>
      </c>
      <c r="P125" s="162">
        <f>IFERROR(O125/N125-1,"-")</f>
        <v>2.6218728616966169E-2</v>
      </c>
      <c r="Q125" s="179">
        <f t="shared" si="42"/>
        <v>2.6270866513301478</v>
      </c>
      <c r="R125" s="162">
        <f>O125/O$9</f>
        <v>1.7464631919178148E-2</v>
      </c>
      <c r="S125" s="161">
        <v>41945</v>
      </c>
      <c r="T125" s="161">
        <v>59701</v>
      </c>
      <c r="U125" s="161">
        <v>94245</v>
      </c>
      <c r="V125" s="161">
        <v>92679</v>
      </c>
      <c r="W125" s="161">
        <v>94305</v>
      </c>
      <c r="X125" s="162">
        <f>IFERROR(W125/V125-1,"-")</f>
        <v>1.7544427540219454E-2</v>
      </c>
      <c r="Y125" s="179">
        <f t="shared" si="43"/>
        <v>1.2483013470020263</v>
      </c>
      <c r="Z125" s="162">
        <f t="shared" si="56"/>
        <v>2.4953182169482533E-2</v>
      </c>
    </row>
    <row r="126" spans="1:26" x14ac:dyDescent="0.25">
      <c r="A126" s="163" t="s">
        <v>112</v>
      </c>
      <c r="B126" s="164" t="s">
        <v>112</v>
      </c>
      <c r="C126" s="165">
        <v>1440</v>
      </c>
      <c r="D126" s="165">
        <v>653</v>
      </c>
      <c r="E126" s="165">
        <v>2495</v>
      </c>
      <c r="F126" s="165">
        <v>3067</v>
      </c>
      <c r="G126" s="165">
        <v>2396</v>
      </c>
      <c r="H126" s="166">
        <f t="shared" ref="H126:H133" si="57">IFERROR(G126/F126-1,"-")</f>
        <v>-0.21878056732963813</v>
      </c>
      <c r="I126" s="180">
        <f t="shared" si="35"/>
        <v>0.66388888888888897</v>
      </c>
      <c r="J126" s="166">
        <f t="shared" ref="J126:J133" si="58">G126/G$9</f>
        <v>3.1575756777058816E-3</v>
      </c>
      <c r="K126" s="165">
        <v>2501</v>
      </c>
      <c r="L126" s="165">
        <v>2683</v>
      </c>
      <c r="M126" s="165">
        <v>7422</v>
      </c>
      <c r="N126" s="165">
        <v>8579</v>
      </c>
      <c r="O126" s="165">
        <v>8260</v>
      </c>
      <c r="P126" s="166">
        <f t="shared" ref="P126:P133" si="59">IFERROR(O126/N126-1,"-")</f>
        <v>-3.7183820958153646E-2</v>
      </c>
      <c r="Q126" s="180">
        <f t="shared" si="42"/>
        <v>2.3026789284286284</v>
      </c>
      <c r="R126" s="166">
        <f t="shared" ref="R126:R133" si="60">O126/O$9</f>
        <v>2.3460377240593837E-3</v>
      </c>
      <c r="S126" s="165">
        <v>3941</v>
      </c>
      <c r="T126" s="165">
        <v>3336</v>
      </c>
      <c r="U126" s="165">
        <v>9917</v>
      </c>
      <c r="V126" s="165">
        <v>11646</v>
      </c>
      <c r="W126" s="165">
        <v>10656</v>
      </c>
      <c r="X126" s="166">
        <f t="shared" ref="X126:X133" si="61">IFERROR(W126/V126-1,"-")</f>
        <v>-8.5007727975270453E-2</v>
      </c>
      <c r="Y126" s="180">
        <f t="shared" si="43"/>
        <v>1.7038822633849278</v>
      </c>
      <c r="Z126" s="166">
        <f t="shared" si="56"/>
        <v>2.6257170945382597E-3</v>
      </c>
    </row>
    <row r="127" spans="1:26" x14ac:dyDescent="0.25">
      <c r="A127" s="163" t="s">
        <v>115</v>
      </c>
      <c r="B127" s="164" t="s">
        <v>115</v>
      </c>
      <c r="C127" s="165">
        <v>1742</v>
      </c>
      <c r="D127" s="165">
        <v>2401</v>
      </c>
      <c r="E127" s="165">
        <v>4143</v>
      </c>
      <c r="F127" s="165">
        <v>4500</v>
      </c>
      <c r="G127" s="165">
        <v>4504</v>
      </c>
      <c r="H127" s="166">
        <f t="shared" si="57"/>
        <v>8.8888888888893902E-4</v>
      </c>
      <c r="I127" s="180">
        <f t="shared" si="35"/>
        <v>1.5855338691159586</v>
      </c>
      <c r="J127" s="166">
        <f t="shared" si="58"/>
        <v>5.9356097046691534E-3</v>
      </c>
      <c r="K127" s="165">
        <v>2311</v>
      </c>
      <c r="L127" s="165">
        <v>4913</v>
      </c>
      <c r="M127" s="165">
        <v>7118</v>
      </c>
      <c r="N127" s="165">
        <v>8816</v>
      </c>
      <c r="O127" s="165">
        <v>8623</v>
      </c>
      <c r="P127" s="166">
        <f t="shared" si="59"/>
        <v>-2.1892014519056313E-2</v>
      </c>
      <c r="Q127" s="180">
        <f t="shared" si="42"/>
        <v>2.7312851579402855</v>
      </c>
      <c r="R127" s="166">
        <f t="shared" si="60"/>
        <v>2.4491384133854799E-3</v>
      </c>
      <c r="S127" s="165">
        <v>4053</v>
      </c>
      <c r="T127" s="165">
        <v>7314</v>
      </c>
      <c r="U127" s="165">
        <v>11261</v>
      </c>
      <c r="V127" s="165">
        <v>13316</v>
      </c>
      <c r="W127" s="165">
        <v>13127</v>
      </c>
      <c r="X127" s="166">
        <f t="shared" si="61"/>
        <v>-1.4193451486932962E-2</v>
      </c>
      <c r="Y127" s="180">
        <f t="shared" si="43"/>
        <v>2.2388354305452749</v>
      </c>
      <c r="Z127" s="166">
        <f t="shared" si="56"/>
        <v>2.9815670264793123E-3</v>
      </c>
    </row>
    <row r="128" spans="1:26" x14ac:dyDescent="0.25">
      <c r="A128" s="163" t="s">
        <v>118</v>
      </c>
      <c r="B128" s="164" t="s">
        <v>118</v>
      </c>
      <c r="C128" s="165">
        <v>1315</v>
      </c>
      <c r="D128" s="165">
        <v>2102</v>
      </c>
      <c r="E128" s="165">
        <v>2821</v>
      </c>
      <c r="F128" s="165">
        <v>3000</v>
      </c>
      <c r="G128" s="165">
        <v>2742</v>
      </c>
      <c r="H128" s="166">
        <f t="shared" si="57"/>
        <v>-8.5999999999999965E-2</v>
      </c>
      <c r="I128" s="180">
        <f t="shared" si="35"/>
        <v>1.0851711026615969</v>
      </c>
      <c r="J128" s="166">
        <f t="shared" si="58"/>
        <v>3.6135527997786009E-3</v>
      </c>
      <c r="K128" s="165">
        <v>1591</v>
      </c>
      <c r="L128" s="165">
        <v>5032</v>
      </c>
      <c r="M128" s="165">
        <v>5703</v>
      </c>
      <c r="N128" s="165">
        <v>5756</v>
      </c>
      <c r="O128" s="165">
        <v>5825</v>
      </c>
      <c r="P128" s="166">
        <f t="shared" si="59"/>
        <v>1.1987491313412146E-2</v>
      </c>
      <c r="Q128" s="180">
        <f t="shared" si="42"/>
        <v>2.6612193588937774</v>
      </c>
      <c r="R128" s="166">
        <f t="shared" si="60"/>
        <v>1.6544394361556792E-3</v>
      </c>
      <c r="S128" s="165">
        <v>2906</v>
      </c>
      <c r="T128" s="165">
        <v>7134</v>
      </c>
      <c r="U128" s="165">
        <v>8524</v>
      </c>
      <c r="V128" s="165">
        <v>8756</v>
      </c>
      <c r="W128" s="165">
        <v>8567</v>
      </c>
      <c r="X128" s="166">
        <f t="shared" si="61"/>
        <v>-2.1585198720877163E-2</v>
      </c>
      <c r="Y128" s="180">
        <f t="shared" si="43"/>
        <v>1.9480385409497591</v>
      </c>
      <c r="Z128" s="166">
        <f t="shared" si="56"/>
        <v>2.2568934671618559E-3</v>
      </c>
    </row>
    <row r="129" spans="1:26" x14ac:dyDescent="0.25">
      <c r="A129" s="163" t="s">
        <v>125</v>
      </c>
      <c r="B129" s="164" t="s">
        <v>125</v>
      </c>
      <c r="C129" s="165">
        <v>369</v>
      </c>
      <c r="D129" s="165">
        <v>359</v>
      </c>
      <c r="E129" s="165">
        <v>801</v>
      </c>
      <c r="F129" s="165">
        <v>649</v>
      </c>
      <c r="G129" s="165">
        <v>650</v>
      </c>
      <c r="H129" s="166">
        <f t="shared" si="57"/>
        <v>1.5408320493066618E-3</v>
      </c>
      <c r="I129" s="180">
        <f t="shared" si="35"/>
        <v>0.7615176151761518</v>
      </c>
      <c r="J129" s="166">
        <f t="shared" si="58"/>
        <v>8.5660442007880764E-4</v>
      </c>
      <c r="K129" s="165">
        <v>415</v>
      </c>
      <c r="L129" s="165">
        <v>974</v>
      </c>
      <c r="M129" s="165">
        <v>1772</v>
      </c>
      <c r="N129" s="165">
        <v>1988</v>
      </c>
      <c r="O129" s="165">
        <v>1706</v>
      </c>
      <c r="P129" s="166">
        <f t="shared" si="59"/>
        <v>-0.14185110663983902</v>
      </c>
      <c r="Q129" s="180">
        <f t="shared" si="42"/>
        <v>3.1108433734939762</v>
      </c>
      <c r="R129" s="166">
        <f t="shared" si="60"/>
        <v>4.8454483743889937E-4</v>
      </c>
      <c r="S129" s="165">
        <v>784</v>
      </c>
      <c r="T129" s="165">
        <v>1333</v>
      </c>
      <c r="U129" s="165">
        <v>2573</v>
      </c>
      <c r="V129" s="165">
        <v>2637</v>
      </c>
      <c r="W129" s="165">
        <v>2356</v>
      </c>
      <c r="X129" s="166">
        <f t="shared" si="61"/>
        <v>-0.10656048540007579</v>
      </c>
      <c r="Y129" s="180">
        <f t="shared" si="43"/>
        <v>2.0051020408163267</v>
      </c>
      <c r="Z129" s="166">
        <f t="shared" si="56"/>
        <v>6.812513950032209E-4</v>
      </c>
    </row>
    <row r="130" spans="1:26" x14ac:dyDescent="0.25">
      <c r="A130" s="163" t="s">
        <v>121</v>
      </c>
      <c r="B130" s="164" t="s">
        <v>121</v>
      </c>
      <c r="C130" s="165">
        <v>323</v>
      </c>
      <c r="D130" s="165">
        <v>312</v>
      </c>
      <c r="E130" s="165">
        <v>635</v>
      </c>
      <c r="F130" s="165">
        <v>526</v>
      </c>
      <c r="G130" s="165">
        <v>594</v>
      </c>
      <c r="H130" s="166">
        <f t="shared" si="57"/>
        <v>0.12927756653992395</v>
      </c>
      <c r="I130" s="180">
        <f t="shared" si="35"/>
        <v>0.83900928792569651</v>
      </c>
      <c r="J130" s="166">
        <f t="shared" si="58"/>
        <v>7.8280465465663338E-4</v>
      </c>
      <c r="K130" s="165">
        <v>489</v>
      </c>
      <c r="L130" s="165">
        <v>1045</v>
      </c>
      <c r="M130" s="165">
        <v>1201</v>
      </c>
      <c r="N130" s="165">
        <v>1408</v>
      </c>
      <c r="O130" s="165">
        <v>1497</v>
      </c>
      <c r="P130" s="166">
        <f t="shared" si="59"/>
        <v>6.3210227272727293E-2</v>
      </c>
      <c r="Q130" s="180">
        <f t="shared" si="42"/>
        <v>2.0613496932515338</v>
      </c>
      <c r="R130" s="166">
        <f t="shared" si="60"/>
        <v>4.2518383449357113E-4</v>
      </c>
      <c r="S130" s="165">
        <v>812</v>
      </c>
      <c r="T130" s="165">
        <v>1357</v>
      </c>
      <c r="U130" s="165">
        <v>1836</v>
      </c>
      <c r="V130" s="165">
        <v>1934</v>
      </c>
      <c r="W130" s="165">
        <v>2091</v>
      </c>
      <c r="X130" s="166">
        <f t="shared" si="61"/>
        <v>8.1178903826266913E-2</v>
      </c>
      <c r="Y130" s="180">
        <f t="shared" si="43"/>
        <v>1.5751231527093594</v>
      </c>
      <c r="Z130" s="166">
        <f t="shared" si="56"/>
        <v>4.8611642488375966E-4</v>
      </c>
    </row>
    <row r="131" spans="1:26" x14ac:dyDescent="0.25">
      <c r="A131" s="163" t="s">
        <v>130</v>
      </c>
      <c r="B131" s="164" t="s">
        <v>130</v>
      </c>
      <c r="C131" s="165">
        <v>186</v>
      </c>
      <c r="D131" s="165">
        <v>123</v>
      </c>
      <c r="E131" s="165">
        <v>250</v>
      </c>
      <c r="F131" s="165">
        <v>203</v>
      </c>
      <c r="G131" s="165">
        <v>235</v>
      </c>
      <c r="H131" s="166">
        <f t="shared" si="57"/>
        <v>0.1576354679802956</v>
      </c>
      <c r="I131" s="180">
        <f t="shared" si="35"/>
        <v>0.26344086021505375</v>
      </c>
      <c r="J131" s="166">
        <f t="shared" si="58"/>
        <v>3.0969544418233812E-4</v>
      </c>
      <c r="K131" s="165">
        <v>492</v>
      </c>
      <c r="L131" s="165">
        <v>432</v>
      </c>
      <c r="M131" s="165">
        <v>825</v>
      </c>
      <c r="N131" s="165">
        <v>1138</v>
      </c>
      <c r="O131" s="165">
        <v>1099</v>
      </c>
      <c r="P131" s="166">
        <f t="shared" si="59"/>
        <v>-3.4270650263620417E-2</v>
      </c>
      <c r="Q131" s="180">
        <f t="shared" si="42"/>
        <v>1.2337398373983741</v>
      </c>
      <c r="R131" s="166">
        <f t="shared" si="60"/>
        <v>3.1214230735366374E-4</v>
      </c>
      <c r="S131" s="165">
        <v>678</v>
      </c>
      <c r="T131" s="165">
        <v>555</v>
      </c>
      <c r="U131" s="165">
        <v>1075</v>
      </c>
      <c r="V131" s="165">
        <v>1341</v>
      </c>
      <c r="W131" s="165">
        <v>1334</v>
      </c>
      <c r="X131" s="166">
        <f t="shared" si="61"/>
        <v>-5.2199850857569396E-3</v>
      </c>
      <c r="Y131" s="180">
        <f t="shared" si="43"/>
        <v>0.96755162241887915</v>
      </c>
      <c r="Z131" s="166">
        <f t="shared" si="56"/>
        <v>2.8462699169392246E-4</v>
      </c>
    </row>
    <row r="132" spans="1:26" x14ac:dyDescent="0.25">
      <c r="A132" s="163" t="s">
        <v>133</v>
      </c>
      <c r="B132" s="164" t="s">
        <v>133</v>
      </c>
      <c r="C132" s="165">
        <v>210</v>
      </c>
      <c r="D132" s="165">
        <v>177</v>
      </c>
      <c r="E132" s="165">
        <v>253</v>
      </c>
      <c r="F132" s="165">
        <v>358</v>
      </c>
      <c r="G132" s="165">
        <v>378</v>
      </c>
      <c r="H132" s="166">
        <f t="shared" si="57"/>
        <v>5.5865921787709549E-2</v>
      </c>
      <c r="I132" s="180">
        <f t="shared" si="35"/>
        <v>0.8</v>
      </c>
      <c r="J132" s="166">
        <f t="shared" si="58"/>
        <v>4.9814841659967578E-4</v>
      </c>
      <c r="K132" s="165">
        <v>887</v>
      </c>
      <c r="L132" s="165">
        <v>742</v>
      </c>
      <c r="M132" s="165">
        <v>1632</v>
      </c>
      <c r="N132" s="165">
        <v>2097</v>
      </c>
      <c r="O132" s="165">
        <v>2115</v>
      </c>
      <c r="P132" s="166">
        <f t="shared" si="59"/>
        <v>8.5836909871244149E-3</v>
      </c>
      <c r="Q132" s="180">
        <f t="shared" si="42"/>
        <v>1.3844419391206313</v>
      </c>
      <c r="R132" s="166">
        <f t="shared" si="60"/>
        <v>6.0071062789171872E-4</v>
      </c>
      <c r="S132" s="165">
        <v>1097</v>
      </c>
      <c r="T132" s="165">
        <v>919</v>
      </c>
      <c r="U132" s="165">
        <v>1885</v>
      </c>
      <c r="V132" s="165">
        <v>2455</v>
      </c>
      <c r="W132" s="165">
        <v>2493</v>
      </c>
      <c r="X132" s="166">
        <f t="shared" si="61"/>
        <v>1.5478615071283119E-2</v>
      </c>
      <c r="Y132" s="180">
        <f t="shared" si="43"/>
        <v>1.2725615314494076</v>
      </c>
      <c r="Z132" s="166">
        <f t="shared" si="56"/>
        <v>4.9909012031911057E-4</v>
      </c>
    </row>
    <row r="133" spans="1:26" x14ac:dyDescent="0.25">
      <c r="A133" s="168" t="s">
        <v>147</v>
      </c>
      <c r="B133" s="169" t="s">
        <v>147</v>
      </c>
      <c r="C133" s="170">
        <f>C125-SUM(C126:C132)</f>
        <v>19407</v>
      </c>
      <c r="D133" s="170">
        <f>D125-SUM(D126:D132)</f>
        <v>22363</v>
      </c>
      <c r="E133" s="170">
        <f>E125-SUM(E126:E132)</f>
        <v>30462</v>
      </c>
      <c r="F133" s="170">
        <f>F125-SUM(F126:F132)</f>
        <v>20457</v>
      </c>
      <c r="G133" s="170">
        <f>G125-SUM(G126:G132)</f>
        <v>21316</v>
      </c>
      <c r="H133" s="171">
        <f t="shared" si="57"/>
        <v>4.199051669355236E-2</v>
      </c>
      <c r="I133" s="181">
        <f t="shared" si="35"/>
        <v>9.8366568763848194E-2</v>
      </c>
      <c r="J133" s="171">
        <f t="shared" si="58"/>
        <v>2.809135356676902E-2</v>
      </c>
      <c r="K133" s="170">
        <f>K125-SUM(K126:K132)</f>
        <v>8267</v>
      </c>
      <c r="L133" s="170">
        <f>L125-SUM(L126:L132)</f>
        <v>15390</v>
      </c>
      <c r="M133" s="170">
        <f>M125-SUM(M126:M132)</f>
        <v>26712</v>
      </c>
      <c r="N133" s="170">
        <f>N125-SUM(N126:N132)</f>
        <v>30137</v>
      </c>
      <c r="O133" s="170">
        <f>O125-SUM(O126:O132)</f>
        <v>32365</v>
      </c>
      <c r="P133" s="171">
        <f t="shared" si="59"/>
        <v>7.3929057304974011E-2</v>
      </c>
      <c r="Q133" s="181">
        <f t="shared" si="42"/>
        <v>2.9149631063263577</v>
      </c>
      <c r="R133" s="171">
        <f t="shared" si="60"/>
        <v>9.1924347383997521E-3</v>
      </c>
      <c r="S133" s="170">
        <f>S125-SUM(S126:S132)</f>
        <v>27674</v>
      </c>
      <c r="T133" s="170">
        <f>T125-SUM(T126:T132)</f>
        <v>37753</v>
      </c>
      <c r="U133" s="170">
        <f>U125-SUM(U126:U132)</f>
        <v>57174</v>
      </c>
      <c r="V133" s="170">
        <f>V125-SUM(V126:V132)</f>
        <v>50594</v>
      </c>
      <c r="W133" s="170">
        <f>W125-SUM(W126:W132)</f>
        <v>53681</v>
      </c>
      <c r="X133" s="171">
        <f t="shared" si="61"/>
        <v>6.1015140135193935E-2</v>
      </c>
      <c r="Y133" s="181">
        <f t="shared" si="43"/>
        <v>0.93976295439762958</v>
      </c>
      <c r="Z133" s="171">
        <f t="shared" si="56"/>
        <v>1.513791964940309E-2</v>
      </c>
    </row>
    <row r="134" spans="1:26" x14ac:dyDescent="0.25">
      <c r="A134" s="1"/>
      <c r="B134" s="156" t="s">
        <v>54</v>
      </c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</row>
    <row r="135" spans="1:26" x14ac:dyDescent="0.25">
      <c r="A135" s="1" t="s">
        <v>0</v>
      </c>
      <c r="B135" s="157" t="s">
        <v>70</v>
      </c>
      <c r="C135" s="177">
        <f>C136+C139</f>
        <v>0</v>
      </c>
      <c r="D135" s="177">
        <f>D136+D139</f>
        <v>29237</v>
      </c>
      <c r="E135" s="177">
        <f>E136+E139</f>
        <v>47385</v>
      </c>
      <c r="F135" s="177">
        <f>F136+F139</f>
        <v>49008</v>
      </c>
      <c r="G135" s="177">
        <f>G136+G139</f>
        <v>52595</v>
      </c>
      <c r="H135" s="178">
        <f>IFERROR(G135/F135-1,"-")</f>
        <v>7.3192131896833157E-2</v>
      </c>
      <c r="I135" s="178" t="str">
        <f t="shared" si="35"/>
        <v>-</v>
      </c>
      <c r="J135" s="178">
        <f>G135/G$9</f>
        <v>6.9312476113915208E-2</v>
      </c>
      <c r="K135" s="177">
        <f>K136+K139</f>
        <v>0</v>
      </c>
      <c r="L135" s="177">
        <f>L136+L139</f>
        <v>87353</v>
      </c>
      <c r="M135" s="177">
        <f>M136+M139</f>
        <v>163913</v>
      </c>
      <c r="N135" s="177">
        <f>N136+N139</f>
        <v>180038</v>
      </c>
      <c r="O135" s="177">
        <f>O136+O139</f>
        <v>183335</v>
      </c>
      <c r="P135" s="178">
        <f>IFERROR(O135/N135-1,"-")</f>
        <v>1.8312800630977843E-2</v>
      </c>
      <c r="Q135" s="178" t="str">
        <f t="shared" si="42"/>
        <v>-</v>
      </c>
      <c r="R135" s="178">
        <f>O135/O$9</f>
        <v>5.2071528588429436E-2</v>
      </c>
      <c r="S135" s="177">
        <f>S136+S139</f>
        <v>77095</v>
      </c>
      <c r="T135" s="177">
        <f>T136+T139</f>
        <v>116590</v>
      </c>
      <c r="U135" s="177">
        <f>U136+U139</f>
        <v>211298</v>
      </c>
      <c r="V135" s="177">
        <f>V136+V139</f>
        <v>229046</v>
      </c>
      <c r="W135" s="177">
        <f>W136+W139</f>
        <v>235930</v>
      </c>
      <c r="X135" s="178">
        <f>IFERROR(W135/V135-1,"-")</f>
        <v>3.0055098102564459E-2</v>
      </c>
      <c r="Y135" s="178">
        <f t="shared" si="43"/>
        <v>2.0602503404890071</v>
      </c>
      <c r="Z135" s="178">
        <f t="shared" ref="Z135:Z147" si="62">U135/U$9</f>
        <v>5.5945222410179005E-2</v>
      </c>
    </row>
    <row r="136" spans="1:26" x14ac:dyDescent="0.25">
      <c r="A136" s="1" t="s">
        <v>98</v>
      </c>
      <c r="B136" s="160" t="s">
        <v>99</v>
      </c>
      <c r="C136" s="161">
        <v>0</v>
      </c>
      <c r="D136" s="161">
        <v>9339</v>
      </c>
      <c r="E136" s="161">
        <v>5486</v>
      </c>
      <c r="F136" s="161">
        <v>7999</v>
      </c>
      <c r="G136" s="161">
        <v>6701</v>
      </c>
      <c r="H136" s="162">
        <f>IFERROR(G136/F136-1,"-")</f>
        <v>-0.16227028378547315</v>
      </c>
      <c r="I136" s="179" t="str">
        <f t="shared" si="35"/>
        <v>-</v>
      </c>
      <c r="J136" s="162">
        <f>G136/G$9</f>
        <v>8.8309326445355236E-3</v>
      </c>
      <c r="K136" s="161">
        <v>0</v>
      </c>
      <c r="L136" s="161">
        <v>28431</v>
      </c>
      <c r="M136" s="161">
        <v>15843</v>
      </c>
      <c r="N136" s="161">
        <v>15164</v>
      </c>
      <c r="O136" s="161">
        <v>14762</v>
      </c>
      <c r="P136" s="162">
        <f>IFERROR(O136/N136-1,"-")</f>
        <v>-2.6510155631759402E-2</v>
      </c>
      <c r="Q136" s="179" t="str">
        <f t="shared" si="42"/>
        <v>-</v>
      </c>
      <c r="R136" s="162">
        <f>O136/O$9</f>
        <v>4.1927613659279205E-3</v>
      </c>
      <c r="S136" s="161">
        <v>22432</v>
      </c>
      <c r="T136" s="161">
        <v>37770</v>
      </c>
      <c r="U136" s="161">
        <v>21329</v>
      </c>
      <c r="V136" s="161">
        <v>23163</v>
      </c>
      <c r="W136" s="161">
        <v>21463</v>
      </c>
      <c r="X136" s="162">
        <f>IFERROR(W136/V136-1,"-")</f>
        <v>-7.3392911108232983E-2</v>
      </c>
      <c r="Y136" s="179">
        <f t="shared" si="43"/>
        <v>-4.3197218259629078E-2</v>
      </c>
      <c r="Z136" s="162">
        <f t="shared" si="62"/>
        <v>5.6472642845020208E-3</v>
      </c>
    </row>
    <row r="137" spans="1:26" x14ac:dyDescent="0.25">
      <c r="A137" s="163" t="s">
        <v>105</v>
      </c>
      <c r="B137" s="164" t="s">
        <v>105</v>
      </c>
      <c r="C137" s="165">
        <v>0</v>
      </c>
      <c r="D137" s="165">
        <v>9339</v>
      </c>
      <c r="E137" s="165">
        <v>5415</v>
      </c>
      <c r="F137" s="165">
        <v>7999</v>
      </c>
      <c r="G137" s="165">
        <v>6701</v>
      </c>
      <c r="H137" s="166">
        <f>IFERROR(G137/F137-1,"-")</f>
        <v>-0.16227028378547315</v>
      </c>
      <c r="I137" s="180" t="str">
        <f t="shared" si="35"/>
        <v>-</v>
      </c>
      <c r="J137" s="166">
        <f>G137/G$9</f>
        <v>8.8309326445355236E-3</v>
      </c>
      <c r="K137" s="165">
        <v>0</v>
      </c>
      <c r="L137" s="165">
        <v>20185</v>
      </c>
      <c r="M137" s="165">
        <v>9264</v>
      </c>
      <c r="N137" s="165">
        <v>6639</v>
      </c>
      <c r="O137" s="165">
        <v>6321</v>
      </c>
      <c r="P137" s="166">
        <f>IFERROR(O137/N137-1,"-")</f>
        <v>-4.7898779936737412E-2</v>
      </c>
      <c r="Q137" s="180" t="str">
        <f t="shared" si="42"/>
        <v>-</v>
      </c>
      <c r="R137" s="166">
        <f>O137/O$9</f>
        <v>1.7953153091742572E-3</v>
      </c>
      <c r="S137" s="165">
        <v>16366</v>
      </c>
      <c r="T137" s="165">
        <v>29524</v>
      </c>
      <c r="U137" s="165">
        <v>14679</v>
      </c>
      <c r="V137" s="165">
        <v>14638</v>
      </c>
      <c r="W137" s="165">
        <v>13022</v>
      </c>
      <c r="X137" s="166">
        <f>IFERROR(W137/V137-1,"-")</f>
        <v>-0.11039759529990434</v>
      </c>
      <c r="Y137" s="180">
        <f t="shared" si="43"/>
        <v>-0.20432604179396308</v>
      </c>
      <c r="Z137" s="166">
        <f t="shared" si="62"/>
        <v>3.8865484754186863E-3</v>
      </c>
    </row>
    <row r="138" spans="1:26" x14ac:dyDescent="0.25">
      <c r="A138" s="163" t="s">
        <v>102</v>
      </c>
      <c r="B138" s="164" t="s">
        <v>102</v>
      </c>
      <c r="C138" s="165">
        <v>0</v>
      </c>
      <c r="D138" s="165">
        <v>0</v>
      </c>
      <c r="E138" s="165">
        <v>71</v>
      </c>
      <c r="F138" s="165">
        <v>0</v>
      </c>
      <c r="G138" s="165">
        <v>0</v>
      </c>
      <c r="H138" s="166" t="str">
        <f>IFERROR(G138/F138-1,"-")</f>
        <v>-</v>
      </c>
      <c r="I138" s="180" t="str">
        <f t="shared" ref="I138:I161" si="63">IFERROR(G138/C138-1,"-")</f>
        <v>-</v>
      </c>
      <c r="J138" s="166">
        <f>G138/G$9</f>
        <v>0</v>
      </c>
      <c r="K138" s="165">
        <v>0</v>
      </c>
      <c r="L138" s="165">
        <v>8246</v>
      </c>
      <c r="M138" s="165">
        <v>6579</v>
      </c>
      <c r="N138" s="165">
        <v>8525</v>
      </c>
      <c r="O138" s="165">
        <v>8441</v>
      </c>
      <c r="P138" s="166">
        <f>IFERROR(O138/N138-1,"-")</f>
        <v>-9.8533724340176265E-3</v>
      </c>
      <c r="Q138" s="180" t="str">
        <f t="shared" si="42"/>
        <v>-</v>
      </c>
      <c r="R138" s="166">
        <f>O138/O$9</f>
        <v>2.3974460567536631E-3</v>
      </c>
      <c r="S138" s="165">
        <v>6066</v>
      </c>
      <c r="T138" s="165">
        <v>8246</v>
      </c>
      <c r="U138" s="165">
        <v>6650</v>
      </c>
      <c r="V138" s="165">
        <v>8525</v>
      </c>
      <c r="W138" s="165">
        <v>8441</v>
      </c>
      <c r="X138" s="166">
        <f>IFERROR(W138/V138-1,"-")</f>
        <v>-9.8533724340176265E-3</v>
      </c>
      <c r="Y138" s="180">
        <f t="shared" si="43"/>
        <v>0.39152654137817344</v>
      </c>
      <c r="Z138" s="166">
        <f t="shared" si="62"/>
        <v>1.7607158090833343E-3</v>
      </c>
    </row>
    <row r="139" spans="1:26" x14ac:dyDescent="0.25">
      <c r="A139" s="1" t="s">
        <v>148</v>
      </c>
      <c r="B139" s="160" t="s">
        <v>109</v>
      </c>
      <c r="C139" s="161">
        <v>0</v>
      </c>
      <c r="D139" s="161">
        <v>19898</v>
      </c>
      <c r="E139" s="161">
        <v>41899</v>
      </c>
      <c r="F139" s="161">
        <v>41009</v>
      </c>
      <c r="G139" s="161">
        <v>45894</v>
      </c>
      <c r="H139" s="162">
        <f>IFERROR(G139/F139-1,"-")</f>
        <v>0.11912019312833766</v>
      </c>
      <c r="I139" s="179" t="str">
        <f t="shared" si="63"/>
        <v>-</v>
      </c>
      <c r="J139" s="162">
        <f>G139/G$9</f>
        <v>6.0481543469379687E-2</v>
      </c>
      <c r="K139" s="161">
        <v>0</v>
      </c>
      <c r="L139" s="161">
        <v>58922</v>
      </c>
      <c r="M139" s="161">
        <v>148070</v>
      </c>
      <c r="N139" s="161">
        <v>164874</v>
      </c>
      <c r="O139" s="161">
        <v>168573</v>
      </c>
      <c r="P139" s="162">
        <f>IFERROR(O139/N139-1,"-")</f>
        <v>2.2435314239965143E-2</v>
      </c>
      <c r="Q139" s="179" t="str">
        <f t="shared" si="42"/>
        <v>-</v>
      </c>
      <c r="R139" s="162">
        <f>O139/O$9</f>
        <v>4.7878767222501513E-2</v>
      </c>
      <c r="S139" s="161">
        <v>54663</v>
      </c>
      <c r="T139" s="161">
        <v>78820</v>
      </c>
      <c r="U139" s="161">
        <v>189969</v>
      </c>
      <c r="V139" s="161">
        <v>205883</v>
      </c>
      <c r="W139" s="161">
        <v>214467</v>
      </c>
      <c r="X139" s="162">
        <f>IFERROR(W139/V139-1,"-")</f>
        <v>4.1693583248738397E-2</v>
      </c>
      <c r="Y139" s="179">
        <f t="shared" si="43"/>
        <v>2.9234399868283849</v>
      </c>
      <c r="Z139" s="162">
        <f t="shared" si="62"/>
        <v>5.0297958125676979E-2</v>
      </c>
    </row>
    <row r="140" spans="1:26" x14ac:dyDescent="0.25">
      <c r="A140" s="163" t="s">
        <v>112</v>
      </c>
      <c r="B140" s="164" t="s">
        <v>112</v>
      </c>
      <c r="C140" s="165">
        <v>0</v>
      </c>
      <c r="D140" s="165">
        <v>8616</v>
      </c>
      <c r="E140" s="165">
        <v>22074</v>
      </c>
      <c r="F140" s="165">
        <v>20929</v>
      </c>
      <c r="G140" s="165">
        <v>26456</v>
      </c>
      <c r="H140" s="166">
        <f t="shared" ref="H140:H147" si="64">IFERROR(G140/F140-1,"-")</f>
        <v>0.26408332935161738</v>
      </c>
      <c r="I140" s="180" t="str">
        <f t="shared" si="63"/>
        <v>-</v>
      </c>
      <c r="J140" s="166">
        <f t="shared" ref="J140:J147" si="65">G140/G$9</f>
        <v>3.4865117750161434E-2</v>
      </c>
      <c r="K140" s="165">
        <v>0</v>
      </c>
      <c r="L140" s="165">
        <v>13586</v>
      </c>
      <c r="M140" s="165">
        <v>60071</v>
      </c>
      <c r="N140" s="165">
        <v>68669</v>
      </c>
      <c r="O140" s="165">
        <v>70810</v>
      </c>
      <c r="P140" s="166">
        <f t="shared" ref="P140:P147" si="66">IFERROR(O140/N140-1,"-")</f>
        <v>3.1178552185120001E-2</v>
      </c>
      <c r="Q140" s="180" t="str">
        <f t="shared" si="42"/>
        <v>-</v>
      </c>
      <c r="R140" s="166">
        <f t="shared" ref="R140:R147" si="67">O140/O$9</f>
        <v>2.0111735017027236E-2</v>
      </c>
      <c r="S140" s="165">
        <v>18862</v>
      </c>
      <c r="T140" s="165">
        <v>22202</v>
      </c>
      <c r="U140" s="165">
        <v>82145</v>
      </c>
      <c r="V140" s="165">
        <v>89598</v>
      </c>
      <c r="W140" s="165">
        <v>97266</v>
      </c>
      <c r="X140" s="166">
        <f t="shared" ref="X140:X147" si="68">IFERROR(W140/V140-1,"-")</f>
        <v>8.5582267461327355E-2</v>
      </c>
      <c r="Y140" s="180">
        <f t="shared" si="43"/>
        <v>4.1567172092036904</v>
      </c>
      <c r="Z140" s="166">
        <f t="shared" si="62"/>
        <v>2.1749473704834661E-2</v>
      </c>
    </row>
    <row r="141" spans="1:26" x14ac:dyDescent="0.25">
      <c r="A141" s="163" t="s">
        <v>115</v>
      </c>
      <c r="B141" s="164" t="s">
        <v>115</v>
      </c>
      <c r="C141" s="165">
        <v>0</v>
      </c>
      <c r="D141" s="165">
        <v>1411</v>
      </c>
      <c r="E141" s="165">
        <v>1553</v>
      </c>
      <c r="F141" s="165">
        <v>1880</v>
      </c>
      <c r="G141" s="165">
        <v>1664</v>
      </c>
      <c r="H141" s="166">
        <f t="shared" si="64"/>
        <v>-0.11489361702127665</v>
      </c>
      <c r="I141" s="180" t="str">
        <f t="shared" si="63"/>
        <v>-</v>
      </c>
      <c r="J141" s="166">
        <f t="shared" si="65"/>
        <v>2.1929073154017473E-3</v>
      </c>
      <c r="K141" s="165">
        <v>0</v>
      </c>
      <c r="L141" s="165">
        <v>6291</v>
      </c>
      <c r="M141" s="165">
        <v>11965</v>
      </c>
      <c r="N141" s="165">
        <v>16181</v>
      </c>
      <c r="O141" s="165">
        <v>16944</v>
      </c>
      <c r="P141" s="166">
        <f t="shared" si="66"/>
        <v>4.7154069587788117E-2</v>
      </c>
      <c r="Q141" s="180" t="str">
        <f t="shared" si="42"/>
        <v>-</v>
      </c>
      <c r="R141" s="166">
        <f t="shared" si="67"/>
        <v>4.8125015976346486E-3</v>
      </c>
      <c r="S141" s="165">
        <v>5188</v>
      </c>
      <c r="T141" s="165">
        <v>7702</v>
      </c>
      <c r="U141" s="165">
        <v>13518</v>
      </c>
      <c r="V141" s="165">
        <v>18061</v>
      </c>
      <c r="W141" s="165">
        <v>18608</v>
      </c>
      <c r="X141" s="166">
        <f t="shared" si="68"/>
        <v>3.0286252145506953E-2</v>
      </c>
      <c r="Y141" s="180">
        <f t="shared" si="43"/>
        <v>2.5867386276021587</v>
      </c>
      <c r="Z141" s="166">
        <f t="shared" si="62"/>
        <v>3.5791513243892499E-3</v>
      </c>
    </row>
    <row r="142" spans="1:26" x14ac:dyDescent="0.25">
      <c r="A142" s="163" t="s">
        <v>118</v>
      </c>
      <c r="B142" s="164" t="s">
        <v>118</v>
      </c>
      <c r="C142" s="165">
        <v>0</v>
      </c>
      <c r="D142" s="165">
        <v>2188</v>
      </c>
      <c r="E142" s="165">
        <v>5813</v>
      </c>
      <c r="F142" s="165">
        <v>5043</v>
      </c>
      <c r="G142" s="165">
        <v>5027</v>
      </c>
      <c r="H142" s="166">
        <f t="shared" si="64"/>
        <v>-3.1727146539758388E-3</v>
      </c>
      <c r="I142" s="180" t="str">
        <f t="shared" si="63"/>
        <v>-</v>
      </c>
      <c r="J142" s="166">
        <f t="shared" si="65"/>
        <v>6.6248467995941012E-3</v>
      </c>
      <c r="K142" s="165">
        <v>0</v>
      </c>
      <c r="L142" s="165">
        <v>10850</v>
      </c>
      <c r="M142" s="165">
        <v>17158</v>
      </c>
      <c r="N142" s="165">
        <v>15976</v>
      </c>
      <c r="O142" s="165">
        <v>15484</v>
      </c>
      <c r="P142" s="166">
        <f t="shared" si="66"/>
        <v>-3.0796194291437207E-2</v>
      </c>
      <c r="Q142" s="180" t="str">
        <f t="shared" si="42"/>
        <v>-</v>
      </c>
      <c r="R142" s="166">
        <f t="shared" si="67"/>
        <v>4.3978266488299634E-3</v>
      </c>
      <c r="S142" s="165">
        <v>5864</v>
      </c>
      <c r="T142" s="165">
        <v>13038</v>
      </c>
      <c r="U142" s="165">
        <v>22971</v>
      </c>
      <c r="V142" s="165">
        <v>21019</v>
      </c>
      <c r="W142" s="165">
        <v>20511</v>
      </c>
      <c r="X142" s="166">
        <f t="shared" si="68"/>
        <v>-2.4168609353442116E-2</v>
      </c>
      <c r="Y142" s="180">
        <f t="shared" si="43"/>
        <v>2.4977830832196455</v>
      </c>
      <c r="Z142" s="166">
        <f t="shared" si="62"/>
        <v>6.0820154662335748E-3</v>
      </c>
    </row>
    <row r="143" spans="1:26" x14ac:dyDescent="0.25">
      <c r="A143" s="163" t="s">
        <v>125</v>
      </c>
      <c r="B143" s="164" t="s">
        <v>125</v>
      </c>
      <c r="C143" s="165">
        <v>0</v>
      </c>
      <c r="D143" s="165">
        <v>2549</v>
      </c>
      <c r="E143" s="165">
        <v>4370</v>
      </c>
      <c r="F143" s="165">
        <v>3569</v>
      </c>
      <c r="G143" s="165">
        <v>2063</v>
      </c>
      <c r="H143" s="166">
        <f t="shared" si="64"/>
        <v>-0.42196693751751191</v>
      </c>
      <c r="I143" s="180" t="str">
        <f t="shared" si="63"/>
        <v>-</v>
      </c>
      <c r="J143" s="166">
        <f t="shared" si="65"/>
        <v>2.7187306440347387E-3</v>
      </c>
      <c r="K143" s="165">
        <v>0</v>
      </c>
      <c r="L143" s="165">
        <v>1210</v>
      </c>
      <c r="M143" s="165">
        <v>3896</v>
      </c>
      <c r="N143" s="165">
        <v>3738</v>
      </c>
      <c r="O143" s="165">
        <v>3046</v>
      </c>
      <c r="P143" s="166">
        <f t="shared" si="66"/>
        <v>-0.18512573568753343</v>
      </c>
      <c r="Q143" s="180" t="str">
        <f t="shared" si="42"/>
        <v>-</v>
      </c>
      <c r="R143" s="166">
        <f t="shared" si="67"/>
        <v>8.6513691373908989E-4</v>
      </c>
      <c r="S143" s="165">
        <v>782</v>
      </c>
      <c r="T143" s="165">
        <v>3759</v>
      </c>
      <c r="U143" s="165">
        <v>8266</v>
      </c>
      <c r="V143" s="165">
        <v>7307</v>
      </c>
      <c r="W143" s="165">
        <v>5109</v>
      </c>
      <c r="X143" s="166">
        <f t="shared" si="68"/>
        <v>-0.30080744491583411</v>
      </c>
      <c r="Y143" s="180">
        <f t="shared" si="43"/>
        <v>5.5332480818414318</v>
      </c>
      <c r="Z143" s="166">
        <f t="shared" si="62"/>
        <v>2.1885829891553146E-3</v>
      </c>
    </row>
    <row r="144" spans="1:26" x14ac:dyDescent="0.25">
      <c r="A144" s="163" t="s">
        <v>121</v>
      </c>
      <c r="B144" s="164" t="s">
        <v>121</v>
      </c>
      <c r="C144" s="165">
        <v>0</v>
      </c>
      <c r="D144" s="165">
        <v>902</v>
      </c>
      <c r="E144" s="165">
        <v>435</v>
      </c>
      <c r="F144" s="165">
        <v>1205</v>
      </c>
      <c r="G144" s="165">
        <v>791</v>
      </c>
      <c r="H144" s="166">
        <f t="shared" si="64"/>
        <v>-0.34356846473029046</v>
      </c>
      <c r="I144" s="180" t="str">
        <f t="shared" si="63"/>
        <v>-</v>
      </c>
      <c r="J144" s="166">
        <f t="shared" si="65"/>
        <v>1.0424216865882105E-3</v>
      </c>
      <c r="K144" s="165">
        <v>0</v>
      </c>
      <c r="L144" s="165">
        <v>1918</v>
      </c>
      <c r="M144" s="165">
        <v>3253</v>
      </c>
      <c r="N144" s="165">
        <v>3495</v>
      </c>
      <c r="O144" s="165">
        <v>3931</v>
      </c>
      <c r="P144" s="166">
        <f t="shared" si="66"/>
        <v>0.12474964234620889</v>
      </c>
      <c r="Q144" s="180" t="str">
        <f t="shared" si="42"/>
        <v>-</v>
      </c>
      <c r="R144" s="166">
        <f t="shared" si="67"/>
        <v>1.1164980984597382E-3</v>
      </c>
      <c r="S144" s="165">
        <v>1676</v>
      </c>
      <c r="T144" s="165">
        <v>2820</v>
      </c>
      <c r="U144" s="165">
        <v>3688</v>
      </c>
      <c r="V144" s="165">
        <v>4700</v>
      </c>
      <c r="W144" s="165">
        <v>4722</v>
      </c>
      <c r="X144" s="166">
        <f t="shared" si="68"/>
        <v>4.6808510638298717E-3</v>
      </c>
      <c r="Y144" s="180">
        <f t="shared" si="43"/>
        <v>1.8174224343675416</v>
      </c>
      <c r="Z144" s="166">
        <f t="shared" si="62"/>
        <v>9.7646915848110323E-4</v>
      </c>
    </row>
    <row r="145" spans="1:26" x14ac:dyDescent="0.25">
      <c r="A145" s="163" t="s">
        <v>130</v>
      </c>
      <c r="B145" s="164" t="s">
        <v>130</v>
      </c>
      <c r="C145" s="165">
        <v>0</v>
      </c>
      <c r="D145" s="165">
        <v>93</v>
      </c>
      <c r="E145" s="165">
        <v>79</v>
      </c>
      <c r="F145" s="165">
        <v>139</v>
      </c>
      <c r="G145" s="165">
        <v>6</v>
      </c>
      <c r="H145" s="166">
        <f t="shared" si="64"/>
        <v>-0.95683453237410077</v>
      </c>
      <c r="I145" s="180" t="str">
        <f t="shared" si="63"/>
        <v>-</v>
      </c>
      <c r="J145" s="166">
        <f t="shared" si="65"/>
        <v>7.9071177238043773E-6</v>
      </c>
      <c r="K145" s="165">
        <v>0</v>
      </c>
      <c r="L145" s="165">
        <v>1104</v>
      </c>
      <c r="M145" s="165">
        <v>2826</v>
      </c>
      <c r="N145" s="165">
        <v>3106</v>
      </c>
      <c r="O145" s="165">
        <v>3058</v>
      </c>
      <c r="P145" s="166">
        <f t="shared" si="66"/>
        <v>-1.5453960077269846E-2</v>
      </c>
      <c r="Q145" s="180" t="str">
        <f t="shared" si="42"/>
        <v>-</v>
      </c>
      <c r="R145" s="166">
        <f t="shared" si="67"/>
        <v>8.6854520098953944E-4</v>
      </c>
      <c r="S145" s="165">
        <v>1597</v>
      </c>
      <c r="T145" s="165">
        <v>1197</v>
      </c>
      <c r="U145" s="165">
        <v>2905</v>
      </c>
      <c r="V145" s="165">
        <v>3245</v>
      </c>
      <c r="W145" s="165">
        <v>3064</v>
      </c>
      <c r="X145" s="166">
        <f t="shared" si="68"/>
        <v>-5.5778120184899804E-2</v>
      </c>
      <c r="Y145" s="180">
        <f t="shared" si="43"/>
        <v>0.9185973700688792</v>
      </c>
      <c r="Z145" s="166">
        <f t="shared" si="62"/>
        <v>7.6915480081008814E-4</v>
      </c>
    </row>
    <row r="146" spans="1:26" x14ac:dyDescent="0.25">
      <c r="A146" s="163" t="s">
        <v>133</v>
      </c>
      <c r="B146" s="164" t="s">
        <v>133</v>
      </c>
      <c r="C146" s="165">
        <v>0</v>
      </c>
      <c r="D146" s="165">
        <v>75</v>
      </c>
      <c r="E146" s="165">
        <v>49</v>
      </c>
      <c r="F146" s="165">
        <v>93</v>
      </c>
      <c r="G146" s="165">
        <v>54</v>
      </c>
      <c r="H146" s="166">
        <f t="shared" si="64"/>
        <v>-0.41935483870967738</v>
      </c>
      <c r="I146" s="180" t="str">
        <f t="shared" si="63"/>
        <v>-</v>
      </c>
      <c r="J146" s="166">
        <f t="shared" si="65"/>
        <v>7.1164059514239401E-5</v>
      </c>
      <c r="K146" s="165">
        <v>0</v>
      </c>
      <c r="L146" s="165">
        <v>715</v>
      </c>
      <c r="M146" s="165">
        <v>1637</v>
      </c>
      <c r="N146" s="165">
        <v>2212</v>
      </c>
      <c r="O146" s="165">
        <v>1992</v>
      </c>
      <c r="P146" s="166">
        <f t="shared" si="66"/>
        <v>-9.9457504520795714E-2</v>
      </c>
      <c r="Q146" s="180" t="str">
        <f t="shared" si="42"/>
        <v>-</v>
      </c>
      <c r="R146" s="166">
        <f t="shared" si="67"/>
        <v>5.6577568357461165E-4</v>
      </c>
      <c r="S146" s="165">
        <v>3384</v>
      </c>
      <c r="T146" s="165">
        <v>790</v>
      </c>
      <c r="U146" s="165">
        <v>1686</v>
      </c>
      <c r="V146" s="165">
        <v>2305</v>
      </c>
      <c r="W146" s="165">
        <v>2046</v>
      </c>
      <c r="X146" s="166">
        <f t="shared" si="68"/>
        <v>-0.11236442516268985</v>
      </c>
      <c r="Y146" s="180">
        <f t="shared" si="43"/>
        <v>-0.39539007092198586</v>
      </c>
      <c r="Z146" s="166">
        <f t="shared" si="62"/>
        <v>4.4640103069391E-4</v>
      </c>
    </row>
    <row r="147" spans="1:26" x14ac:dyDescent="0.25">
      <c r="A147" s="168" t="s">
        <v>147</v>
      </c>
      <c r="B147" s="169" t="s">
        <v>147</v>
      </c>
      <c r="C147" s="170">
        <f>C139-SUM(C140:C146)</f>
        <v>0</v>
      </c>
      <c r="D147" s="170">
        <f>D139-SUM(D140:D146)</f>
        <v>4064</v>
      </c>
      <c r="E147" s="170">
        <f>E139-SUM(E140:E146)</f>
        <v>7526</v>
      </c>
      <c r="F147" s="170">
        <f>F139-SUM(F140:F146)</f>
        <v>8151</v>
      </c>
      <c r="G147" s="170">
        <f>G139-SUM(G140:G146)</f>
        <v>9833</v>
      </c>
      <c r="H147" s="171">
        <f t="shared" si="64"/>
        <v>0.20635504846031161</v>
      </c>
      <c r="I147" s="181" t="str">
        <f t="shared" si="63"/>
        <v>-</v>
      </c>
      <c r="J147" s="171">
        <f t="shared" si="65"/>
        <v>1.2958448096361408E-2</v>
      </c>
      <c r="K147" s="170">
        <f>K139-SUM(K140:K146)</f>
        <v>0</v>
      </c>
      <c r="L147" s="170">
        <f>L139-SUM(L140:L146)</f>
        <v>23248</v>
      </c>
      <c r="M147" s="170">
        <f>M139-SUM(M140:M146)</f>
        <v>47264</v>
      </c>
      <c r="N147" s="170">
        <f>N139-SUM(N140:N146)</f>
        <v>51497</v>
      </c>
      <c r="O147" s="170">
        <f>O139-SUM(O140:O146)</f>
        <v>53308</v>
      </c>
      <c r="P147" s="171">
        <f t="shared" si="66"/>
        <v>3.5167097112453138E-2</v>
      </c>
      <c r="Q147" s="181" t="str">
        <f t="shared" si="42"/>
        <v>-</v>
      </c>
      <c r="R147" s="171">
        <f t="shared" si="67"/>
        <v>1.5140748062246686E-2</v>
      </c>
      <c r="S147" s="170">
        <f>S139-SUM(S140:S146)</f>
        <v>17310</v>
      </c>
      <c r="T147" s="170">
        <f>T139-SUM(T140:T146)</f>
        <v>27312</v>
      </c>
      <c r="U147" s="170">
        <f>U139-SUM(U140:U146)</f>
        <v>54790</v>
      </c>
      <c r="V147" s="170">
        <f>V139-SUM(V140:V146)</f>
        <v>59648</v>
      </c>
      <c r="W147" s="170">
        <f>W139-SUM(W140:W146)</f>
        <v>63141</v>
      </c>
      <c r="X147" s="171">
        <f t="shared" si="68"/>
        <v>5.8560219957081605E-2</v>
      </c>
      <c r="Y147" s="181">
        <f t="shared" si="43"/>
        <v>2.6476603119584055</v>
      </c>
      <c r="Z147" s="171">
        <f t="shared" si="62"/>
        <v>1.4506709651079081E-2</v>
      </c>
    </row>
    <row r="148" spans="1:26" x14ac:dyDescent="0.25">
      <c r="A148" s="1"/>
      <c r="B148" s="156" t="s">
        <v>55</v>
      </c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  <c r="U148" s="154"/>
      <c r="V148" s="154"/>
      <c r="W148" s="154"/>
      <c r="X148" s="154"/>
      <c r="Y148" s="154"/>
      <c r="Z148" s="154"/>
    </row>
    <row r="149" spans="1:26" x14ac:dyDescent="0.25">
      <c r="A149" s="1" t="s">
        <v>0</v>
      </c>
      <c r="B149" s="157" t="s">
        <v>70</v>
      </c>
      <c r="C149" s="177">
        <f>C150+C153</f>
        <v>11846</v>
      </c>
      <c r="D149" s="177">
        <f>D150+D153</f>
        <v>15189</v>
      </c>
      <c r="E149" s="177">
        <f>E150+E153</f>
        <v>30370</v>
      </c>
      <c r="F149" s="177">
        <f>F150+F153</f>
        <v>30695</v>
      </c>
      <c r="G149" s="177">
        <f>G150+G153</f>
        <v>35796</v>
      </c>
      <c r="H149" s="178">
        <f>IFERROR(G149/F149-1,"-")</f>
        <v>0.16618341749470589</v>
      </c>
      <c r="I149" s="178">
        <f t="shared" si="63"/>
        <v>2.0217795036299173</v>
      </c>
      <c r="J149" s="178">
        <f>G149/G$9</f>
        <v>4.717386434021692E-2</v>
      </c>
      <c r="K149" s="177">
        <f>K150+K153</f>
        <v>30203</v>
      </c>
      <c r="L149" s="177">
        <f>L150+L153</f>
        <v>55599</v>
      </c>
      <c r="M149" s="177">
        <f>M150+M153</f>
        <v>77698</v>
      </c>
      <c r="N149" s="177">
        <f>N150+N153</f>
        <v>83047</v>
      </c>
      <c r="O149" s="177">
        <f>O150+O153</f>
        <v>81300</v>
      </c>
      <c r="P149" s="178">
        <f>IFERROR(O149/N149-1,"-")</f>
        <v>-2.1036280660348905E-2</v>
      </c>
      <c r="Q149" s="178">
        <f t="shared" si="42"/>
        <v>1.6917855842134886</v>
      </c>
      <c r="R149" s="178">
        <f>O149/O$9</f>
        <v>2.3091146121795143E-2</v>
      </c>
      <c r="S149" s="177">
        <f>S150+S153</f>
        <v>42049</v>
      </c>
      <c r="T149" s="177">
        <f>T150+T153</f>
        <v>70788</v>
      </c>
      <c r="U149" s="177">
        <f>U150+U153</f>
        <v>108068</v>
      </c>
      <c r="V149" s="177">
        <f>V150+V153</f>
        <v>113742</v>
      </c>
      <c r="W149" s="177">
        <f>W150+W153</f>
        <v>117096</v>
      </c>
      <c r="X149" s="178">
        <f>IFERROR(W149/V149-1,"-")</f>
        <v>2.948778815213382E-2</v>
      </c>
      <c r="Y149" s="178">
        <f t="shared" si="43"/>
        <v>1.7847511236890297</v>
      </c>
      <c r="Z149" s="178">
        <f t="shared" ref="Z149:Z161" si="69">U149/U$9</f>
        <v>2.8613088128724477E-2</v>
      </c>
    </row>
    <row r="150" spans="1:26" x14ac:dyDescent="0.25">
      <c r="A150" s="1" t="s">
        <v>98</v>
      </c>
      <c r="B150" s="160" t="s">
        <v>99</v>
      </c>
      <c r="C150" s="161">
        <v>8198</v>
      </c>
      <c r="D150" s="161">
        <v>8139</v>
      </c>
      <c r="E150" s="161">
        <v>18008</v>
      </c>
      <c r="F150" s="161">
        <v>17683</v>
      </c>
      <c r="G150" s="161">
        <v>18511</v>
      </c>
      <c r="H150" s="162">
        <f>IFERROR(G150/F150-1,"-")</f>
        <v>4.6824633829101403E-2</v>
      </c>
      <c r="I150" s="179">
        <f t="shared" si="63"/>
        <v>1.2579897535984386</v>
      </c>
      <c r="J150" s="162">
        <f>G150/G$9</f>
        <v>2.4394776030890474E-2</v>
      </c>
      <c r="K150" s="161">
        <v>13645</v>
      </c>
      <c r="L150" s="161">
        <v>31999</v>
      </c>
      <c r="M150" s="161">
        <v>38624</v>
      </c>
      <c r="N150" s="161">
        <v>38986</v>
      </c>
      <c r="O150" s="161">
        <v>34388</v>
      </c>
      <c r="P150" s="162">
        <f>IFERROR(O150/N150-1,"-")</f>
        <v>-0.11793977325193661</v>
      </c>
      <c r="Q150" s="179">
        <f t="shared" si="42"/>
        <v>1.5201905459875413</v>
      </c>
      <c r="R150" s="162">
        <f>O150/O$9</f>
        <v>9.7670151640380249E-3</v>
      </c>
      <c r="S150" s="161">
        <v>21843</v>
      </c>
      <c r="T150" s="161">
        <v>40138</v>
      </c>
      <c r="U150" s="161">
        <v>56632</v>
      </c>
      <c r="V150" s="161">
        <v>56669</v>
      </c>
      <c r="W150" s="161">
        <v>52899</v>
      </c>
      <c r="X150" s="162">
        <f>IFERROR(W150/V150-1,"-")</f>
        <v>-6.6526672431135192E-2</v>
      </c>
      <c r="Y150" s="179">
        <f t="shared" si="43"/>
        <v>1.4217827221535502</v>
      </c>
      <c r="Z150" s="162">
        <f t="shared" si="69"/>
        <v>1.4994414691730434E-2</v>
      </c>
    </row>
    <row r="151" spans="1:26" x14ac:dyDescent="0.25">
      <c r="A151" s="163" t="s">
        <v>105</v>
      </c>
      <c r="B151" s="164" t="s">
        <v>105</v>
      </c>
      <c r="C151" s="165">
        <v>3239</v>
      </c>
      <c r="D151" s="165">
        <v>4159</v>
      </c>
      <c r="E151" s="165">
        <v>6621</v>
      </c>
      <c r="F151" s="165">
        <v>5819</v>
      </c>
      <c r="G151" s="165">
        <v>5597</v>
      </c>
      <c r="H151" s="166">
        <f>IFERROR(G151/F151-1,"-")</f>
        <v>-3.8150885031792425E-2</v>
      </c>
      <c r="I151" s="180">
        <f t="shared" si="63"/>
        <v>0.72800246989811668</v>
      </c>
      <c r="J151" s="166">
        <f>G151/G$9</f>
        <v>7.3760229833555171E-3</v>
      </c>
      <c r="K151" s="165">
        <v>11144</v>
      </c>
      <c r="L151" s="165">
        <v>28141</v>
      </c>
      <c r="M151" s="165">
        <v>34603</v>
      </c>
      <c r="N151" s="165">
        <v>36698</v>
      </c>
      <c r="O151" s="165">
        <v>31174</v>
      </c>
      <c r="P151" s="166">
        <f>IFERROR(O151/N151-1,"-")</f>
        <v>-0.15052591421875849</v>
      </c>
      <c r="Q151" s="180">
        <f t="shared" ref="Q151:Q161" si="70">IFERROR(O151/K151-1,"-")</f>
        <v>1.7973797559224693</v>
      </c>
      <c r="R151" s="166">
        <f>O151/O$9</f>
        <v>8.8541622287926433E-3</v>
      </c>
      <c r="S151" s="165">
        <v>14383</v>
      </c>
      <c r="T151" s="165">
        <v>32300</v>
      </c>
      <c r="U151" s="165">
        <v>41224</v>
      </c>
      <c r="V151" s="165">
        <v>42517</v>
      </c>
      <c r="W151" s="165">
        <v>36771</v>
      </c>
      <c r="X151" s="166">
        <f>IFERROR(W151/V151-1,"-")</f>
        <v>-0.1351459416233507</v>
      </c>
      <c r="Y151" s="180">
        <f t="shared" ref="Y151:Y161" si="71">IFERROR(W151/S151-1,"-")</f>
        <v>1.5565598275742194</v>
      </c>
      <c r="Z151" s="166">
        <f t="shared" si="69"/>
        <v>1.0914849400549079E-2</v>
      </c>
    </row>
    <row r="152" spans="1:26" x14ac:dyDescent="0.25">
      <c r="A152" s="163" t="s">
        <v>102</v>
      </c>
      <c r="B152" s="164" t="s">
        <v>102</v>
      </c>
      <c r="C152" s="165">
        <v>4959</v>
      </c>
      <c r="D152" s="165">
        <v>3980</v>
      </c>
      <c r="E152" s="165">
        <v>11387</v>
      </c>
      <c r="F152" s="165">
        <v>11864</v>
      </c>
      <c r="G152" s="165">
        <v>12914</v>
      </c>
      <c r="H152" s="166">
        <f>IFERROR(G152/F152-1,"-")</f>
        <v>8.8503034389750601E-2</v>
      </c>
      <c r="I152" s="180">
        <f t="shared" si="63"/>
        <v>1.6041540633192177</v>
      </c>
      <c r="J152" s="166">
        <f>G152/G$9</f>
        <v>1.7018753047534956E-2</v>
      </c>
      <c r="K152" s="165">
        <v>2501</v>
      </c>
      <c r="L152" s="165">
        <v>3858</v>
      </c>
      <c r="M152" s="165">
        <v>4021</v>
      </c>
      <c r="N152" s="165">
        <v>2288</v>
      </c>
      <c r="O152" s="165">
        <v>3214</v>
      </c>
      <c r="P152" s="166">
        <f>IFERROR(O152/N152-1,"-")</f>
        <v>0.4047202797202798</v>
      </c>
      <c r="Q152" s="180">
        <f t="shared" si="70"/>
        <v>0.28508596561375454</v>
      </c>
      <c r="R152" s="166">
        <f>O152/O$9</f>
        <v>9.1285293524538246E-4</v>
      </c>
      <c r="S152" s="165">
        <v>7460</v>
      </c>
      <c r="T152" s="165">
        <v>7838</v>
      </c>
      <c r="U152" s="165">
        <v>15408</v>
      </c>
      <c r="V152" s="165">
        <v>14152</v>
      </c>
      <c r="W152" s="165">
        <v>16128</v>
      </c>
      <c r="X152" s="166">
        <f>IFERROR(W152/V152-1,"-")</f>
        <v>0.13962690785754672</v>
      </c>
      <c r="Y152" s="180">
        <f t="shared" si="71"/>
        <v>1.1619302949061661</v>
      </c>
      <c r="Z152" s="166">
        <f t="shared" si="69"/>
        <v>4.0795652911813553E-3</v>
      </c>
    </row>
    <row r="153" spans="1:26" x14ac:dyDescent="0.25">
      <c r="A153" s="1" t="s">
        <v>148</v>
      </c>
      <c r="B153" s="160" t="s">
        <v>109</v>
      </c>
      <c r="C153" s="161">
        <v>3648</v>
      </c>
      <c r="D153" s="161">
        <v>7050</v>
      </c>
      <c r="E153" s="161">
        <v>12362</v>
      </c>
      <c r="F153" s="161">
        <v>13012</v>
      </c>
      <c r="G153" s="161">
        <v>17285</v>
      </c>
      <c r="H153" s="162">
        <f>IFERROR(G153/F153-1,"-")</f>
        <v>0.3283891792191822</v>
      </c>
      <c r="I153" s="179">
        <f t="shared" si="63"/>
        <v>3.7382127192982457</v>
      </c>
      <c r="J153" s="162">
        <f>G153/G$9</f>
        <v>2.2779088309326446E-2</v>
      </c>
      <c r="K153" s="161">
        <v>16558</v>
      </c>
      <c r="L153" s="161">
        <v>23600</v>
      </c>
      <c r="M153" s="161">
        <v>39074</v>
      </c>
      <c r="N153" s="161">
        <v>44061</v>
      </c>
      <c r="O153" s="161">
        <v>46912</v>
      </c>
      <c r="P153" s="162">
        <f>IFERROR(O153/N153-1,"-")</f>
        <v>6.4705748848187694E-2</v>
      </c>
      <c r="Q153" s="179">
        <f t="shared" si="70"/>
        <v>1.8331924145428191</v>
      </c>
      <c r="R153" s="162">
        <f>O153/O$9</f>
        <v>1.332413095775712E-2</v>
      </c>
      <c r="S153" s="161">
        <v>20206</v>
      </c>
      <c r="T153" s="161">
        <v>30650</v>
      </c>
      <c r="U153" s="161">
        <v>51436</v>
      </c>
      <c r="V153" s="161">
        <v>57073</v>
      </c>
      <c r="W153" s="161">
        <v>64197</v>
      </c>
      <c r="X153" s="162">
        <f>IFERROR(W153/V153-1,"-")</f>
        <v>0.12482259562314924</v>
      </c>
      <c r="Y153" s="179">
        <f t="shared" si="71"/>
        <v>2.1771256062555677</v>
      </c>
      <c r="Z153" s="162">
        <f t="shared" si="69"/>
        <v>1.3618673436994043E-2</v>
      </c>
    </row>
    <row r="154" spans="1:26" x14ac:dyDescent="0.25">
      <c r="A154" s="163" t="s">
        <v>112</v>
      </c>
      <c r="B154" s="164" t="s">
        <v>112</v>
      </c>
      <c r="C154" s="165">
        <v>434</v>
      </c>
      <c r="D154" s="165">
        <v>401</v>
      </c>
      <c r="E154" s="165">
        <v>974</v>
      </c>
      <c r="F154" s="165">
        <v>983</v>
      </c>
      <c r="G154" s="165">
        <v>1429</v>
      </c>
      <c r="H154" s="166">
        <f t="shared" ref="H154:H161" si="72">IFERROR(G154/F154-1,"-")</f>
        <v>0.45371312309257372</v>
      </c>
      <c r="I154" s="180">
        <f t="shared" si="63"/>
        <v>2.2926267281105992</v>
      </c>
      <c r="J154" s="166">
        <f t="shared" ref="J154:J161" si="73">G154/G$9</f>
        <v>1.8832118712194094E-3</v>
      </c>
      <c r="K154" s="165">
        <v>5335</v>
      </c>
      <c r="L154" s="165">
        <v>5197</v>
      </c>
      <c r="M154" s="165">
        <v>18197</v>
      </c>
      <c r="N154" s="165">
        <v>17767</v>
      </c>
      <c r="O154" s="165">
        <v>18362</v>
      </c>
      <c r="P154" s="166">
        <f t="shared" ref="P154:P161" si="74">IFERROR(O154/N154-1,"-")</f>
        <v>3.3489052738222558E-2</v>
      </c>
      <c r="Q154" s="180">
        <f t="shared" si="70"/>
        <v>2.4417994376757264</v>
      </c>
      <c r="R154" s="166">
        <f t="shared" ref="R154:R161" si="75">O154/O$9</f>
        <v>5.2152475410627607E-3</v>
      </c>
      <c r="S154" s="165">
        <v>5769</v>
      </c>
      <c r="T154" s="165">
        <v>5598</v>
      </c>
      <c r="U154" s="165">
        <v>19171</v>
      </c>
      <c r="V154" s="165">
        <v>18750</v>
      </c>
      <c r="W154" s="165">
        <v>19791</v>
      </c>
      <c r="X154" s="166">
        <f t="shared" ref="X154:X161" si="76">IFERROR(W154/V154-1,"-")</f>
        <v>5.5520000000000014E-2</v>
      </c>
      <c r="Y154" s="180">
        <f t="shared" si="71"/>
        <v>2.4305772230889238</v>
      </c>
      <c r="Z154" s="166">
        <f t="shared" si="69"/>
        <v>5.0758921467573834E-3</v>
      </c>
    </row>
    <row r="155" spans="1:26" x14ac:dyDescent="0.25">
      <c r="A155" s="163" t="s">
        <v>115</v>
      </c>
      <c r="B155" s="164" t="s">
        <v>115</v>
      </c>
      <c r="C155" s="165">
        <v>651</v>
      </c>
      <c r="D155" s="165">
        <v>1400</v>
      </c>
      <c r="E155" s="165">
        <v>2438</v>
      </c>
      <c r="F155" s="165">
        <v>2568</v>
      </c>
      <c r="G155" s="165">
        <v>2962</v>
      </c>
      <c r="H155" s="166">
        <f t="shared" si="72"/>
        <v>0.15342679127725867</v>
      </c>
      <c r="I155" s="180">
        <f t="shared" si="63"/>
        <v>3.5499231950844852</v>
      </c>
      <c r="J155" s="166">
        <f t="shared" si="73"/>
        <v>3.903480449651428E-3</v>
      </c>
      <c r="K155" s="165">
        <v>3972</v>
      </c>
      <c r="L155" s="165">
        <v>6636</v>
      </c>
      <c r="M155" s="165">
        <v>7498</v>
      </c>
      <c r="N155" s="165">
        <v>7764</v>
      </c>
      <c r="O155" s="165">
        <v>7140</v>
      </c>
      <c r="P155" s="166">
        <f t="shared" si="74"/>
        <v>-8.037094281298296E-2</v>
      </c>
      <c r="Q155" s="180">
        <f t="shared" si="70"/>
        <v>0.797583081570997</v>
      </c>
      <c r="R155" s="166">
        <f t="shared" si="75"/>
        <v>2.0279309140174332E-3</v>
      </c>
      <c r="S155" s="165">
        <v>4623</v>
      </c>
      <c r="T155" s="165">
        <v>8036</v>
      </c>
      <c r="U155" s="165">
        <v>9936</v>
      </c>
      <c r="V155" s="165">
        <v>10332</v>
      </c>
      <c r="W155" s="165">
        <v>10102</v>
      </c>
      <c r="X155" s="166">
        <f t="shared" si="76"/>
        <v>-2.2260936895083239E-2</v>
      </c>
      <c r="Y155" s="180">
        <f t="shared" si="71"/>
        <v>1.1851611507678999</v>
      </c>
      <c r="Z155" s="166">
        <f t="shared" si="69"/>
        <v>2.6307477111356405E-3</v>
      </c>
    </row>
    <row r="156" spans="1:26" x14ac:dyDescent="0.25">
      <c r="A156" s="163" t="s">
        <v>118</v>
      </c>
      <c r="B156" s="164" t="s">
        <v>118</v>
      </c>
      <c r="C156" s="165">
        <v>563</v>
      </c>
      <c r="D156" s="165">
        <v>1370</v>
      </c>
      <c r="E156" s="165">
        <v>2211</v>
      </c>
      <c r="F156" s="165">
        <v>2245</v>
      </c>
      <c r="G156" s="165">
        <v>2884</v>
      </c>
      <c r="H156" s="166">
        <f t="shared" si="72"/>
        <v>0.2846325167037862</v>
      </c>
      <c r="I156" s="180">
        <f t="shared" si="63"/>
        <v>4.1225577264653639</v>
      </c>
      <c r="J156" s="166">
        <f t="shared" si="73"/>
        <v>3.8006879192419708E-3</v>
      </c>
      <c r="K156" s="165">
        <v>1717</v>
      </c>
      <c r="L156" s="165">
        <v>3754</v>
      </c>
      <c r="M156" s="165">
        <v>4261</v>
      </c>
      <c r="N156" s="165">
        <v>7004</v>
      </c>
      <c r="O156" s="165">
        <v>8840</v>
      </c>
      <c r="P156" s="166">
        <f t="shared" si="74"/>
        <v>0.26213592233009719</v>
      </c>
      <c r="Q156" s="180">
        <f t="shared" si="70"/>
        <v>4.1485148514851486</v>
      </c>
      <c r="R156" s="166">
        <f t="shared" si="75"/>
        <v>2.5107716078311081E-3</v>
      </c>
      <c r="S156" s="165">
        <v>2280</v>
      </c>
      <c r="T156" s="165">
        <v>5124</v>
      </c>
      <c r="U156" s="165">
        <v>6472</v>
      </c>
      <c r="V156" s="165">
        <v>9249</v>
      </c>
      <c r="W156" s="165">
        <v>11724</v>
      </c>
      <c r="X156" s="166">
        <f t="shared" si="76"/>
        <v>0.26759649691858578</v>
      </c>
      <c r="Y156" s="180">
        <f t="shared" si="71"/>
        <v>4.1421052631578945</v>
      </c>
      <c r="Z156" s="166">
        <f t="shared" si="69"/>
        <v>1.7135868746447128E-3</v>
      </c>
    </row>
    <row r="157" spans="1:26" x14ac:dyDescent="0.25">
      <c r="A157" s="163" t="s">
        <v>125</v>
      </c>
      <c r="B157" s="164" t="s">
        <v>125</v>
      </c>
      <c r="C157" s="165">
        <v>250</v>
      </c>
      <c r="D157" s="165">
        <v>317</v>
      </c>
      <c r="E157" s="165">
        <v>761</v>
      </c>
      <c r="F157" s="165">
        <v>634</v>
      </c>
      <c r="G157" s="165">
        <v>898</v>
      </c>
      <c r="H157" s="166">
        <f t="shared" si="72"/>
        <v>0.41640378548895907</v>
      </c>
      <c r="I157" s="180">
        <f t="shared" si="63"/>
        <v>2.5920000000000001</v>
      </c>
      <c r="J157" s="166">
        <f t="shared" si="73"/>
        <v>1.1834319526627219E-3</v>
      </c>
      <c r="K157" s="165">
        <v>328</v>
      </c>
      <c r="L157" s="165">
        <v>589</v>
      </c>
      <c r="M157" s="165">
        <v>856</v>
      </c>
      <c r="N157" s="165">
        <v>868</v>
      </c>
      <c r="O157" s="165">
        <v>969</v>
      </c>
      <c r="P157" s="166">
        <f t="shared" si="74"/>
        <v>0.11635944700460832</v>
      </c>
      <c r="Q157" s="180">
        <f t="shared" si="70"/>
        <v>1.9542682926829267</v>
      </c>
      <c r="R157" s="166">
        <f t="shared" si="75"/>
        <v>2.7521919547379454E-4</v>
      </c>
      <c r="S157" s="165">
        <v>578</v>
      </c>
      <c r="T157" s="165">
        <v>906</v>
      </c>
      <c r="U157" s="165">
        <v>1617</v>
      </c>
      <c r="V157" s="165">
        <v>1502</v>
      </c>
      <c r="W157" s="165">
        <v>1867</v>
      </c>
      <c r="X157" s="166">
        <f t="shared" si="76"/>
        <v>0.24300932090545935</v>
      </c>
      <c r="Y157" s="180">
        <f t="shared" si="71"/>
        <v>2.2301038062283736</v>
      </c>
      <c r="Z157" s="166">
        <f t="shared" si="69"/>
        <v>4.2813194936657916E-4</v>
      </c>
    </row>
    <row r="158" spans="1:26" x14ac:dyDescent="0.25">
      <c r="A158" s="163" t="s">
        <v>121</v>
      </c>
      <c r="B158" s="164" t="s">
        <v>121</v>
      </c>
      <c r="C158" s="165">
        <v>236</v>
      </c>
      <c r="D158" s="165">
        <v>351</v>
      </c>
      <c r="E158" s="165">
        <v>597</v>
      </c>
      <c r="F158" s="165">
        <v>569</v>
      </c>
      <c r="G158" s="165">
        <v>772</v>
      </c>
      <c r="H158" s="166">
        <f t="shared" si="72"/>
        <v>0.35676625659050965</v>
      </c>
      <c r="I158" s="180">
        <f t="shared" si="63"/>
        <v>2.2711864406779663</v>
      </c>
      <c r="J158" s="166">
        <f t="shared" si="73"/>
        <v>1.0173824804628299E-3</v>
      </c>
      <c r="K158" s="165">
        <v>1262</v>
      </c>
      <c r="L158" s="165">
        <v>1393</v>
      </c>
      <c r="M158" s="165">
        <v>2346</v>
      </c>
      <c r="N158" s="165">
        <v>2305</v>
      </c>
      <c r="O158" s="165">
        <v>2540</v>
      </c>
      <c r="P158" s="166">
        <f t="shared" si="74"/>
        <v>0.10195227765726678</v>
      </c>
      <c r="Q158" s="180">
        <f t="shared" si="70"/>
        <v>1.0126782884310619</v>
      </c>
      <c r="R158" s="166">
        <f t="shared" si="75"/>
        <v>7.2142080134513734E-4</v>
      </c>
      <c r="S158" s="165">
        <v>1498</v>
      </c>
      <c r="T158" s="165">
        <v>1744</v>
      </c>
      <c r="U158" s="165">
        <v>2943</v>
      </c>
      <c r="V158" s="165">
        <v>2874</v>
      </c>
      <c r="W158" s="165">
        <v>3312</v>
      </c>
      <c r="X158" s="166">
        <f t="shared" si="76"/>
        <v>0.15240083507306879</v>
      </c>
      <c r="Y158" s="180">
        <f t="shared" si="71"/>
        <v>1.2109479305740987</v>
      </c>
      <c r="Z158" s="166">
        <f t="shared" si="69"/>
        <v>7.7921603400485004E-4</v>
      </c>
    </row>
    <row r="159" spans="1:26" x14ac:dyDescent="0.25">
      <c r="A159" s="163" t="s">
        <v>130</v>
      </c>
      <c r="B159" s="164" t="s">
        <v>130</v>
      </c>
      <c r="C159" s="165">
        <v>58</v>
      </c>
      <c r="D159" s="165">
        <v>71</v>
      </c>
      <c r="E159" s="165">
        <v>195</v>
      </c>
      <c r="F159" s="165">
        <v>156</v>
      </c>
      <c r="G159" s="165">
        <v>110</v>
      </c>
      <c r="H159" s="166">
        <f t="shared" si="72"/>
        <v>-0.29487179487179482</v>
      </c>
      <c r="I159" s="180">
        <f t="shared" si="63"/>
        <v>0.89655172413793105</v>
      </c>
      <c r="J159" s="166">
        <f t="shared" si="73"/>
        <v>1.449638249364136E-4</v>
      </c>
      <c r="K159" s="165">
        <v>174</v>
      </c>
      <c r="L159" s="165">
        <v>211</v>
      </c>
      <c r="M159" s="165">
        <v>277</v>
      </c>
      <c r="N159" s="165">
        <v>276</v>
      </c>
      <c r="O159" s="165">
        <v>264</v>
      </c>
      <c r="P159" s="166">
        <f t="shared" si="74"/>
        <v>-4.3478260869565188E-2</v>
      </c>
      <c r="Q159" s="180">
        <f t="shared" si="70"/>
        <v>0.51724137931034475</v>
      </c>
      <c r="R159" s="166">
        <f t="shared" si="75"/>
        <v>7.4982319509888295E-5</v>
      </c>
      <c r="S159" s="165">
        <v>232</v>
      </c>
      <c r="T159" s="165">
        <v>282</v>
      </c>
      <c r="U159" s="165">
        <v>472</v>
      </c>
      <c r="V159" s="165">
        <v>432</v>
      </c>
      <c r="W159" s="165">
        <v>374</v>
      </c>
      <c r="X159" s="166">
        <f t="shared" si="76"/>
        <v>-0.1342592592592593</v>
      </c>
      <c r="Y159" s="180">
        <f t="shared" si="71"/>
        <v>0.61206896551724133</v>
      </c>
      <c r="Z159" s="166">
        <f t="shared" si="69"/>
        <v>1.2497110705072688E-4</v>
      </c>
    </row>
    <row r="160" spans="1:26" x14ac:dyDescent="0.25">
      <c r="A160" s="163" t="s">
        <v>133</v>
      </c>
      <c r="B160" s="164" t="s">
        <v>133</v>
      </c>
      <c r="C160" s="165">
        <v>70</v>
      </c>
      <c r="D160" s="165">
        <v>84</v>
      </c>
      <c r="E160" s="165">
        <v>99</v>
      </c>
      <c r="F160" s="165">
        <v>155</v>
      </c>
      <c r="G160" s="165">
        <v>126</v>
      </c>
      <c r="H160" s="166">
        <f t="shared" si="72"/>
        <v>-0.18709677419354842</v>
      </c>
      <c r="I160" s="180">
        <f t="shared" si="63"/>
        <v>0.8</v>
      </c>
      <c r="J160" s="166">
        <f t="shared" si="73"/>
        <v>1.6604947219989194E-4</v>
      </c>
      <c r="K160" s="165">
        <v>228</v>
      </c>
      <c r="L160" s="165">
        <v>362</v>
      </c>
      <c r="M160" s="165">
        <v>555</v>
      </c>
      <c r="N160" s="165">
        <v>677</v>
      </c>
      <c r="O160" s="165">
        <v>456</v>
      </c>
      <c r="P160" s="166">
        <f t="shared" si="74"/>
        <v>-0.3264401772525849</v>
      </c>
      <c r="Q160" s="180">
        <f t="shared" si="70"/>
        <v>1</v>
      </c>
      <c r="R160" s="166">
        <f t="shared" si="75"/>
        <v>1.2951491551707977E-4</v>
      </c>
      <c r="S160" s="165">
        <v>298</v>
      </c>
      <c r="T160" s="165">
        <v>446</v>
      </c>
      <c r="U160" s="165">
        <v>654</v>
      </c>
      <c r="V160" s="165">
        <v>832</v>
      </c>
      <c r="W160" s="165">
        <v>582</v>
      </c>
      <c r="X160" s="166">
        <f t="shared" si="76"/>
        <v>-0.30048076923076927</v>
      </c>
      <c r="Y160" s="180">
        <f t="shared" si="71"/>
        <v>0.95302013422818788</v>
      </c>
      <c r="Z160" s="166">
        <f t="shared" si="69"/>
        <v>1.7315911866774445E-4</v>
      </c>
    </row>
    <row r="161" spans="1:26" x14ac:dyDescent="0.25">
      <c r="A161" s="168" t="s">
        <v>147</v>
      </c>
      <c r="B161" s="169" t="s">
        <v>147</v>
      </c>
      <c r="C161" s="170">
        <f>C153-SUM(C154:C160)</f>
        <v>1386</v>
      </c>
      <c r="D161" s="170">
        <f>D153-SUM(D154:D160)</f>
        <v>3056</v>
      </c>
      <c r="E161" s="170">
        <f>E153-SUM(E154:E160)</f>
        <v>5087</v>
      </c>
      <c r="F161" s="170">
        <f>F153-SUM(F154:F160)</f>
        <v>5702</v>
      </c>
      <c r="G161" s="170">
        <f>G153-SUM(G154:G160)</f>
        <v>8104</v>
      </c>
      <c r="H161" s="171">
        <f t="shared" si="72"/>
        <v>0.42125569975447208</v>
      </c>
      <c r="I161" s="181">
        <f t="shared" si="63"/>
        <v>4.8470418470418473</v>
      </c>
      <c r="J161" s="171">
        <f t="shared" si="73"/>
        <v>1.0679880338951779E-2</v>
      </c>
      <c r="K161" s="170">
        <f>K153-SUM(K154:K160)</f>
        <v>3542</v>
      </c>
      <c r="L161" s="170">
        <f>L153-SUM(L154:L160)</f>
        <v>5458</v>
      </c>
      <c r="M161" s="170">
        <f>M153-SUM(M154:M160)</f>
        <v>5084</v>
      </c>
      <c r="N161" s="170">
        <f>N153-SUM(N154:N160)</f>
        <v>7400</v>
      </c>
      <c r="O161" s="170">
        <f>O153-SUM(O154:O160)</f>
        <v>8341</v>
      </c>
      <c r="P161" s="171">
        <f t="shared" si="74"/>
        <v>0.12716216216216214</v>
      </c>
      <c r="Q161" s="181">
        <f t="shared" si="70"/>
        <v>1.3548842461885942</v>
      </c>
      <c r="R161" s="171">
        <f t="shared" si="75"/>
        <v>2.3690436629999175E-3</v>
      </c>
      <c r="S161" s="170">
        <f>S153-SUM(S154:S160)</f>
        <v>4928</v>
      </c>
      <c r="T161" s="170">
        <f>T153-SUM(T154:T160)</f>
        <v>8514</v>
      </c>
      <c r="U161" s="170">
        <f>U153-SUM(U154:U160)</f>
        <v>10171</v>
      </c>
      <c r="V161" s="170">
        <f>V153-SUM(V154:V160)</f>
        <v>13102</v>
      </c>
      <c r="W161" s="170">
        <f>W153-SUM(W154:W160)</f>
        <v>16445</v>
      </c>
      <c r="X161" s="171">
        <f t="shared" si="76"/>
        <v>0.25515188520836518</v>
      </c>
      <c r="Y161" s="181">
        <f t="shared" si="71"/>
        <v>2.3370535714285716</v>
      </c>
      <c r="Z161" s="171">
        <f t="shared" si="69"/>
        <v>2.692968495366405E-3</v>
      </c>
    </row>
    <row r="162" spans="1:26" ht="6" customHeight="1" x14ac:dyDescent="0.25">
      <c r="C162" s="81"/>
      <c r="D162" s="81"/>
      <c r="E162" s="81"/>
      <c r="F162" s="81"/>
      <c r="G162" s="81"/>
      <c r="H162" s="81"/>
      <c r="K162" s="81"/>
      <c r="L162" s="81"/>
      <c r="M162" s="81"/>
      <c r="N162" s="81"/>
      <c r="O162" s="81"/>
      <c r="P162" s="81"/>
      <c r="S162" s="81"/>
      <c r="T162" s="81"/>
      <c r="U162" s="81"/>
      <c r="V162" s="81"/>
      <c r="W162" s="81"/>
      <c r="X162" s="81"/>
    </row>
    <row r="163" spans="1:26" ht="6" customHeight="1" x14ac:dyDescent="0.25"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</row>
    <row r="164" spans="1:26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</sheetData>
  <mergeCells count="3">
    <mergeCell ref="C6:J6"/>
    <mergeCell ref="K6:R6"/>
    <mergeCell ref="S6:Z6"/>
  </mergeCells>
  <pageMargins left="0.7" right="0.7" top="0.75" bottom="0.75" header="0.3" footer="0.3"/>
  <pageSetup paperSize="9" scale="2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44BD-7586-461B-8DF7-34578C3B720E}">
  <sheetPr>
    <tabColor rgb="FFFFC00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8554-6F24-4D36-973E-71017F20F503}">
  <sheetPr>
    <tabColor rgb="FFFFC000"/>
  </sheetPr>
  <dimension ref="A1:V164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7" width="13.140625" customWidth="1"/>
    <col min="8" max="9" width="13.7109375" customWidth="1"/>
    <col min="11" max="18" width="11.42578125" hidden="1" customWidth="1"/>
  </cols>
  <sheetData>
    <row r="1" spans="1:18" ht="42.75" customHeight="1" x14ac:dyDescent="0.25"/>
    <row r="5" spans="1:18" ht="42" customHeight="1" thickBot="1" x14ac:dyDescent="0.3">
      <c r="B5" s="278" t="str">
        <f>CONCATENATE("Viajeros alojados en los establecimientos alojativos de según lugar de residencia y municipio de alojamiento (hotel + apartamento)")</f>
        <v>Viajeros alojados en los establecimientos alojativos de según lugar de residencia y municipio de alojamiento (hotel + apartamento)</v>
      </c>
      <c r="C5" s="278"/>
      <c r="D5" s="278"/>
      <c r="E5" s="278"/>
      <c r="F5" s="278"/>
      <c r="G5" s="278"/>
      <c r="H5" s="278"/>
      <c r="I5" s="278"/>
      <c r="K5" s="278" t="s">
        <v>268</v>
      </c>
      <c r="L5" s="278"/>
      <c r="M5" s="278"/>
      <c r="N5" s="278"/>
      <c r="O5" s="278"/>
      <c r="P5" s="278"/>
      <c r="Q5" s="278"/>
      <c r="R5" s="278"/>
    </row>
    <row r="6" spans="1:18" ht="6" customHeight="1" x14ac:dyDescent="0.25"/>
    <row r="7" spans="1:18" ht="15.75" x14ac:dyDescent="0.25">
      <c r="B7" s="146"/>
      <c r="C7" s="311" t="s">
        <v>45</v>
      </c>
      <c r="D7" s="312"/>
      <c r="E7" s="312"/>
      <c r="F7" s="312"/>
      <c r="G7" s="312"/>
      <c r="H7" s="312"/>
      <c r="I7" s="312"/>
    </row>
    <row r="8" spans="1:18" s="147" customFormat="1" ht="72" customHeight="1" x14ac:dyDescent="0.25">
      <c r="A8"/>
      <c r="B8" s="187"/>
      <c r="C8" s="173" t="s">
        <v>224</v>
      </c>
      <c r="D8" s="173" t="s">
        <v>225</v>
      </c>
      <c r="E8" s="173" t="s">
        <v>226</v>
      </c>
      <c r="F8" s="173" t="s">
        <v>227</v>
      </c>
      <c r="G8" s="173" t="s">
        <v>228</v>
      </c>
      <c r="H8" s="174" t="str">
        <f>CONCATENATE("var. ",RIGHT(G8,2),"/",RIGHT(F8,2))</f>
        <v>var. 25/24</v>
      </c>
      <c r="I8" s="174" t="str">
        <f>CONCATENATE("Cuota s/ total lugares de residencia ",RIGHT(G8,4))</f>
        <v>Cuota s/ total lugares de residencia 2025</v>
      </c>
      <c r="K8" s="187"/>
      <c r="L8" s="173" t="s">
        <v>224</v>
      </c>
      <c r="M8" s="173" t="s">
        <v>225</v>
      </c>
      <c r="N8" s="173" t="s">
        <v>226</v>
      </c>
      <c r="O8" s="173" t="s">
        <v>227</v>
      </c>
      <c r="P8" s="173" t="s">
        <v>228</v>
      </c>
      <c r="Q8" s="174" t="str">
        <f>CONCATENATE("var. ",RIGHT(P8,2),"/",RIGHT(O8,2))</f>
        <v>var. 25/24</v>
      </c>
      <c r="R8" s="174" t="str">
        <f>CONCATENATE("Cuota s/ total lugares de residencia ",RIGHT(P8,4))</f>
        <v>Cuota s/ total lugares de residencia 2025</v>
      </c>
    </row>
    <row r="9" spans="1:18" x14ac:dyDescent="0.25">
      <c r="B9" s="153" t="s">
        <v>45</v>
      </c>
      <c r="C9" s="154"/>
      <c r="D9" s="154"/>
      <c r="E9" s="154"/>
      <c r="F9" s="154"/>
      <c r="G9" s="154"/>
      <c r="H9" s="155"/>
      <c r="I9" s="155"/>
      <c r="K9" s="156" t="s">
        <v>51</v>
      </c>
      <c r="L9" s="175"/>
      <c r="M9" s="175"/>
      <c r="N9" s="175"/>
      <c r="O9" s="175"/>
      <c r="P9" s="175"/>
      <c r="Q9" s="176"/>
      <c r="R9" s="176"/>
    </row>
    <row r="10" spans="1:18" x14ac:dyDescent="0.25">
      <c r="B10" s="157" t="s">
        <v>70</v>
      </c>
      <c r="C10" s="177">
        <v>154087</v>
      </c>
      <c r="D10" s="177">
        <v>447309</v>
      </c>
      <c r="E10" s="177">
        <v>500292</v>
      </c>
      <c r="F10" s="177">
        <v>521775</v>
      </c>
      <c r="G10" s="177">
        <v>509699</v>
      </c>
      <c r="H10" s="178">
        <f t="shared" ref="H10:H22" si="0">IFERROR(G10/F10-1,"-")</f>
        <v>-2.3144075511475237E-2</v>
      </c>
      <c r="I10" s="178">
        <f t="shared" ref="I10:I22" si="1">G10/G$10</f>
        <v>1</v>
      </c>
      <c r="K10" s="157" t="s">
        <v>70</v>
      </c>
      <c r="L10" s="177">
        <v>2578</v>
      </c>
      <c r="M10" s="177">
        <v>4491</v>
      </c>
      <c r="N10" s="177">
        <v>4369</v>
      </c>
      <c r="O10" s="177">
        <v>4153</v>
      </c>
      <c r="P10" s="177">
        <v>4247</v>
      </c>
      <c r="Q10" s="178">
        <f t="shared" ref="Q10:Q22" si="2">IFERROR(P10/O10-1,"-")</f>
        <v>2.2634240308210929E-2</v>
      </c>
      <c r="R10" s="178">
        <f t="shared" ref="R10:R22" si="3">P10/P$10</f>
        <v>1</v>
      </c>
    </row>
    <row r="11" spans="1:18" x14ac:dyDescent="0.25">
      <c r="B11" s="160" t="s">
        <v>99</v>
      </c>
      <c r="C11" s="161">
        <v>81270</v>
      </c>
      <c r="D11" s="161">
        <v>108115</v>
      </c>
      <c r="E11" s="161">
        <v>125554</v>
      </c>
      <c r="F11" s="161">
        <v>125566</v>
      </c>
      <c r="G11" s="161">
        <v>114333</v>
      </c>
      <c r="H11" s="162">
        <f t="shared" si="0"/>
        <v>-8.945892996511795E-2</v>
      </c>
      <c r="I11" s="162">
        <f t="shared" si="1"/>
        <v>0.22431474262260667</v>
      </c>
      <c r="J11" s="81"/>
      <c r="K11" s="160" t="s">
        <v>99</v>
      </c>
      <c r="L11" s="161">
        <v>1946</v>
      </c>
      <c r="M11" s="161">
        <v>3449</v>
      </c>
      <c r="N11" s="161">
        <v>3376</v>
      </c>
      <c r="O11" s="161">
        <v>3115</v>
      </c>
      <c r="P11" s="161">
        <v>3157</v>
      </c>
      <c r="Q11" s="162">
        <f t="shared" si="2"/>
        <v>1.348314606741563E-2</v>
      </c>
      <c r="R11" s="162">
        <f t="shared" si="3"/>
        <v>0.74334824582057923</v>
      </c>
    </row>
    <row r="12" spans="1:18" x14ac:dyDescent="0.25">
      <c r="B12" s="164" t="s">
        <v>105</v>
      </c>
      <c r="C12" s="165">
        <v>44358</v>
      </c>
      <c r="D12" s="165">
        <v>40539</v>
      </c>
      <c r="E12" s="165">
        <v>53568</v>
      </c>
      <c r="F12" s="165">
        <v>53606</v>
      </c>
      <c r="G12" s="165">
        <v>42765</v>
      </c>
      <c r="H12" s="166">
        <f t="shared" si="0"/>
        <v>-0.20223482445994856</v>
      </c>
      <c r="I12" s="166">
        <f t="shared" si="1"/>
        <v>8.3902460079380181E-2</v>
      </c>
      <c r="J12" s="81"/>
      <c r="K12" s="164" t="s">
        <v>105</v>
      </c>
      <c r="L12" s="165">
        <v>1108</v>
      </c>
      <c r="M12" s="165">
        <v>1677</v>
      </c>
      <c r="N12" s="165">
        <v>820</v>
      </c>
      <c r="O12" s="165">
        <v>759</v>
      </c>
      <c r="P12" s="165">
        <v>1039</v>
      </c>
      <c r="Q12" s="166">
        <f t="shared" si="2"/>
        <v>0.36890645586297754</v>
      </c>
      <c r="R12" s="166">
        <f t="shared" si="3"/>
        <v>0.24464327760772309</v>
      </c>
    </row>
    <row r="13" spans="1:18" x14ac:dyDescent="0.25">
      <c r="B13" s="164" t="s">
        <v>102</v>
      </c>
      <c r="C13" s="165">
        <v>36912</v>
      </c>
      <c r="D13" s="165">
        <v>67576</v>
      </c>
      <c r="E13" s="165">
        <v>71986</v>
      </c>
      <c r="F13" s="165">
        <v>71960</v>
      </c>
      <c r="G13" s="165">
        <v>71568</v>
      </c>
      <c r="H13" s="166">
        <f t="shared" si="0"/>
        <v>-5.4474708171206032E-3</v>
      </c>
      <c r="I13" s="166">
        <f t="shared" si="1"/>
        <v>0.14041228254322649</v>
      </c>
      <c r="J13" s="81"/>
      <c r="K13" s="164" t="s">
        <v>102</v>
      </c>
      <c r="L13" s="165">
        <v>838</v>
      </c>
      <c r="M13" s="165">
        <v>1772</v>
      </c>
      <c r="N13" s="165">
        <v>2556</v>
      </c>
      <c r="O13" s="165">
        <v>2356</v>
      </c>
      <c r="P13" s="165">
        <v>2118</v>
      </c>
      <c r="Q13" s="166">
        <f t="shared" si="2"/>
        <v>-0.10101867572156198</v>
      </c>
      <c r="R13" s="166">
        <f>P13/P$10</f>
        <v>0.49870496821285615</v>
      </c>
    </row>
    <row r="14" spans="1:18" x14ac:dyDescent="0.25">
      <c r="B14" s="160" t="s">
        <v>109</v>
      </c>
      <c r="C14" s="161">
        <v>72817</v>
      </c>
      <c r="D14" s="161">
        <v>339194</v>
      </c>
      <c r="E14" s="161">
        <v>374738</v>
      </c>
      <c r="F14" s="161">
        <v>396209</v>
      </c>
      <c r="G14" s="161">
        <v>395366</v>
      </c>
      <c r="H14" s="162">
        <f t="shared" si="0"/>
        <v>-2.1276649445115536E-3</v>
      </c>
      <c r="I14" s="162">
        <f t="shared" si="1"/>
        <v>0.77568525737739336</v>
      </c>
      <c r="J14" s="81"/>
      <c r="K14" s="160" t="s">
        <v>109</v>
      </c>
      <c r="L14" s="161">
        <v>632</v>
      </c>
      <c r="M14" s="161">
        <v>1042</v>
      </c>
      <c r="N14" s="161">
        <v>993</v>
      </c>
      <c r="O14" s="161">
        <v>1038</v>
      </c>
      <c r="P14" s="161">
        <v>1090</v>
      </c>
      <c r="Q14" s="162">
        <f t="shared" si="2"/>
        <v>5.0096339113680166E-2</v>
      </c>
      <c r="R14" s="162">
        <f t="shared" si="3"/>
        <v>0.25665175417942077</v>
      </c>
    </row>
    <row r="15" spans="1:18" x14ac:dyDescent="0.25">
      <c r="B15" s="164" t="s">
        <v>112</v>
      </c>
      <c r="C15" s="165">
        <v>5816</v>
      </c>
      <c r="D15" s="165">
        <v>180845</v>
      </c>
      <c r="E15" s="165">
        <v>202660</v>
      </c>
      <c r="F15" s="165">
        <v>219612</v>
      </c>
      <c r="G15" s="165">
        <v>215915</v>
      </c>
      <c r="H15" s="166">
        <f t="shared" si="0"/>
        <v>-1.6834234923410407E-2</v>
      </c>
      <c r="I15" s="166">
        <f t="shared" si="1"/>
        <v>0.42361275968758033</v>
      </c>
      <c r="J15" s="81"/>
      <c r="K15" s="164" t="s">
        <v>112</v>
      </c>
      <c r="L15" s="165">
        <v>27</v>
      </c>
      <c r="M15" s="165">
        <v>148</v>
      </c>
      <c r="N15" s="165">
        <v>140</v>
      </c>
      <c r="O15" s="165">
        <v>113</v>
      </c>
      <c r="P15" s="165">
        <v>120</v>
      </c>
      <c r="Q15" s="166">
        <f t="shared" si="2"/>
        <v>6.1946902654867353E-2</v>
      </c>
      <c r="R15" s="166">
        <f t="shared" si="3"/>
        <v>2.8255238992229811E-2</v>
      </c>
    </row>
    <row r="16" spans="1:18" x14ac:dyDescent="0.25">
      <c r="B16" s="164" t="s">
        <v>115</v>
      </c>
      <c r="C16" s="165">
        <v>13556</v>
      </c>
      <c r="D16" s="165">
        <v>34731</v>
      </c>
      <c r="E16" s="165">
        <v>37067</v>
      </c>
      <c r="F16" s="165">
        <v>32973</v>
      </c>
      <c r="G16" s="165">
        <v>35571</v>
      </c>
      <c r="H16" s="166">
        <f t="shared" si="0"/>
        <v>7.8791738695296099E-2</v>
      </c>
      <c r="I16" s="166">
        <f t="shared" si="1"/>
        <v>6.9788247573567927E-2</v>
      </c>
      <c r="J16" s="81"/>
      <c r="K16" s="164" t="s">
        <v>115</v>
      </c>
      <c r="L16" s="165">
        <v>124</v>
      </c>
      <c r="M16" s="165">
        <v>202</v>
      </c>
      <c r="N16" s="165">
        <v>150</v>
      </c>
      <c r="O16" s="165">
        <v>178</v>
      </c>
      <c r="P16" s="165">
        <v>155</v>
      </c>
      <c r="Q16" s="166">
        <f t="shared" si="2"/>
        <v>-0.1292134831460674</v>
      </c>
      <c r="R16" s="166">
        <f t="shared" si="3"/>
        <v>3.6496350364963501E-2</v>
      </c>
    </row>
    <row r="17" spans="2:22" x14ac:dyDescent="0.25">
      <c r="B17" s="164" t="s">
        <v>118</v>
      </c>
      <c r="C17" s="165">
        <v>8694</v>
      </c>
      <c r="D17" s="165">
        <v>13469</v>
      </c>
      <c r="E17" s="165">
        <v>15055</v>
      </c>
      <c r="F17" s="165">
        <v>17117</v>
      </c>
      <c r="G17" s="165">
        <v>17192</v>
      </c>
      <c r="H17" s="166">
        <f t="shared" si="0"/>
        <v>4.381608926797842E-3</v>
      </c>
      <c r="I17" s="166">
        <f t="shared" si="1"/>
        <v>3.3729711064765674E-2</v>
      </c>
      <c r="J17" s="81"/>
      <c r="K17" s="164" t="s">
        <v>118</v>
      </c>
      <c r="L17" s="165">
        <v>165</v>
      </c>
      <c r="M17" s="165">
        <v>129</v>
      </c>
      <c r="N17" s="165">
        <v>155</v>
      </c>
      <c r="O17" s="165">
        <v>126</v>
      </c>
      <c r="P17" s="165">
        <v>142</v>
      </c>
      <c r="Q17" s="166">
        <f t="shared" si="2"/>
        <v>0.12698412698412698</v>
      </c>
      <c r="R17" s="166">
        <f t="shared" si="3"/>
        <v>3.3435366140805271E-2</v>
      </c>
    </row>
    <row r="18" spans="2:22" x14ac:dyDescent="0.25">
      <c r="B18" s="164" t="s">
        <v>125</v>
      </c>
      <c r="C18" s="165">
        <v>6387</v>
      </c>
      <c r="D18" s="165">
        <v>14209</v>
      </c>
      <c r="E18" s="165">
        <v>13666</v>
      </c>
      <c r="F18" s="165">
        <v>14398</v>
      </c>
      <c r="G18" s="165">
        <v>12419</v>
      </c>
      <c r="H18" s="166">
        <f t="shared" si="0"/>
        <v>-0.13744964578413665</v>
      </c>
      <c r="I18" s="166">
        <f t="shared" si="1"/>
        <v>2.4365360732510756E-2</v>
      </c>
      <c r="J18" s="81"/>
      <c r="K18" s="164" t="s">
        <v>125</v>
      </c>
      <c r="L18" s="165">
        <v>18</v>
      </c>
      <c r="M18" s="165">
        <v>93</v>
      </c>
      <c r="N18" s="165">
        <v>33</v>
      </c>
      <c r="O18" s="165">
        <v>43</v>
      </c>
      <c r="P18" s="165">
        <v>34</v>
      </c>
      <c r="Q18" s="166">
        <f t="shared" si="2"/>
        <v>-0.20930232558139539</v>
      </c>
      <c r="R18" s="166">
        <f t="shared" si="3"/>
        <v>8.0056510477984465E-3</v>
      </c>
    </row>
    <row r="19" spans="2:22" x14ac:dyDescent="0.25">
      <c r="B19" s="164" t="s">
        <v>121</v>
      </c>
      <c r="C19" s="165">
        <v>6736</v>
      </c>
      <c r="D19" s="165">
        <v>10709</v>
      </c>
      <c r="E19" s="165">
        <v>11600</v>
      </c>
      <c r="F19" s="165">
        <v>12021</v>
      </c>
      <c r="G19" s="165">
        <v>11092</v>
      </c>
      <c r="H19" s="166">
        <f t="shared" si="0"/>
        <v>-7.7281424174361568E-2</v>
      </c>
      <c r="I19" s="166">
        <f t="shared" si="1"/>
        <v>2.1761863374265989E-2</v>
      </c>
      <c r="J19" s="81"/>
      <c r="K19" s="164" t="s">
        <v>121</v>
      </c>
      <c r="L19" s="165">
        <v>29</v>
      </c>
      <c r="M19" s="165">
        <v>33</v>
      </c>
      <c r="N19" s="165">
        <v>37</v>
      </c>
      <c r="O19" s="165">
        <v>21</v>
      </c>
      <c r="P19" s="165">
        <v>21</v>
      </c>
      <c r="Q19" s="166">
        <f t="shared" si="2"/>
        <v>0</v>
      </c>
      <c r="R19" s="166">
        <f t="shared" si="3"/>
        <v>4.9446668236402163E-3</v>
      </c>
    </row>
    <row r="20" spans="2:22" x14ac:dyDescent="0.25">
      <c r="B20" s="164" t="s">
        <v>130</v>
      </c>
      <c r="C20" s="165">
        <v>301</v>
      </c>
      <c r="D20" s="165">
        <v>1140</v>
      </c>
      <c r="E20" s="165">
        <v>1395</v>
      </c>
      <c r="F20" s="165">
        <v>1364</v>
      </c>
      <c r="G20" s="165">
        <v>1300</v>
      </c>
      <c r="H20" s="166">
        <f t="shared" si="0"/>
        <v>-4.692082111436946E-2</v>
      </c>
      <c r="I20" s="166">
        <f t="shared" si="1"/>
        <v>2.5505249176474743E-3</v>
      </c>
      <c r="J20" s="81"/>
      <c r="K20" s="164" t="s">
        <v>130</v>
      </c>
      <c r="L20" s="165">
        <v>0</v>
      </c>
      <c r="M20" s="165">
        <v>7</v>
      </c>
      <c r="N20" s="165">
        <v>2</v>
      </c>
      <c r="O20" s="165">
        <v>47</v>
      </c>
      <c r="P20" s="165">
        <v>2</v>
      </c>
      <c r="Q20" s="166">
        <f t="shared" si="2"/>
        <v>-0.95744680851063835</v>
      </c>
      <c r="R20" s="166">
        <f t="shared" si="3"/>
        <v>4.7092064987049682E-4</v>
      </c>
    </row>
    <row r="21" spans="2:22" x14ac:dyDescent="0.25">
      <c r="B21" s="164" t="s">
        <v>133</v>
      </c>
      <c r="C21" s="165">
        <v>223</v>
      </c>
      <c r="D21" s="165">
        <v>816</v>
      </c>
      <c r="E21" s="165">
        <v>1048</v>
      </c>
      <c r="F21" s="165">
        <v>600</v>
      </c>
      <c r="G21" s="165">
        <v>731</v>
      </c>
      <c r="H21" s="166">
        <f t="shared" si="0"/>
        <v>0.21833333333333327</v>
      </c>
      <c r="I21" s="166">
        <f t="shared" si="1"/>
        <v>1.4341797806156182E-3</v>
      </c>
      <c r="J21" s="81"/>
      <c r="K21" s="164" t="s">
        <v>133</v>
      </c>
      <c r="L21" s="165">
        <v>6</v>
      </c>
      <c r="M21" s="165">
        <v>23</v>
      </c>
      <c r="N21" s="165">
        <v>9</v>
      </c>
      <c r="O21" s="165">
        <v>0</v>
      </c>
      <c r="P21" s="165">
        <v>6</v>
      </c>
      <c r="Q21" s="166" t="str">
        <f t="shared" si="2"/>
        <v>-</v>
      </c>
      <c r="R21" s="166">
        <f t="shared" si="3"/>
        <v>1.4127619496114904E-3</v>
      </c>
    </row>
    <row r="22" spans="2:22" x14ac:dyDescent="0.25">
      <c r="B22" s="169" t="s">
        <v>147</v>
      </c>
      <c r="C22" s="170">
        <f>C14-SUM(C15:C21)</f>
        <v>31104</v>
      </c>
      <c r="D22" s="170">
        <f>D14-SUM(D15:D21)</f>
        <v>83275</v>
      </c>
      <c r="E22" s="170">
        <f>E14-SUM(E15:E21)</f>
        <v>92247</v>
      </c>
      <c r="F22" s="170">
        <f>F14-SUM(F15:F21)</f>
        <v>98124</v>
      </c>
      <c r="G22" s="170">
        <f>G14-SUM(G15:G21)</f>
        <v>101146</v>
      </c>
      <c r="H22" s="171">
        <f t="shared" si="0"/>
        <v>3.0797766091883672E-2</v>
      </c>
      <c r="I22" s="171">
        <f t="shared" si="1"/>
        <v>0.19844261024643955</v>
      </c>
      <c r="J22" s="81"/>
      <c r="K22" s="169" t="s">
        <v>147</v>
      </c>
      <c r="L22" s="170">
        <f>L14-SUM(L15:L21)</f>
        <v>263</v>
      </c>
      <c r="M22" s="170">
        <f>M14-SUM(M15:M21)</f>
        <v>407</v>
      </c>
      <c r="N22" s="170">
        <f>N14-SUM(N15:N21)</f>
        <v>467</v>
      </c>
      <c r="O22" s="170">
        <f>O14-SUM(O15:O21)</f>
        <v>510</v>
      </c>
      <c r="P22" s="170">
        <f>P14-SUM(P15:P21)</f>
        <v>610</v>
      </c>
      <c r="Q22" s="171">
        <f t="shared" si="2"/>
        <v>0.19607843137254899</v>
      </c>
      <c r="R22" s="171">
        <f t="shared" si="3"/>
        <v>0.14363079821050154</v>
      </c>
    </row>
    <row r="23" spans="2:22" x14ac:dyDescent="0.25">
      <c r="B23" s="156" t="s">
        <v>46</v>
      </c>
      <c r="C23" s="175"/>
      <c r="D23" s="175"/>
      <c r="E23" s="175"/>
      <c r="F23" s="175"/>
      <c r="G23" s="175"/>
      <c r="H23" s="176"/>
      <c r="I23" s="176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spans="2:22" x14ac:dyDescent="0.25">
      <c r="B24" s="157" t="s">
        <v>70</v>
      </c>
      <c r="C24" s="177">
        <v>58548</v>
      </c>
      <c r="D24" s="177">
        <v>175095</v>
      </c>
      <c r="E24" s="177">
        <v>187749</v>
      </c>
      <c r="F24" s="177">
        <v>186497</v>
      </c>
      <c r="G24" s="177">
        <v>173896</v>
      </c>
      <c r="H24" s="178">
        <f t="shared" ref="H24:H36" si="4">IFERROR(G24/F24-1,"-")</f>
        <v>-6.7566770511053753E-2</v>
      </c>
      <c r="I24" s="178">
        <f t="shared" ref="I24:I36" si="5">G24/G$10</f>
        <v>0.34117390852248092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2:22" x14ac:dyDescent="0.25">
      <c r="B25" s="160" t="s">
        <v>99</v>
      </c>
      <c r="C25" s="161">
        <v>28745</v>
      </c>
      <c r="D25" s="161">
        <v>23636</v>
      </c>
      <c r="E25" s="161">
        <v>24768</v>
      </c>
      <c r="F25" s="161">
        <v>21695</v>
      </c>
      <c r="G25" s="161">
        <v>16343</v>
      </c>
      <c r="H25" s="162">
        <f t="shared" si="4"/>
        <v>-0.24669278635630332</v>
      </c>
      <c r="I25" s="162">
        <f t="shared" si="5"/>
        <v>3.2064022099317441E-2</v>
      </c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2:22" x14ac:dyDescent="0.25">
      <c r="B26" s="164" t="s">
        <v>105</v>
      </c>
      <c r="C26" s="165">
        <v>16147</v>
      </c>
      <c r="D26" s="165">
        <v>9892</v>
      </c>
      <c r="E26" s="165">
        <v>10381</v>
      </c>
      <c r="F26" s="165">
        <v>8706</v>
      </c>
      <c r="G26" s="165">
        <v>7214</v>
      </c>
      <c r="H26" s="166">
        <f t="shared" si="4"/>
        <v>-0.17137606248564208</v>
      </c>
      <c r="I26" s="166">
        <f t="shared" si="5"/>
        <v>1.4153451350699137E-2</v>
      </c>
    </row>
    <row r="27" spans="2:22" x14ac:dyDescent="0.25">
      <c r="B27" s="164" t="s">
        <v>102</v>
      </c>
      <c r="C27" s="165">
        <v>12598</v>
      </c>
      <c r="D27" s="165">
        <v>13744</v>
      </c>
      <c r="E27" s="165">
        <v>14387</v>
      </c>
      <c r="F27" s="165">
        <v>12989</v>
      </c>
      <c r="G27" s="165">
        <v>9129</v>
      </c>
      <c r="H27" s="166">
        <f t="shared" si="4"/>
        <v>-0.29717453229655866</v>
      </c>
      <c r="I27" s="166">
        <f t="shared" si="5"/>
        <v>1.7910570748618303E-2</v>
      </c>
    </row>
    <row r="28" spans="2:22" x14ac:dyDescent="0.25">
      <c r="B28" s="160" t="s">
        <v>109</v>
      </c>
      <c r="C28" s="161">
        <v>29803</v>
      </c>
      <c r="D28" s="161">
        <v>151459</v>
      </c>
      <c r="E28" s="161">
        <v>162981</v>
      </c>
      <c r="F28" s="161">
        <v>164802</v>
      </c>
      <c r="G28" s="161">
        <v>157553</v>
      </c>
      <c r="H28" s="162">
        <f t="shared" si="4"/>
        <v>-4.3986116673341291E-2</v>
      </c>
      <c r="I28" s="162">
        <f t="shared" si="5"/>
        <v>0.30910988642316345</v>
      </c>
    </row>
    <row r="29" spans="2:22" x14ac:dyDescent="0.25">
      <c r="B29" s="164" t="s">
        <v>112</v>
      </c>
      <c r="C29" s="165">
        <v>2639</v>
      </c>
      <c r="D29" s="165">
        <v>84874</v>
      </c>
      <c r="E29" s="165">
        <v>94663</v>
      </c>
      <c r="F29" s="165">
        <v>97679</v>
      </c>
      <c r="G29" s="165">
        <v>92452</v>
      </c>
      <c r="H29" s="166">
        <f t="shared" si="4"/>
        <v>-5.351201384125559E-2</v>
      </c>
      <c r="I29" s="166">
        <f t="shared" si="5"/>
        <v>0.18138548437411101</v>
      </c>
    </row>
    <row r="30" spans="2:22" x14ac:dyDescent="0.25">
      <c r="B30" s="164" t="s">
        <v>115</v>
      </c>
      <c r="C30" s="165">
        <v>6019</v>
      </c>
      <c r="D30" s="165">
        <v>17814</v>
      </c>
      <c r="E30" s="165">
        <v>17727</v>
      </c>
      <c r="F30" s="165">
        <v>15444</v>
      </c>
      <c r="G30" s="165">
        <v>15789</v>
      </c>
      <c r="H30" s="166">
        <f t="shared" si="4"/>
        <v>2.2338772338772239E-2</v>
      </c>
      <c r="I30" s="166">
        <f t="shared" si="5"/>
        <v>3.0977106095950748E-2</v>
      </c>
    </row>
    <row r="31" spans="2:22" x14ac:dyDescent="0.25">
      <c r="B31" s="164" t="s">
        <v>118</v>
      </c>
      <c r="C31" s="165">
        <v>3335</v>
      </c>
      <c r="D31" s="165">
        <v>4933</v>
      </c>
      <c r="E31" s="165">
        <v>4612</v>
      </c>
      <c r="F31" s="165">
        <v>3924</v>
      </c>
      <c r="G31" s="165">
        <v>3917</v>
      </c>
      <c r="H31" s="166">
        <f t="shared" si="4"/>
        <v>-1.7838939857288683E-3</v>
      </c>
      <c r="I31" s="166">
        <f t="shared" si="5"/>
        <v>7.6849277710962748E-3</v>
      </c>
    </row>
    <row r="32" spans="2:22" x14ac:dyDescent="0.25">
      <c r="B32" s="164" t="s">
        <v>125</v>
      </c>
      <c r="C32" s="165">
        <v>2688</v>
      </c>
      <c r="D32" s="165">
        <v>6923</v>
      </c>
      <c r="E32" s="165">
        <v>6270</v>
      </c>
      <c r="F32" s="165">
        <v>6193</v>
      </c>
      <c r="G32" s="165">
        <v>5238</v>
      </c>
      <c r="H32" s="166">
        <f t="shared" si="4"/>
        <v>-0.15420636202163729</v>
      </c>
      <c r="I32" s="166">
        <f t="shared" si="5"/>
        <v>1.0276653475874977E-2</v>
      </c>
    </row>
    <row r="33" spans="2:9" x14ac:dyDescent="0.25">
      <c r="B33" s="164" t="s">
        <v>121</v>
      </c>
      <c r="C33" s="165">
        <v>3911</v>
      </c>
      <c r="D33" s="165">
        <v>6048</v>
      </c>
      <c r="E33" s="165">
        <v>6021</v>
      </c>
      <c r="F33" s="165">
        <v>6388</v>
      </c>
      <c r="G33" s="165">
        <v>5521</v>
      </c>
      <c r="H33" s="166">
        <f t="shared" si="4"/>
        <v>-0.13572323105823414</v>
      </c>
      <c r="I33" s="166">
        <f t="shared" si="5"/>
        <v>1.083188313102439E-2</v>
      </c>
    </row>
    <row r="34" spans="2:9" x14ac:dyDescent="0.25">
      <c r="B34" s="164" t="s">
        <v>130</v>
      </c>
      <c r="C34" s="165">
        <v>53</v>
      </c>
      <c r="D34" s="165">
        <v>478</v>
      </c>
      <c r="E34" s="165">
        <v>509</v>
      </c>
      <c r="F34" s="165">
        <v>583</v>
      </c>
      <c r="G34" s="165">
        <v>625</v>
      </c>
      <c r="H34" s="166">
        <f t="shared" si="4"/>
        <v>7.2041166380788946E-2</v>
      </c>
      <c r="I34" s="166">
        <f t="shared" si="5"/>
        <v>1.2262139027151319E-3</v>
      </c>
    </row>
    <row r="35" spans="2:9" x14ac:dyDescent="0.25">
      <c r="B35" s="164" t="s">
        <v>133</v>
      </c>
      <c r="C35" s="165">
        <v>37</v>
      </c>
      <c r="D35" s="165">
        <v>342</v>
      </c>
      <c r="E35" s="165">
        <v>467</v>
      </c>
      <c r="F35" s="165">
        <v>260</v>
      </c>
      <c r="G35" s="165">
        <v>280</v>
      </c>
      <c r="H35" s="166">
        <f t="shared" si="4"/>
        <v>7.6923076923076872E-2</v>
      </c>
      <c r="I35" s="166">
        <f t="shared" si="5"/>
        <v>5.493438284163791E-4</v>
      </c>
    </row>
    <row r="36" spans="2:9" x14ac:dyDescent="0.25">
      <c r="B36" s="169" t="s">
        <v>147</v>
      </c>
      <c r="C36" s="170">
        <f>C28-SUM(C29:C35)</f>
        <v>11121</v>
      </c>
      <c r="D36" s="170">
        <f>D28-SUM(D29:D35)</f>
        <v>30047</v>
      </c>
      <c r="E36" s="170">
        <f>E28-SUM(E29:E35)</f>
        <v>32712</v>
      </c>
      <c r="F36" s="170">
        <f>F28-SUM(F29:F35)</f>
        <v>34331</v>
      </c>
      <c r="G36" s="170">
        <f>G28-SUM(G29:G35)</f>
        <v>33731</v>
      </c>
      <c r="H36" s="171">
        <f t="shared" si="4"/>
        <v>-1.7476915906906254E-2</v>
      </c>
      <c r="I36" s="171">
        <f t="shared" si="5"/>
        <v>6.617827384397458E-2</v>
      </c>
    </row>
    <row r="37" spans="2:9" x14ac:dyDescent="0.25">
      <c r="B37" s="156" t="s">
        <v>47</v>
      </c>
      <c r="C37" s="175"/>
      <c r="D37" s="175"/>
      <c r="E37" s="175"/>
      <c r="F37" s="175"/>
      <c r="G37" s="175"/>
      <c r="H37" s="176"/>
      <c r="I37" s="176"/>
    </row>
    <row r="38" spans="2:9" x14ac:dyDescent="0.25">
      <c r="B38" s="157" t="s">
        <v>70</v>
      </c>
      <c r="C38" s="177">
        <v>22984</v>
      </c>
      <c r="D38" s="177">
        <v>115840</v>
      </c>
      <c r="E38" s="177">
        <v>128682</v>
      </c>
      <c r="F38" s="177">
        <v>134353</v>
      </c>
      <c r="G38" s="177">
        <v>139166</v>
      </c>
      <c r="H38" s="178">
        <f t="shared" ref="H38:H50" si="6">IFERROR(G38/F38-1,"-")</f>
        <v>3.5823539481812938E-2</v>
      </c>
      <c r="I38" s="178">
        <f t="shared" ref="I38:I50" si="7">G38/G$10</f>
        <v>0.27303565437640648</v>
      </c>
    </row>
    <row r="39" spans="2:9" x14ac:dyDescent="0.25">
      <c r="B39" s="160" t="s">
        <v>99</v>
      </c>
      <c r="C39" s="161">
        <v>6763</v>
      </c>
      <c r="D39" s="161">
        <v>12663</v>
      </c>
      <c r="E39" s="161">
        <v>12831</v>
      </c>
      <c r="F39" s="161">
        <v>12372</v>
      </c>
      <c r="G39" s="161">
        <v>11715</v>
      </c>
      <c r="H39" s="162">
        <f t="shared" si="6"/>
        <v>-5.3103782735208549E-2</v>
      </c>
      <c r="I39" s="162">
        <f t="shared" si="7"/>
        <v>2.2984153392492431E-2</v>
      </c>
    </row>
    <row r="40" spans="2:9" x14ac:dyDescent="0.25">
      <c r="B40" s="164" t="s">
        <v>105</v>
      </c>
      <c r="C40" s="165">
        <v>4483</v>
      </c>
      <c r="D40" s="165">
        <v>4867</v>
      </c>
      <c r="E40" s="165">
        <v>5796</v>
      </c>
      <c r="F40" s="165">
        <v>6089</v>
      </c>
      <c r="G40" s="165">
        <v>5119</v>
      </c>
      <c r="H40" s="166">
        <f t="shared" si="6"/>
        <v>-0.15930366234192805</v>
      </c>
      <c r="I40" s="166">
        <f t="shared" si="7"/>
        <v>1.0043182348798016E-2</v>
      </c>
    </row>
    <row r="41" spans="2:9" x14ac:dyDescent="0.25">
      <c r="B41" s="164" t="s">
        <v>102</v>
      </c>
      <c r="C41" s="165">
        <v>2280</v>
      </c>
      <c r="D41" s="165">
        <v>7796</v>
      </c>
      <c r="E41" s="165">
        <v>7035</v>
      </c>
      <c r="F41" s="165">
        <v>6283</v>
      </c>
      <c r="G41" s="165">
        <v>6596</v>
      </c>
      <c r="H41" s="166">
        <f t="shared" si="6"/>
        <v>4.9816966417316477E-2</v>
      </c>
      <c r="I41" s="166">
        <f t="shared" si="7"/>
        <v>1.2940971043694415E-2</v>
      </c>
    </row>
    <row r="42" spans="2:9" x14ac:dyDescent="0.25">
      <c r="B42" s="160" t="s">
        <v>109</v>
      </c>
      <c r="C42" s="161">
        <v>16221</v>
      </c>
      <c r="D42" s="161">
        <v>103177</v>
      </c>
      <c r="E42" s="161">
        <v>115851</v>
      </c>
      <c r="F42" s="161">
        <v>121981</v>
      </c>
      <c r="G42" s="161">
        <v>127451</v>
      </c>
      <c r="H42" s="162">
        <f t="shared" si="6"/>
        <v>4.4843049327354167E-2</v>
      </c>
      <c r="I42" s="162">
        <f t="shared" si="7"/>
        <v>0.25005150098391404</v>
      </c>
    </row>
    <row r="43" spans="2:9" x14ac:dyDescent="0.25">
      <c r="B43" s="164" t="s">
        <v>112</v>
      </c>
      <c r="C43" s="165">
        <v>1303</v>
      </c>
      <c r="D43" s="165">
        <v>63453</v>
      </c>
      <c r="E43" s="165">
        <v>71553</v>
      </c>
      <c r="F43" s="165">
        <v>77824</v>
      </c>
      <c r="G43" s="165">
        <v>79228</v>
      </c>
      <c r="H43" s="166">
        <f t="shared" si="6"/>
        <v>1.8040707236842035E-2</v>
      </c>
      <c r="I43" s="166">
        <f t="shared" si="7"/>
        <v>0.15544076013490316</v>
      </c>
    </row>
    <row r="44" spans="2:9" x14ac:dyDescent="0.25">
      <c r="B44" s="164" t="s">
        <v>115</v>
      </c>
      <c r="C44" s="165">
        <v>987</v>
      </c>
      <c r="D44" s="165">
        <v>2834</v>
      </c>
      <c r="E44" s="165">
        <v>3697</v>
      </c>
      <c r="F44" s="165">
        <v>2686</v>
      </c>
      <c r="G44" s="165">
        <v>3762</v>
      </c>
      <c r="H44" s="166">
        <f t="shared" si="6"/>
        <v>0.40059568131049894</v>
      </c>
      <c r="I44" s="166">
        <f t="shared" si="7"/>
        <v>7.3808267232229217E-3</v>
      </c>
    </row>
    <row r="45" spans="2:9" x14ac:dyDescent="0.25">
      <c r="B45" s="164" t="s">
        <v>118</v>
      </c>
      <c r="C45" s="165">
        <v>1353</v>
      </c>
      <c r="D45" s="165">
        <v>1867</v>
      </c>
      <c r="E45" s="165">
        <v>2210</v>
      </c>
      <c r="F45" s="165">
        <v>2508</v>
      </c>
      <c r="G45" s="165">
        <v>2558</v>
      </c>
      <c r="H45" s="166">
        <f t="shared" si="6"/>
        <v>1.9936204146730363E-2</v>
      </c>
      <c r="I45" s="166">
        <f t="shared" si="7"/>
        <v>5.0186482610324913E-3</v>
      </c>
    </row>
    <row r="46" spans="2:9" x14ac:dyDescent="0.25">
      <c r="B46" s="164" t="s">
        <v>125</v>
      </c>
      <c r="C46" s="165">
        <v>2340</v>
      </c>
      <c r="D46" s="165">
        <v>5000</v>
      </c>
      <c r="E46" s="165">
        <v>5044</v>
      </c>
      <c r="F46" s="165">
        <v>5039</v>
      </c>
      <c r="G46" s="165">
        <v>4538</v>
      </c>
      <c r="H46" s="166">
        <f t="shared" si="6"/>
        <v>-9.9424488985909942E-2</v>
      </c>
      <c r="I46" s="166">
        <f t="shared" si="7"/>
        <v>8.9032939048340302E-3</v>
      </c>
    </row>
    <row r="47" spans="2:9" x14ac:dyDescent="0.25">
      <c r="B47" s="164" t="s">
        <v>121</v>
      </c>
      <c r="C47" s="165">
        <v>1437</v>
      </c>
      <c r="D47" s="165">
        <v>3085</v>
      </c>
      <c r="E47" s="165">
        <v>3798</v>
      </c>
      <c r="F47" s="165">
        <v>3383</v>
      </c>
      <c r="G47" s="165">
        <v>3650</v>
      </c>
      <c r="H47" s="166">
        <f t="shared" si="6"/>
        <v>7.892403192432762E-2</v>
      </c>
      <c r="I47" s="166">
        <f t="shared" si="7"/>
        <v>7.16108919185637E-3</v>
      </c>
    </row>
    <row r="48" spans="2:9" x14ac:dyDescent="0.25">
      <c r="B48" s="164" t="s">
        <v>130</v>
      </c>
      <c r="C48" s="165">
        <v>197</v>
      </c>
      <c r="D48" s="165">
        <v>415</v>
      </c>
      <c r="E48" s="165">
        <v>629</v>
      </c>
      <c r="F48" s="165">
        <v>511</v>
      </c>
      <c r="G48" s="165">
        <v>444</v>
      </c>
      <c r="H48" s="166">
        <f t="shared" si="6"/>
        <v>-0.13111545988258322</v>
      </c>
      <c r="I48" s="166">
        <f t="shared" si="7"/>
        <v>8.7110235648882968E-4</v>
      </c>
    </row>
    <row r="49" spans="2:9" x14ac:dyDescent="0.25">
      <c r="B49" s="164" t="s">
        <v>133</v>
      </c>
      <c r="C49" s="165">
        <v>26</v>
      </c>
      <c r="D49" s="165">
        <v>177</v>
      </c>
      <c r="E49" s="165">
        <v>325</v>
      </c>
      <c r="F49" s="165">
        <v>148</v>
      </c>
      <c r="G49" s="165">
        <v>165</v>
      </c>
      <c r="H49" s="166">
        <f t="shared" si="6"/>
        <v>0.11486486486486491</v>
      </c>
      <c r="I49" s="166">
        <f t="shared" si="7"/>
        <v>3.2372047031679484E-4</v>
      </c>
    </row>
    <row r="50" spans="2:9" x14ac:dyDescent="0.25">
      <c r="B50" s="169" t="s">
        <v>147</v>
      </c>
      <c r="C50" s="170">
        <f>C42-SUM(C43:C49)</f>
        <v>8578</v>
      </c>
      <c r="D50" s="170">
        <f>D42-SUM(D43:D49)</f>
        <v>26346</v>
      </c>
      <c r="E50" s="170">
        <f>E42-SUM(E43:E49)</f>
        <v>28595</v>
      </c>
      <c r="F50" s="170">
        <f>F42-SUM(F43:F49)</f>
        <v>29882</v>
      </c>
      <c r="G50" s="170">
        <f>G42-SUM(G43:G49)</f>
        <v>33106</v>
      </c>
      <c r="H50" s="171">
        <f t="shared" si="6"/>
        <v>0.10789103808312706</v>
      </c>
      <c r="I50" s="171">
        <f t="shared" si="7"/>
        <v>6.4952059941259452E-2</v>
      </c>
    </row>
    <row r="51" spans="2:9" x14ac:dyDescent="0.25">
      <c r="B51" s="156" t="s">
        <v>48</v>
      </c>
      <c r="C51" s="175"/>
      <c r="D51" s="175"/>
      <c r="E51" s="175"/>
      <c r="F51" s="175"/>
      <c r="G51" s="175"/>
      <c r="H51" s="176"/>
      <c r="I51" s="176"/>
    </row>
    <row r="52" spans="2:9" x14ac:dyDescent="0.25">
      <c r="B52" s="157" t="s">
        <v>70</v>
      </c>
      <c r="C52" s="177">
        <v>1691</v>
      </c>
      <c r="D52" s="177">
        <v>2772</v>
      </c>
      <c r="E52" s="177">
        <v>3279</v>
      </c>
      <c r="F52" s="177">
        <v>2702</v>
      </c>
      <c r="G52" s="177">
        <v>3626</v>
      </c>
      <c r="H52" s="178">
        <f t="shared" ref="H52:H64" si="8">IFERROR(G52/F52-1,"-")</f>
        <v>0.34196891191709855</v>
      </c>
      <c r="I52" s="178">
        <f t="shared" ref="I52:I64" si="9">G52/G$10</f>
        <v>7.1140025779921094E-3</v>
      </c>
    </row>
    <row r="53" spans="2:9" x14ac:dyDescent="0.25">
      <c r="B53" s="160" t="s">
        <v>99</v>
      </c>
      <c r="C53" s="161">
        <v>736</v>
      </c>
      <c r="D53" s="161">
        <v>548</v>
      </c>
      <c r="E53" s="161">
        <v>1481</v>
      </c>
      <c r="F53" s="161">
        <v>678</v>
      </c>
      <c r="G53" s="161">
        <v>932</v>
      </c>
      <c r="H53" s="162">
        <f t="shared" si="8"/>
        <v>0.37463126843657824</v>
      </c>
      <c r="I53" s="162">
        <f t="shared" si="9"/>
        <v>1.8285301717288047E-3</v>
      </c>
    </row>
    <row r="54" spans="2:9" x14ac:dyDescent="0.25">
      <c r="B54" s="164" t="s">
        <v>105</v>
      </c>
      <c r="C54" s="165">
        <v>378</v>
      </c>
      <c r="D54" s="165">
        <v>297</v>
      </c>
      <c r="E54" s="165">
        <v>1089</v>
      </c>
      <c r="F54" s="165">
        <v>386</v>
      </c>
      <c r="G54" s="165">
        <v>667</v>
      </c>
      <c r="H54" s="166">
        <f t="shared" si="8"/>
        <v>0.72797927461139889</v>
      </c>
      <c r="I54" s="166">
        <f t="shared" si="9"/>
        <v>1.3086154769775887E-3</v>
      </c>
    </row>
    <row r="55" spans="2:9" x14ac:dyDescent="0.25">
      <c r="B55" s="164" t="s">
        <v>102</v>
      </c>
      <c r="C55" s="165">
        <v>358</v>
      </c>
      <c r="D55" s="165">
        <v>251</v>
      </c>
      <c r="E55" s="165">
        <v>392</v>
      </c>
      <c r="F55" s="165">
        <v>292</v>
      </c>
      <c r="G55" s="165">
        <v>265</v>
      </c>
      <c r="H55" s="166">
        <f t="shared" si="8"/>
        <v>-9.2465753424657571E-2</v>
      </c>
      <c r="I55" s="166">
        <f t="shared" si="9"/>
        <v>5.1991469475121588E-4</v>
      </c>
    </row>
    <row r="56" spans="2:9" x14ac:dyDescent="0.25">
      <c r="B56" s="160" t="s">
        <v>109</v>
      </c>
      <c r="C56" s="161">
        <v>955</v>
      </c>
      <c r="D56" s="161">
        <v>2224</v>
      </c>
      <c r="E56" s="161">
        <v>1798</v>
      </c>
      <c r="F56" s="161">
        <v>2024</v>
      </c>
      <c r="G56" s="161">
        <v>2694</v>
      </c>
      <c r="H56" s="162">
        <f t="shared" si="8"/>
        <v>0.3310276679841897</v>
      </c>
      <c r="I56" s="162">
        <f t="shared" si="9"/>
        <v>5.2854724062633045E-3</v>
      </c>
    </row>
    <row r="57" spans="2:9" x14ac:dyDescent="0.25">
      <c r="B57" s="164" t="s">
        <v>112</v>
      </c>
      <c r="C57" s="165">
        <v>39</v>
      </c>
      <c r="D57" s="165">
        <v>1032</v>
      </c>
      <c r="E57" s="165">
        <v>813</v>
      </c>
      <c r="F57" s="165">
        <v>1447</v>
      </c>
      <c r="G57" s="165">
        <v>1083</v>
      </c>
      <c r="H57" s="166">
        <f t="shared" si="8"/>
        <v>-0.25155494125777467</v>
      </c>
      <c r="I57" s="166">
        <f t="shared" si="9"/>
        <v>2.1247834506247804E-3</v>
      </c>
    </row>
    <row r="58" spans="2:9" x14ac:dyDescent="0.25">
      <c r="B58" s="164" t="s">
        <v>115</v>
      </c>
      <c r="C58" s="165">
        <v>336</v>
      </c>
      <c r="D58" s="165">
        <v>351</v>
      </c>
      <c r="E58" s="165">
        <v>270</v>
      </c>
      <c r="F58" s="165">
        <v>145</v>
      </c>
      <c r="G58" s="165">
        <v>431</v>
      </c>
      <c r="H58" s="166">
        <f t="shared" si="8"/>
        <v>1.9724137931034482</v>
      </c>
      <c r="I58" s="166">
        <f t="shared" si="9"/>
        <v>8.4559710731235498E-4</v>
      </c>
    </row>
    <row r="59" spans="2:9" x14ac:dyDescent="0.25">
      <c r="B59" s="164" t="s">
        <v>118</v>
      </c>
      <c r="C59" s="165">
        <v>175</v>
      </c>
      <c r="D59" s="165">
        <v>127</v>
      </c>
      <c r="E59" s="165">
        <v>125</v>
      </c>
      <c r="F59" s="165">
        <v>70</v>
      </c>
      <c r="G59" s="165">
        <v>208</v>
      </c>
      <c r="H59" s="166">
        <f t="shared" si="8"/>
        <v>1.9714285714285715</v>
      </c>
      <c r="I59" s="166">
        <f t="shared" si="9"/>
        <v>4.0808398682359588E-4</v>
      </c>
    </row>
    <row r="60" spans="2:9" x14ac:dyDescent="0.25">
      <c r="B60" s="164" t="s">
        <v>125</v>
      </c>
      <c r="C60" s="165">
        <v>27</v>
      </c>
      <c r="D60" s="165">
        <v>47</v>
      </c>
      <c r="E60" s="165">
        <v>38</v>
      </c>
      <c r="F60" s="165">
        <v>13</v>
      </c>
      <c r="G60" s="165">
        <v>112</v>
      </c>
      <c r="H60" s="166">
        <f t="shared" si="8"/>
        <v>7.615384615384615</v>
      </c>
      <c r="I60" s="166">
        <f t="shared" si="9"/>
        <v>2.1973753136655163E-4</v>
      </c>
    </row>
    <row r="61" spans="2:9" x14ac:dyDescent="0.25">
      <c r="B61" s="164" t="s">
        <v>121</v>
      </c>
      <c r="C61" s="165">
        <v>28</v>
      </c>
      <c r="D61" s="165">
        <v>41</v>
      </c>
      <c r="E61" s="165">
        <v>34</v>
      </c>
      <c r="F61" s="165">
        <v>7</v>
      </c>
      <c r="G61" s="165">
        <v>60</v>
      </c>
      <c r="H61" s="166">
        <f t="shared" si="8"/>
        <v>7.5714285714285712</v>
      </c>
      <c r="I61" s="166">
        <f t="shared" si="9"/>
        <v>1.1771653466065266E-4</v>
      </c>
    </row>
    <row r="62" spans="2:9" x14ac:dyDescent="0.25">
      <c r="B62" s="164" t="s">
        <v>130</v>
      </c>
      <c r="C62" s="165">
        <v>7</v>
      </c>
      <c r="D62" s="165">
        <v>0</v>
      </c>
      <c r="E62" s="165">
        <v>6</v>
      </c>
      <c r="F62" s="165">
        <v>0</v>
      </c>
      <c r="G62" s="165">
        <v>2</v>
      </c>
      <c r="H62" s="166" t="str">
        <f t="shared" si="8"/>
        <v>-</v>
      </c>
      <c r="I62" s="166">
        <f t="shared" si="9"/>
        <v>3.9238844886884221E-6</v>
      </c>
    </row>
    <row r="63" spans="2:9" x14ac:dyDescent="0.25">
      <c r="B63" s="164" t="s">
        <v>133</v>
      </c>
      <c r="C63" s="165">
        <v>0</v>
      </c>
      <c r="D63" s="165">
        <v>1</v>
      </c>
      <c r="E63" s="165">
        <v>5</v>
      </c>
      <c r="F63" s="165">
        <v>1</v>
      </c>
      <c r="G63" s="165">
        <v>84</v>
      </c>
      <c r="H63" s="166">
        <f t="shared" si="8"/>
        <v>83</v>
      </c>
      <c r="I63" s="166">
        <f t="shared" si="9"/>
        <v>1.6480314852491374E-4</v>
      </c>
    </row>
    <row r="64" spans="2:9" x14ac:dyDescent="0.25">
      <c r="B64" s="169" t="s">
        <v>147</v>
      </c>
      <c r="C64" s="170">
        <f>C56-SUM(C57:C63)</f>
        <v>343</v>
      </c>
      <c r="D64" s="170">
        <f>D56-SUM(D57:D63)</f>
        <v>625</v>
      </c>
      <c r="E64" s="170">
        <f>E56-SUM(E57:E63)</f>
        <v>507</v>
      </c>
      <c r="F64" s="170">
        <f>F56-SUM(F57:F63)</f>
        <v>341</v>
      </c>
      <c r="G64" s="170">
        <f>G56-SUM(G57:G63)</f>
        <v>714</v>
      </c>
      <c r="H64" s="171">
        <f t="shared" si="8"/>
        <v>1.0938416422287389</v>
      </c>
      <c r="I64" s="171">
        <f t="shared" si="9"/>
        <v>1.4008267624617667E-3</v>
      </c>
    </row>
    <row r="65" spans="2:9" x14ac:dyDescent="0.25">
      <c r="B65" s="156" t="s">
        <v>49</v>
      </c>
      <c r="C65" s="175"/>
      <c r="D65" s="175"/>
      <c r="E65" s="175"/>
      <c r="F65" s="175"/>
      <c r="G65" s="175"/>
      <c r="H65" s="176"/>
      <c r="I65" s="176"/>
    </row>
    <row r="66" spans="2:9" x14ac:dyDescent="0.25">
      <c r="B66" s="157" t="s">
        <v>70</v>
      </c>
      <c r="C66" s="177">
        <v>3642</v>
      </c>
      <c r="D66" s="177">
        <v>12239</v>
      </c>
      <c r="E66" s="177">
        <v>16696</v>
      </c>
      <c r="F66" s="177">
        <v>18571</v>
      </c>
      <c r="G66" s="177">
        <v>18511</v>
      </c>
      <c r="H66" s="178">
        <f t="shared" ref="H66:H78" si="10">IFERROR(G66/F66-1,"-")</f>
        <v>-3.230843788702864E-3</v>
      </c>
      <c r="I66" s="178">
        <f t="shared" ref="I66:I78" si="11">G66/G$10</f>
        <v>3.6317512885055692E-2</v>
      </c>
    </row>
    <row r="67" spans="2:9" x14ac:dyDescent="0.25">
      <c r="B67" s="160" t="s">
        <v>99</v>
      </c>
      <c r="C67" s="161">
        <v>2061</v>
      </c>
      <c r="D67" s="161">
        <v>2403</v>
      </c>
      <c r="E67" s="161">
        <v>8666</v>
      </c>
      <c r="F67" s="161">
        <v>8351</v>
      </c>
      <c r="G67" s="161">
        <v>6109</v>
      </c>
      <c r="H67" s="162">
        <f t="shared" si="10"/>
        <v>-0.26847084181535141</v>
      </c>
      <c r="I67" s="162">
        <f t="shared" si="11"/>
        <v>1.1985505170698785E-2</v>
      </c>
    </row>
    <row r="68" spans="2:9" x14ac:dyDescent="0.25">
      <c r="B68" s="164" t="s">
        <v>105</v>
      </c>
      <c r="C68" s="165">
        <v>1811</v>
      </c>
      <c r="D68" s="165">
        <v>2205</v>
      </c>
      <c r="E68" s="165">
        <v>6849</v>
      </c>
      <c r="F68" s="165">
        <v>6607</v>
      </c>
      <c r="G68" s="165">
        <v>2507</v>
      </c>
      <c r="H68" s="166">
        <f t="shared" si="10"/>
        <v>-0.6205539579234145</v>
      </c>
      <c r="I68" s="166">
        <f t="shared" si="11"/>
        <v>4.9185892065709367E-3</v>
      </c>
    </row>
    <row r="69" spans="2:9" x14ac:dyDescent="0.25">
      <c r="B69" s="164" t="s">
        <v>102</v>
      </c>
      <c r="C69" s="165">
        <v>250</v>
      </c>
      <c r="D69" s="165">
        <v>198</v>
      </c>
      <c r="E69" s="165">
        <v>1817</v>
      </c>
      <c r="F69" s="165">
        <v>1744</v>
      </c>
      <c r="G69" s="165">
        <v>3602</v>
      </c>
      <c r="H69" s="166">
        <f t="shared" si="10"/>
        <v>1.0653669724770642</v>
      </c>
      <c r="I69" s="166">
        <f t="shared" si="11"/>
        <v>7.0669159641278479E-3</v>
      </c>
    </row>
    <row r="70" spans="2:9" x14ac:dyDescent="0.25">
      <c r="B70" s="160" t="s">
        <v>109</v>
      </c>
      <c r="C70" s="161">
        <v>1581</v>
      </c>
      <c r="D70" s="161">
        <v>9836</v>
      </c>
      <c r="E70" s="161">
        <v>8030</v>
      </c>
      <c r="F70" s="161">
        <v>10220</v>
      </c>
      <c r="G70" s="161">
        <v>12402</v>
      </c>
      <c r="H70" s="162">
        <f t="shared" si="10"/>
        <v>0.21350293542074361</v>
      </c>
      <c r="I70" s="162">
        <f t="shared" si="11"/>
        <v>2.4332007714356906E-2</v>
      </c>
    </row>
    <row r="71" spans="2:9" x14ac:dyDescent="0.25">
      <c r="B71" s="164" t="s">
        <v>112</v>
      </c>
      <c r="C71" s="165">
        <v>331</v>
      </c>
      <c r="D71" s="165">
        <v>4487</v>
      </c>
      <c r="E71" s="165">
        <v>2239</v>
      </c>
      <c r="F71" s="165">
        <v>5502</v>
      </c>
      <c r="G71" s="165">
        <v>7224</v>
      </c>
      <c r="H71" s="166">
        <f t="shared" si="10"/>
        <v>0.31297709923664119</v>
      </c>
      <c r="I71" s="166">
        <f t="shared" si="11"/>
        <v>1.4173070773142581E-2</v>
      </c>
    </row>
    <row r="72" spans="2:9" x14ac:dyDescent="0.25">
      <c r="B72" s="164" t="s">
        <v>115</v>
      </c>
      <c r="C72" s="165">
        <v>130</v>
      </c>
      <c r="D72" s="165">
        <v>772</v>
      </c>
      <c r="E72" s="165">
        <v>1776</v>
      </c>
      <c r="F72" s="165">
        <v>513</v>
      </c>
      <c r="G72" s="165">
        <v>730</v>
      </c>
      <c r="H72" s="166">
        <f t="shared" si="10"/>
        <v>0.42300194931773882</v>
      </c>
      <c r="I72" s="166">
        <f t="shared" si="11"/>
        <v>1.432217838371274E-3</v>
      </c>
    </row>
    <row r="73" spans="2:9" x14ac:dyDescent="0.25">
      <c r="B73" s="164" t="s">
        <v>118</v>
      </c>
      <c r="C73" s="165">
        <v>248</v>
      </c>
      <c r="D73" s="165">
        <v>845</v>
      </c>
      <c r="E73" s="165">
        <v>477</v>
      </c>
      <c r="F73" s="165">
        <v>448</v>
      </c>
      <c r="G73" s="165">
        <v>937</v>
      </c>
      <c r="H73" s="166">
        <f t="shared" si="10"/>
        <v>1.0915178571428572</v>
      </c>
      <c r="I73" s="166">
        <f t="shared" si="11"/>
        <v>1.8383398829505257E-3</v>
      </c>
    </row>
    <row r="74" spans="2:9" x14ac:dyDescent="0.25">
      <c r="B74" s="164" t="s">
        <v>125</v>
      </c>
      <c r="C74" s="165">
        <v>250</v>
      </c>
      <c r="D74" s="165">
        <v>238</v>
      </c>
      <c r="E74" s="165">
        <v>171</v>
      </c>
      <c r="F74" s="165">
        <v>286</v>
      </c>
      <c r="G74" s="165">
        <v>371</v>
      </c>
      <c r="H74" s="166">
        <f t="shared" si="10"/>
        <v>0.2972027972027973</v>
      </c>
      <c r="I74" s="166">
        <f t="shared" si="11"/>
        <v>7.2788057265170229E-4</v>
      </c>
    </row>
    <row r="75" spans="2:9" x14ac:dyDescent="0.25">
      <c r="B75" s="164" t="s">
        <v>121</v>
      </c>
      <c r="C75" s="165">
        <v>82</v>
      </c>
      <c r="D75" s="165">
        <v>173</v>
      </c>
      <c r="E75" s="165">
        <v>148</v>
      </c>
      <c r="F75" s="165">
        <v>135</v>
      </c>
      <c r="G75" s="165">
        <v>211</v>
      </c>
      <c r="H75" s="166">
        <f t="shared" si="10"/>
        <v>0.56296296296296289</v>
      </c>
      <c r="I75" s="166">
        <f t="shared" si="11"/>
        <v>4.1396981355662851E-4</v>
      </c>
    </row>
    <row r="76" spans="2:9" x14ac:dyDescent="0.25">
      <c r="B76" s="164" t="s">
        <v>130</v>
      </c>
      <c r="C76" s="165">
        <v>0</v>
      </c>
      <c r="D76" s="165">
        <v>52</v>
      </c>
      <c r="E76" s="165">
        <v>0</v>
      </c>
      <c r="F76" s="165">
        <v>4</v>
      </c>
      <c r="G76" s="165">
        <v>13</v>
      </c>
      <c r="H76" s="166">
        <f t="shared" si="10"/>
        <v>2.25</v>
      </c>
      <c r="I76" s="166">
        <f t="shared" si="11"/>
        <v>2.5505249176474742E-5</v>
      </c>
    </row>
    <row r="77" spans="2:9" x14ac:dyDescent="0.25">
      <c r="B77" s="164" t="s">
        <v>133</v>
      </c>
      <c r="C77" s="165">
        <v>0</v>
      </c>
      <c r="D77" s="165">
        <v>88</v>
      </c>
      <c r="E77" s="165">
        <v>2</v>
      </c>
      <c r="F77" s="165">
        <v>23</v>
      </c>
      <c r="G77" s="165">
        <v>49</v>
      </c>
      <c r="H77" s="166">
        <f t="shared" si="10"/>
        <v>1.1304347826086958</v>
      </c>
      <c r="I77" s="166">
        <f t="shared" si="11"/>
        <v>9.6135169972866335E-5</v>
      </c>
    </row>
    <row r="78" spans="2:9" x14ac:dyDescent="0.25">
      <c r="B78" s="169" t="s">
        <v>147</v>
      </c>
      <c r="C78" s="170">
        <f>C70-SUM(C71:C77)</f>
        <v>540</v>
      </c>
      <c r="D78" s="170">
        <f>D70-SUM(D71:D77)</f>
        <v>3181</v>
      </c>
      <c r="E78" s="170">
        <f>E70-SUM(E71:E77)</f>
        <v>3217</v>
      </c>
      <c r="F78" s="170">
        <f>F70-SUM(F71:F77)</f>
        <v>3309</v>
      </c>
      <c r="G78" s="170">
        <f>G70-SUM(G71:G77)</f>
        <v>2867</v>
      </c>
      <c r="H78" s="171">
        <f t="shared" si="10"/>
        <v>-0.13357509821698399</v>
      </c>
      <c r="I78" s="171">
        <f t="shared" si="11"/>
        <v>5.6248884145348533E-3</v>
      </c>
    </row>
    <row r="79" spans="2:9" x14ac:dyDescent="0.25">
      <c r="B79" s="156" t="s">
        <v>50</v>
      </c>
      <c r="C79" s="175"/>
      <c r="D79" s="175"/>
      <c r="E79" s="175"/>
      <c r="F79" s="175"/>
      <c r="G79" s="175"/>
      <c r="H79" s="176"/>
      <c r="I79" s="176"/>
    </row>
    <row r="80" spans="2:9" x14ac:dyDescent="0.25">
      <c r="B80" s="157" t="s">
        <v>70</v>
      </c>
      <c r="C80" s="177">
        <v>27009</v>
      </c>
      <c r="D80" s="177">
        <v>71256</v>
      </c>
      <c r="E80" s="177">
        <v>79915</v>
      </c>
      <c r="F80" s="177">
        <v>95487</v>
      </c>
      <c r="G80" s="177">
        <v>87271</v>
      </c>
      <c r="H80" s="178">
        <f t="shared" ref="H80:H92" si="12">IFERROR(G80/F80-1,"-")</f>
        <v>-8.6043126289442551E-2</v>
      </c>
      <c r="I80" s="178">
        <f t="shared" ref="I80:I92" si="13">G80/G$10</f>
        <v>0.17122066160616364</v>
      </c>
    </row>
    <row r="81" spans="2:9" x14ac:dyDescent="0.25">
      <c r="B81" s="160" t="s">
        <v>99</v>
      </c>
      <c r="C81" s="161">
        <v>16753</v>
      </c>
      <c r="D81" s="161">
        <v>41769</v>
      </c>
      <c r="E81" s="161">
        <v>45122</v>
      </c>
      <c r="F81" s="161">
        <v>50294</v>
      </c>
      <c r="G81" s="161">
        <v>44540</v>
      </c>
      <c r="H81" s="162">
        <f t="shared" si="12"/>
        <v>-0.11440728516324017</v>
      </c>
      <c r="I81" s="162">
        <f t="shared" si="13"/>
        <v>8.7384907563091155E-2</v>
      </c>
    </row>
    <row r="82" spans="2:9" x14ac:dyDescent="0.25">
      <c r="B82" s="164" t="s">
        <v>105</v>
      </c>
      <c r="C82" s="165">
        <v>6558</v>
      </c>
      <c r="D82" s="165">
        <v>9014</v>
      </c>
      <c r="E82" s="165">
        <v>13364</v>
      </c>
      <c r="F82" s="165">
        <v>16989</v>
      </c>
      <c r="G82" s="165">
        <v>10051</v>
      </c>
      <c r="H82" s="166">
        <f t="shared" si="12"/>
        <v>-0.40838189416681381</v>
      </c>
      <c r="I82" s="166">
        <f t="shared" si="13"/>
        <v>1.9719481497903663E-2</v>
      </c>
    </row>
    <row r="83" spans="2:9" x14ac:dyDescent="0.25">
      <c r="B83" s="164" t="s">
        <v>102</v>
      </c>
      <c r="C83" s="165">
        <v>10195</v>
      </c>
      <c r="D83" s="165">
        <v>32755</v>
      </c>
      <c r="E83" s="165">
        <v>31758</v>
      </c>
      <c r="F83" s="165">
        <v>33305</v>
      </c>
      <c r="G83" s="165">
        <v>34489</v>
      </c>
      <c r="H83" s="166">
        <f t="shared" si="12"/>
        <v>3.5550217685032193E-2</v>
      </c>
      <c r="I83" s="166">
        <f t="shared" si="13"/>
        <v>6.7665426065187495E-2</v>
      </c>
    </row>
    <row r="84" spans="2:9" x14ac:dyDescent="0.25">
      <c r="B84" s="160" t="s">
        <v>109</v>
      </c>
      <c r="C84" s="161">
        <v>10256</v>
      </c>
      <c r="D84" s="161">
        <v>29487</v>
      </c>
      <c r="E84" s="161">
        <v>34793</v>
      </c>
      <c r="F84" s="161">
        <v>45193</v>
      </c>
      <c r="G84" s="161">
        <v>42731</v>
      </c>
      <c r="H84" s="162">
        <f t="shared" si="12"/>
        <v>-5.447746332396608E-2</v>
      </c>
      <c r="I84" s="162">
        <f t="shared" si="13"/>
        <v>8.3835754043072475E-2</v>
      </c>
    </row>
    <row r="85" spans="2:9" x14ac:dyDescent="0.25">
      <c r="B85" s="164" t="s">
        <v>112</v>
      </c>
      <c r="C85" s="165">
        <v>699</v>
      </c>
      <c r="D85" s="165">
        <v>6823</v>
      </c>
      <c r="E85" s="165">
        <v>7422</v>
      </c>
      <c r="F85" s="165">
        <v>10364</v>
      </c>
      <c r="G85" s="165">
        <v>9826</v>
      </c>
      <c r="H85" s="166">
        <f t="shared" si="12"/>
        <v>-5.191045928213045E-2</v>
      </c>
      <c r="I85" s="166">
        <f t="shared" si="13"/>
        <v>1.9278044492926218E-2</v>
      </c>
    </row>
    <row r="86" spans="2:9" x14ac:dyDescent="0.25">
      <c r="B86" s="164" t="s">
        <v>115</v>
      </c>
      <c r="C86" s="165">
        <v>2689</v>
      </c>
      <c r="D86" s="165">
        <v>9694</v>
      </c>
      <c r="E86" s="165">
        <v>9600</v>
      </c>
      <c r="F86" s="165">
        <v>10676</v>
      </c>
      <c r="G86" s="165">
        <v>10888</v>
      </c>
      <c r="H86" s="166">
        <f t="shared" si="12"/>
        <v>1.9857624578493827E-2</v>
      </c>
      <c r="I86" s="166">
        <f t="shared" si="13"/>
        <v>2.1361627156419771E-2</v>
      </c>
    </row>
    <row r="87" spans="2:9" x14ac:dyDescent="0.25">
      <c r="B87" s="164" t="s">
        <v>118</v>
      </c>
      <c r="C87" s="165">
        <v>1342</v>
      </c>
      <c r="D87" s="165">
        <v>2061</v>
      </c>
      <c r="E87" s="165">
        <v>3029</v>
      </c>
      <c r="F87" s="165">
        <v>5693</v>
      </c>
      <c r="G87" s="165">
        <v>4340</v>
      </c>
      <c r="H87" s="166">
        <f t="shared" si="12"/>
        <v>-0.237660284559986</v>
      </c>
      <c r="I87" s="166">
        <f t="shared" si="13"/>
        <v>8.514829340453875E-3</v>
      </c>
    </row>
    <row r="88" spans="2:9" x14ac:dyDescent="0.25">
      <c r="B88" s="164" t="s">
        <v>125</v>
      </c>
      <c r="C88" s="165">
        <v>268</v>
      </c>
      <c r="D88" s="165">
        <v>622</v>
      </c>
      <c r="E88" s="165">
        <v>1018</v>
      </c>
      <c r="F88" s="165">
        <v>1717</v>
      </c>
      <c r="G88" s="165">
        <v>1007</v>
      </c>
      <c r="H88" s="166">
        <f t="shared" si="12"/>
        <v>-0.41351193942923703</v>
      </c>
      <c r="I88" s="166">
        <f t="shared" si="13"/>
        <v>1.9756758400546206E-3</v>
      </c>
    </row>
    <row r="89" spans="2:9" x14ac:dyDescent="0.25">
      <c r="B89" s="164" t="s">
        <v>121</v>
      </c>
      <c r="C89" s="165">
        <v>317</v>
      </c>
      <c r="D89" s="165">
        <v>447</v>
      </c>
      <c r="E89" s="165">
        <v>459</v>
      </c>
      <c r="F89" s="165">
        <v>784</v>
      </c>
      <c r="G89" s="165">
        <v>715</v>
      </c>
      <c r="H89" s="166">
        <f t="shared" si="12"/>
        <v>-8.8010204081632626E-2</v>
      </c>
      <c r="I89" s="166">
        <f t="shared" si="13"/>
        <v>1.4027887047061108E-3</v>
      </c>
    </row>
    <row r="90" spans="2:9" x14ac:dyDescent="0.25">
      <c r="B90" s="164" t="s">
        <v>130</v>
      </c>
      <c r="C90" s="165">
        <v>26</v>
      </c>
      <c r="D90" s="165">
        <v>112</v>
      </c>
      <c r="E90" s="165">
        <v>185</v>
      </c>
      <c r="F90" s="165">
        <v>153</v>
      </c>
      <c r="G90" s="165">
        <v>135</v>
      </c>
      <c r="H90" s="166">
        <f t="shared" si="12"/>
        <v>-0.11764705882352944</v>
      </c>
      <c r="I90" s="166">
        <f t="shared" si="13"/>
        <v>2.6486220298646849E-4</v>
      </c>
    </row>
    <row r="91" spans="2:9" x14ac:dyDescent="0.25">
      <c r="B91" s="164" t="s">
        <v>133</v>
      </c>
      <c r="C91" s="165">
        <v>102</v>
      </c>
      <c r="D91" s="165">
        <v>82</v>
      </c>
      <c r="E91" s="165">
        <v>168</v>
      </c>
      <c r="F91" s="165">
        <v>121</v>
      </c>
      <c r="G91" s="165">
        <v>65</v>
      </c>
      <c r="H91" s="166">
        <f t="shared" si="12"/>
        <v>-0.46280991735537191</v>
      </c>
      <c r="I91" s="166">
        <f t="shared" si="13"/>
        <v>1.2752624588237372E-4</v>
      </c>
    </row>
    <row r="92" spans="2:9" x14ac:dyDescent="0.25">
      <c r="B92" s="169" t="s">
        <v>147</v>
      </c>
      <c r="C92" s="170">
        <f>C84-SUM(C85:C91)</f>
        <v>4813</v>
      </c>
      <c r="D92" s="170">
        <f>D84-SUM(D85:D91)</f>
        <v>9646</v>
      </c>
      <c r="E92" s="170">
        <f>E84-SUM(E85:E91)</f>
        <v>12912</v>
      </c>
      <c r="F92" s="170">
        <f>F84-SUM(F85:F91)</f>
        <v>15685</v>
      </c>
      <c r="G92" s="170">
        <f>G84-SUM(G85:G91)</f>
        <v>15755</v>
      </c>
      <c r="H92" s="171">
        <f t="shared" si="12"/>
        <v>4.4628626075868816E-3</v>
      </c>
      <c r="I92" s="171">
        <f t="shared" si="13"/>
        <v>3.0910400059643045E-2</v>
      </c>
    </row>
    <row r="93" spans="2:9" x14ac:dyDescent="0.25">
      <c r="B93" s="156" t="s">
        <v>51</v>
      </c>
      <c r="C93" s="175"/>
      <c r="D93" s="175"/>
      <c r="E93" s="175"/>
      <c r="F93" s="175"/>
      <c r="G93" s="175"/>
      <c r="H93" s="176"/>
      <c r="I93" s="176"/>
    </row>
    <row r="94" spans="2:9" x14ac:dyDescent="0.25">
      <c r="B94" s="157" t="s">
        <v>70</v>
      </c>
      <c r="C94" s="177">
        <v>2578</v>
      </c>
      <c r="D94" s="177">
        <v>4491</v>
      </c>
      <c r="E94" s="177">
        <v>4369</v>
      </c>
      <c r="F94" s="177">
        <v>4153</v>
      </c>
      <c r="G94" s="177">
        <v>4247</v>
      </c>
      <c r="H94" s="178">
        <f t="shared" ref="H94:H106" si="14">IFERROR(G94/F94-1,"-")</f>
        <v>2.2634240308210929E-2</v>
      </c>
      <c r="I94" s="178">
        <f t="shared" ref="I94:I106" si="15">G94/G$10</f>
        <v>8.332368711729864E-3</v>
      </c>
    </row>
    <row r="95" spans="2:9" x14ac:dyDescent="0.25">
      <c r="B95" s="160" t="s">
        <v>99</v>
      </c>
      <c r="C95" s="161">
        <v>1946</v>
      </c>
      <c r="D95" s="161">
        <v>3449</v>
      </c>
      <c r="E95" s="161">
        <v>3376</v>
      </c>
      <c r="F95" s="161">
        <v>3115</v>
      </c>
      <c r="G95" s="161">
        <v>3157</v>
      </c>
      <c r="H95" s="162">
        <f t="shared" si="14"/>
        <v>1.348314606741563E-2</v>
      </c>
      <c r="I95" s="162">
        <f t="shared" si="15"/>
        <v>6.1938516653946745E-3</v>
      </c>
    </row>
    <row r="96" spans="2:9" x14ac:dyDescent="0.25">
      <c r="B96" s="164" t="s">
        <v>105</v>
      </c>
      <c r="C96" s="165">
        <v>1108</v>
      </c>
      <c r="D96" s="165">
        <v>1677</v>
      </c>
      <c r="E96" s="165">
        <v>820</v>
      </c>
      <c r="F96" s="165">
        <v>759</v>
      </c>
      <c r="G96" s="165">
        <v>1039</v>
      </c>
      <c r="H96" s="166">
        <f t="shared" si="14"/>
        <v>0.36890645586297754</v>
      </c>
      <c r="I96" s="166">
        <f t="shared" si="15"/>
        <v>2.0384579918736353E-3</v>
      </c>
    </row>
    <row r="97" spans="2:9" x14ac:dyDescent="0.25">
      <c r="B97" s="164" t="s">
        <v>102</v>
      </c>
      <c r="C97" s="165">
        <v>838</v>
      </c>
      <c r="D97" s="165">
        <v>1772</v>
      </c>
      <c r="E97" s="165">
        <v>2556</v>
      </c>
      <c r="F97" s="165">
        <v>2356</v>
      </c>
      <c r="G97" s="165">
        <v>2118</v>
      </c>
      <c r="H97" s="166">
        <f t="shared" si="14"/>
        <v>-0.10101867572156198</v>
      </c>
      <c r="I97" s="166">
        <f t="shared" si="15"/>
        <v>4.1553936735210387E-3</v>
      </c>
    </row>
    <row r="98" spans="2:9" x14ac:dyDescent="0.25">
      <c r="B98" s="160" t="s">
        <v>109</v>
      </c>
      <c r="C98" s="161">
        <v>632</v>
      </c>
      <c r="D98" s="161">
        <v>1042</v>
      </c>
      <c r="E98" s="161">
        <v>993</v>
      </c>
      <c r="F98" s="161">
        <v>1038</v>
      </c>
      <c r="G98" s="161">
        <v>1090</v>
      </c>
      <c r="H98" s="162">
        <f t="shared" si="14"/>
        <v>5.0096339113680166E-2</v>
      </c>
      <c r="I98" s="162">
        <f t="shared" si="15"/>
        <v>2.13851704633519E-3</v>
      </c>
    </row>
    <row r="99" spans="2:9" x14ac:dyDescent="0.25">
      <c r="B99" s="164" t="s">
        <v>112</v>
      </c>
      <c r="C99" s="165">
        <v>27</v>
      </c>
      <c r="D99" s="165">
        <v>148</v>
      </c>
      <c r="E99" s="165">
        <v>140</v>
      </c>
      <c r="F99" s="165">
        <v>113</v>
      </c>
      <c r="G99" s="165">
        <v>120</v>
      </c>
      <c r="H99" s="166">
        <f t="shared" si="14"/>
        <v>6.1946902654867353E-2</v>
      </c>
      <c r="I99" s="166">
        <f t="shared" si="15"/>
        <v>2.3543306932130532E-4</v>
      </c>
    </row>
    <row r="100" spans="2:9" x14ac:dyDescent="0.25">
      <c r="B100" s="164" t="s">
        <v>115</v>
      </c>
      <c r="C100" s="165">
        <v>124</v>
      </c>
      <c r="D100" s="165">
        <v>202</v>
      </c>
      <c r="E100" s="165">
        <v>150</v>
      </c>
      <c r="F100" s="165">
        <v>178</v>
      </c>
      <c r="G100" s="165">
        <v>155</v>
      </c>
      <c r="H100" s="166">
        <f t="shared" si="14"/>
        <v>-0.1292134831460674</v>
      </c>
      <c r="I100" s="166">
        <f t="shared" si="15"/>
        <v>3.0410104787335272E-4</v>
      </c>
    </row>
    <row r="101" spans="2:9" x14ac:dyDescent="0.25">
      <c r="B101" s="164" t="s">
        <v>118</v>
      </c>
      <c r="C101" s="165">
        <v>165</v>
      </c>
      <c r="D101" s="165">
        <v>129</v>
      </c>
      <c r="E101" s="165">
        <v>155</v>
      </c>
      <c r="F101" s="165">
        <v>126</v>
      </c>
      <c r="G101" s="165">
        <v>142</v>
      </c>
      <c r="H101" s="166">
        <f t="shared" si="14"/>
        <v>0.12698412698412698</v>
      </c>
      <c r="I101" s="166">
        <f t="shared" si="15"/>
        <v>2.7859579869687797E-4</v>
      </c>
    </row>
    <row r="102" spans="2:9" x14ac:dyDescent="0.25">
      <c r="B102" s="164" t="s">
        <v>125</v>
      </c>
      <c r="C102" s="165">
        <v>18</v>
      </c>
      <c r="D102" s="165">
        <v>93</v>
      </c>
      <c r="E102" s="165">
        <v>33</v>
      </c>
      <c r="F102" s="165">
        <v>43</v>
      </c>
      <c r="G102" s="165">
        <v>34</v>
      </c>
      <c r="H102" s="166">
        <f t="shared" si="14"/>
        <v>-0.20930232558139539</v>
      </c>
      <c r="I102" s="166">
        <f t="shared" si="15"/>
        <v>6.6706036307703176E-5</v>
      </c>
    </row>
    <row r="103" spans="2:9" x14ac:dyDescent="0.25">
      <c r="B103" s="164" t="s">
        <v>121</v>
      </c>
      <c r="C103" s="165">
        <v>29</v>
      </c>
      <c r="D103" s="165">
        <v>33</v>
      </c>
      <c r="E103" s="165">
        <v>37</v>
      </c>
      <c r="F103" s="165">
        <v>21</v>
      </c>
      <c r="G103" s="165">
        <v>21</v>
      </c>
      <c r="H103" s="166">
        <f t="shared" si="14"/>
        <v>0</v>
      </c>
      <c r="I103" s="166">
        <f t="shared" si="15"/>
        <v>4.1200787131228434E-5</v>
      </c>
    </row>
    <row r="104" spans="2:9" x14ac:dyDescent="0.25">
      <c r="B104" s="164" t="s">
        <v>130</v>
      </c>
      <c r="C104" s="165">
        <v>0</v>
      </c>
      <c r="D104" s="165">
        <v>7</v>
      </c>
      <c r="E104" s="165">
        <v>2</v>
      </c>
      <c r="F104" s="165">
        <v>47</v>
      </c>
      <c r="G104" s="165">
        <v>2</v>
      </c>
      <c r="H104" s="166">
        <f t="shared" si="14"/>
        <v>-0.95744680851063835</v>
      </c>
      <c r="I104" s="166">
        <f t="shared" si="15"/>
        <v>3.9238844886884221E-6</v>
      </c>
    </row>
    <row r="105" spans="2:9" x14ac:dyDescent="0.25">
      <c r="B105" s="164" t="s">
        <v>133</v>
      </c>
      <c r="C105" s="165">
        <v>6</v>
      </c>
      <c r="D105" s="165">
        <v>23</v>
      </c>
      <c r="E105" s="165">
        <v>9</v>
      </c>
      <c r="F105" s="165">
        <v>0</v>
      </c>
      <c r="G105" s="165">
        <v>6</v>
      </c>
      <c r="H105" s="166" t="str">
        <f t="shared" si="14"/>
        <v>-</v>
      </c>
      <c r="I105" s="166">
        <f t="shared" si="15"/>
        <v>1.1771653466065265E-5</v>
      </c>
    </row>
    <row r="106" spans="2:9" x14ac:dyDescent="0.25">
      <c r="B106" s="169" t="s">
        <v>147</v>
      </c>
      <c r="C106" s="170">
        <f>C98-SUM(C99:C105)</f>
        <v>263</v>
      </c>
      <c r="D106" s="170">
        <f>D98-SUM(D99:D105)</f>
        <v>407</v>
      </c>
      <c r="E106" s="170">
        <f>E98-SUM(E99:E105)</f>
        <v>467</v>
      </c>
      <c r="F106" s="170">
        <f>F98-SUM(F99:F105)</f>
        <v>510</v>
      </c>
      <c r="G106" s="170">
        <f>G98-SUM(G99:G105)</f>
        <v>610</v>
      </c>
      <c r="H106" s="171">
        <f t="shared" si="14"/>
        <v>0.19607843137254899</v>
      </c>
      <c r="I106" s="171">
        <f t="shared" si="15"/>
        <v>1.1967847690499687E-3</v>
      </c>
    </row>
    <row r="107" spans="2:9" x14ac:dyDescent="0.25">
      <c r="B107" s="156" t="s">
        <v>52</v>
      </c>
      <c r="C107" s="175"/>
      <c r="D107" s="175"/>
      <c r="E107" s="175"/>
      <c r="F107" s="175"/>
      <c r="G107" s="175"/>
      <c r="H107" s="176"/>
      <c r="I107" s="176"/>
    </row>
    <row r="108" spans="2:9" x14ac:dyDescent="0.25">
      <c r="B108" s="157" t="s">
        <v>70</v>
      </c>
      <c r="C108" s="177">
        <v>13872</v>
      </c>
      <c r="D108" s="177">
        <v>16290</v>
      </c>
      <c r="E108" s="177">
        <v>24851</v>
      </c>
      <c r="F108" s="177">
        <v>23158</v>
      </c>
      <c r="G108" s="177">
        <v>23497</v>
      </c>
      <c r="H108" s="178">
        <f t="shared" ref="H108:H120" si="16">IFERROR(G108/F108-1,"-")</f>
        <v>1.4638569824682701E-2</v>
      </c>
      <c r="I108" s="178">
        <f t="shared" ref="I108:I120" si="17">G108/G$10</f>
        <v>4.6099756915355929E-2</v>
      </c>
    </row>
    <row r="109" spans="2:9" x14ac:dyDescent="0.25">
      <c r="B109" s="160" t="s">
        <v>99</v>
      </c>
      <c r="C109" s="161">
        <v>7901</v>
      </c>
      <c r="D109" s="161">
        <v>4166</v>
      </c>
      <c r="E109" s="161">
        <v>5564</v>
      </c>
      <c r="F109" s="161">
        <v>6035</v>
      </c>
      <c r="G109" s="161">
        <v>5708</v>
      </c>
      <c r="H109" s="162">
        <f t="shared" si="16"/>
        <v>-5.4183927091963513E-2</v>
      </c>
      <c r="I109" s="162">
        <f t="shared" si="17"/>
        <v>1.1198766330716757E-2</v>
      </c>
    </row>
    <row r="110" spans="2:9" x14ac:dyDescent="0.25">
      <c r="B110" s="164" t="s">
        <v>105</v>
      </c>
      <c r="C110" s="165">
        <v>3656</v>
      </c>
      <c r="D110" s="165">
        <v>1000</v>
      </c>
      <c r="E110" s="165">
        <v>2087</v>
      </c>
      <c r="F110" s="165">
        <v>2245</v>
      </c>
      <c r="G110" s="165">
        <v>2139</v>
      </c>
      <c r="H110" s="166">
        <f t="shared" si="16"/>
        <v>-4.7216035634743858E-2</v>
      </c>
      <c r="I110" s="166">
        <f t="shared" si="17"/>
        <v>4.1965944606522677E-3</v>
      </c>
    </row>
    <row r="111" spans="2:9" x14ac:dyDescent="0.25">
      <c r="B111" s="164" t="s">
        <v>102</v>
      </c>
      <c r="C111" s="165">
        <v>4245</v>
      </c>
      <c r="D111" s="165">
        <v>3166</v>
      </c>
      <c r="E111" s="165">
        <v>3477</v>
      </c>
      <c r="F111" s="165">
        <v>3790</v>
      </c>
      <c r="G111" s="165">
        <v>3569</v>
      </c>
      <c r="H111" s="166">
        <f t="shared" si="16"/>
        <v>-5.8311345646438029E-2</v>
      </c>
      <c r="I111" s="166">
        <f t="shared" si="17"/>
        <v>7.0021718700644889E-3</v>
      </c>
    </row>
    <row r="112" spans="2:9" x14ac:dyDescent="0.25">
      <c r="B112" s="160" t="s">
        <v>109</v>
      </c>
      <c r="C112" s="161">
        <v>5971</v>
      </c>
      <c r="D112" s="161">
        <v>12124</v>
      </c>
      <c r="E112" s="161">
        <v>19287</v>
      </c>
      <c r="F112" s="161">
        <v>17123</v>
      </c>
      <c r="G112" s="161">
        <v>17789</v>
      </c>
      <c r="H112" s="162">
        <f t="shared" si="16"/>
        <v>3.8895053436897697E-2</v>
      </c>
      <c r="I112" s="162">
        <f t="shared" si="17"/>
        <v>3.490099058463917E-2</v>
      </c>
    </row>
    <row r="113" spans="2:9" x14ac:dyDescent="0.25">
      <c r="B113" s="164" t="s">
        <v>112</v>
      </c>
      <c r="C113" s="165">
        <v>504</v>
      </c>
      <c r="D113" s="165">
        <v>8496</v>
      </c>
      <c r="E113" s="165">
        <v>12950</v>
      </c>
      <c r="F113" s="165">
        <v>11619</v>
      </c>
      <c r="G113" s="165">
        <v>11404</v>
      </c>
      <c r="H113" s="166">
        <f t="shared" si="16"/>
        <v>-1.8504174197435219E-2</v>
      </c>
      <c r="I113" s="166">
        <f t="shared" si="17"/>
        <v>2.2373989354501383E-2</v>
      </c>
    </row>
    <row r="114" spans="2:9" x14ac:dyDescent="0.25">
      <c r="B114" s="164" t="s">
        <v>115</v>
      </c>
      <c r="C114" s="165">
        <v>2266</v>
      </c>
      <c r="D114" s="165">
        <v>269</v>
      </c>
      <c r="E114" s="165">
        <v>725</v>
      </c>
      <c r="F114" s="165">
        <v>598</v>
      </c>
      <c r="G114" s="165">
        <v>831</v>
      </c>
      <c r="H114" s="166">
        <f t="shared" si="16"/>
        <v>0.38963210702341144</v>
      </c>
      <c r="I114" s="166">
        <f t="shared" si="17"/>
        <v>1.6303740050500394E-3</v>
      </c>
    </row>
    <row r="115" spans="2:9" x14ac:dyDescent="0.25">
      <c r="B115" s="164" t="s">
        <v>118</v>
      </c>
      <c r="C115" s="165">
        <v>731</v>
      </c>
      <c r="D115" s="165">
        <v>439</v>
      </c>
      <c r="E115" s="165">
        <v>1079</v>
      </c>
      <c r="F115" s="165">
        <v>1057</v>
      </c>
      <c r="G115" s="165">
        <v>1345</v>
      </c>
      <c r="H115" s="166">
        <f t="shared" si="16"/>
        <v>0.27246925260170296</v>
      </c>
      <c r="I115" s="166">
        <f t="shared" si="17"/>
        <v>2.6388123186429639E-3</v>
      </c>
    </row>
    <row r="116" spans="2:9" x14ac:dyDescent="0.25">
      <c r="B116" s="164" t="s">
        <v>125</v>
      </c>
      <c r="C116" s="165">
        <v>615</v>
      </c>
      <c r="D116" s="165">
        <v>306</v>
      </c>
      <c r="E116" s="165">
        <v>292</v>
      </c>
      <c r="F116" s="165">
        <v>239</v>
      </c>
      <c r="G116" s="165">
        <v>371</v>
      </c>
      <c r="H116" s="166">
        <f t="shared" si="16"/>
        <v>0.55230125523012563</v>
      </c>
      <c r="I116" s="166">
        <f t="shared" si="17"/>
        <v>7.2788057265170229E-4</v>
      </c>
    </row>
    <row r="117" spans="2:9" x14ac:dyDescent="0.25">
      <c r="B117" s="164" t="s">
        <v>121</v>
      </c>
      <c r="C117" s="165">
        <v>669</v>
      </c>
      <c r="D117" s="165">
        <v>229</v>
      </c>
      <c r="E117" s="165">
        <v>287</v>
      </c>
      <c r="F117" s="165">
        <v>333</v>
      </c>
      <c r="G117" s="165">
        <v>296</v>
      </c>
      <c r="H117" s="166">
        <f t="shared" si="16"/>
        <v>-0.11111111111111116</v>
      </c>
      <c r="I117" s="166">
        <f t="shared" si="17"/>
        <v>5.8073490432588649E-4</v>
      </c>
    </row>
    <row r="118" spans="2:9" x14ac:dyDescent="0.25">
      <c r="B118" s="164" t="s">
        <v>130</v>
      </c>
      <c r="C118" s="165">
        <v>10</v>
      </c>
      <c r="D118" s="165">
        <v>12</v>
      </c>
      <c r="E118" s="165">
        <v>14</v>
      </c>
      <c r="F118" s="165">
        <v>13</v>
      </c>
      <c r="G118" s="165">
        <v>20</v>
      </c>
      <c r="H118" s="166">
        <f t="shared" si="16"/>
        <v>0.53846153846153855</v>
      </c>
      <c r="I118" s="166">
        <f t="shared" si="17"/>
        <v>3.9238844886884223E-5</v>
      </c>
    </row>
    <row r="119" spans="2:9" x14ac:dyDescent="0.25">
      <c r="B119" s="164" t="s">
        <v>133</v>
      </c>
      <c r="C119" s="165">
        <v>15</v>
      </c>
      <c r="D119" s="165">
        <v>20</v>
      </c>
      <c r="E119" s="165">
        <v>15</v>
      </c>
      <c r="F119" s="165">
        <v>13</v>
      </c>
      <c r="G119" s="165">
        <v>29</v>
      </c>
      <c r="H119" s="166">
        <f t="shared" si="16"/>
        <v>1.2307692307692308</v>
      </c>
      <c r="I119" s="166">
        <f t="shared" si="17"/>
        <v>5.6896325085982119E-5</v>
      </c>
    </row>
    <row r="120" spans="2:9" x14ac:dyDescent="0.25">
      <c r="B120" s="169" t="s">
        <v>147</v>
      </c>
      <c r="C120" s="170">
        <f>C112-SUM(C113:C119)</f>
        <v>1161</v>
      </c>
      <c r="D120" s="170">
        <f>D112-SUM(D113:D119)</f>
        <v>2353</v>
      </c>
      <c r="E120" s="170">
        <f>E112-SUM(E113:E119)</f>
        <v>3925</v>
      </c>
      <c r="F120" s="170">
        <f>F112-SUM(F113:F119)</f>
        <v>3251</v>
      </c>
      <c r="G120" s="170">
        <f>G112-SUM(G113:G119)</f>
        <v>3493</v>
      </c>
      <c r="H120" s="171">
        <f t="shared" si="16"/>
        <v>7.4438634266379644E-2</v>
      </c>
      <c r="I120" s="171">
        <f t="shared" si="17"/>
        <v>6.8530642594943287E-3</v>
      </c>
    </row>
    <row r="121" spans="2:9" x14ac:dyDescent="0.25">
      <c r="B121" s="156" t="s">
        <v>53</v>
      </c>
      <c r="C121" s="175"/>
      <c r="D121" s="175"/>
      <c r="E121" s="175"/>
      <c r="F121" s="175"/>
      <c r="G121" s="175"/>
      <c r="H121" s="176"/>
      <c r="I121" s="176"/>
    </row>
    <row r="122" spans="2:9" x14ac:dyDescent="0.25">
      <c r="B122" s="157" t="s">
        <v>70</v>
      </c>
      <c r="C122" s="177">
        <v>13942</v>
      </c>
      <c r="D122" s="177">
        <v>18300</v>
      </c>
      <c r="E122" s="177">
        <v>18588</v>
      </c>
      <c r="F122" s="177">
        <v>20189</v>
      </c>
      <c r="G122" s="177">
        <v>21402</v>
      </c>
      <c r="H122" s="178">
        <f t="shared" ref="H122:H134" si="18">IFERROR(G122/F122-1,"-")</f>
        <v>6.0082222992718703E-2</v>
      </c>
      <c r="I122" s="178">
        <f t="shared" ref="I122:I134" si="19">G122/G$10</f>
        <v>4.1989487913454804E-2</v>
      </c>
    </row>
    <row r="123" spans="2:9" x14ac:dyDescent="0.25">
      <c r="B123" s="160" t="s">
        <v>99</v>
      </c>
      <c r="C123" s="161">
        <v>10189</v>
      </c>
      <c r="D123" s="161">
        <v>12819</v>
      </c>
      <c r="E123" s="161">
        <v>13450</v>
      </c>
      <c r="F123" s="161">
        <v>15322</v>
      </c>
      <c r="G123" s="161">
        <v>16942</v>
      </c>
      <c r="H123" s="162">
        <f t="shared" si="18"/>
        <v>0.10573032241221769</v>
      </c>
      <c r="I123" s="162">
        <f t="shared" si="19"/>
        <v>3.3239225503679623E-2</v>
      </c>
    </row>
    <row r="124" spans="2:9" x14ac:dyDescent="0.25">
      <c r="B124" s="164" t="s">
        <v>105</v>
      </c>
      <c r="C124" s="165">
        <v>5618</v>
      </c>
      <c r="D124" s="165">
        <v>7013</v>
      </c>
      <c r="E124" s="165">
        <v>6510</v>
      </c>
      <c r="F124" s="165">
        <v>7586</v>
      </c>
      <c r="G124" s="165">
        <v>9024</v>
      </c>
      <c r="H124" s="166">
        <f t="shared" si="18"/>
        <v>0.18955971526496174</v>
      </c>
      <c r="I124" s="166">
        <f t="shared" si="19"/>
        <v>1.7704566812962161E-2</v>
      </c>
    </row>
    <row r="125" spans="2:9" x14ac:dyDescent="0.25">
      <c r="B125" s="164" t="s">
        <v>102</v>
      </c>
      <c r="C125" s="165">
        <v>4571</v>
      </c>
      <c r="D125" s="165">
        <v>5806</v>
      </c>
      <c r="E125" s="165">
        <v>6940</v>
      </c>
      <c r="F125" s="165">
        <v>7736</v>
      </c>
      <c r="G125" s="165">
        <v>7918</v>
      </c>
      <c r="H125" s="166">
        <f t="shared" si="18"/>
        <v>2.3526370217166415E-2</v>
      </c>
      <c r="I125" s="166">
        <f t="shared" si="19"/>
        <v>1.5534658690717462E-2</v>
      </c>
    </row>
    <row r="126" spans="2:9" x14ac:dyDescent="0.25">
      <c r="B126" s="160" t="s">
        <v>109</v>
      </c>
      <c r="C126" s="161">
        <v>3753</v>
      </c>
      <c r="D126" s="161">
        <v>5481</v>
      </c>
      <c r="E126" s="161">
        <v>5138</v>
      </c>
      <c r="F126" s="161">
        <v>4867</v>
      </c>
      <c r="G126" s="161">
        <v>4460</v>
      </c>
      <c r="H126" s="162">
        <f t="shared" si="18"/>
        <v>-8.3624409287035184E-2</v>
      </c>
      <c r="I126" s="162">
        <f t="shared" si="19"/>
        <v>8.7502624097751808E-3</v>
      </c>
    </row>
    <row r="127" spans="2:9" x14ac:dyDescent="0.25">
      <c r="B127" s="164" t="s">
        <v>112</v>
      </c>
      <c r="C127" s="165">
        <v>137</v>
      </c>
      <c r="D127" s="165">
        <v>546</v>
      </c>
      <c r="E127" s="165">
        <v>895</v>
      </c>
      <c r="F127" s="165">
        <v>709</v>
      </c>
      <c r="G127" s="165">
        <v>387</v>
      </c>
      <c r="H127" s="166">
        <f t="shared" si="18"/>
        <v>-0.45416078984485186</v>
      </c>
      <c r="I127" s="166">
        <f t="shared" si="19"/>
        <v>7.5927164856120968E-4</v>
      </c>
    </row>
    <row r="128" spans="2:9" x14ac:dyDescent="0.25">
      <c r="B128" s="164" t="s">
        <v>115</v>
      </c>
      <c r="C128" s="165">
        <v>392</v>
      </c>
      <c r="D128" s="165">
        <v>366</v>
      </c>
      <c r="E128" s="165">
        <v>491</v>
      </c>
      <c r="F128" s="165">
        <v>441</v>
      </c>
      <c r="G128" s="165">
        <v>361</v>
      </c>
      <c r="H128" s="166">
        <f t="shared" si="18"/>
        <v>-0.18140589569161003</v>
      </c>
      <c r="I128" s="166">
        <f t="shared" si="19"/>
        <v>7.0826115020826018E-4</v>
      </c>
    </row>
    <row r="129" spans="2:9" x14ac:dyDescent="0.25">
      <c r="B129" s="164" t="s">
        <v>118</v>
      </c>
      <c r="C129" s="165">
        <v>427</v>
      </c>
      <c r="D129" s="165">
        <v>421</v>
      </c>
      <c r="E129" s="165">
        <v>481</v>
      </c>
      <c r="F129" s="165">
        <v>385</v>
      </c>
      <c r="G129" s="165">
        <v>421</v>
      </c>
      <c r="H129" s="166">
        <f t="shared" si="18"/>
        <v>9.3506493506493538E-2</v>
      </c>
      <c r="I129" s="166">
        <f t="shared" si="19"/>
        <v>8.2597768486891287E-4</v>
      </c>
    </row>
    <row r="130" spans="2:9" x14ac:dyDescent="0.25">
      <c r="B130" s="164" t="s">
        <v>125</v>
      </c>
      <c r="C130" s="165">
        <v>76</v>
      </c>
      <c r="D130" s="165">
        <v>131</v>
      </c>
      <c r="E130" s="165">
        <v>86</v>
      </c>
      <c r="F130" s="165">
        <v>104</v>
      </c>
      <c r="G130" s="165">
        <v>112</v>
      </c>
      <c r="H130" s="166">
        <f t="shared" si="18"/>
        <v>7.6923076923076872E-2</v>
      </c>
      <c r="I130" s="166">
        <f t="shared" si="19"/>
        <v>2.1973753136655163E-4</v>
      </c>
    </row>
    <row r="131" spans="2:9" x14ac:dyDescent="0.25">
      <c r="B131" s="164" t="s">
        <v>121</v>
      </c>
      <c r="C131" s="165">
        <v>64</v>
      </c>
      <c r="D131" s="165">
        <v>104</v>
      </c>
      <c r="E131" s="165">
        <v>91</v>
      </c>
      <c r="F131" s="165">
        <v>128</v>
      </c>
      <c r="G131" s="165">
        <v>117</v>
      </c>
      <c r="H131" s="166">
        <f t="shared" si="18"/>
        <v>-8.59375E-2</v>
      </c>
      <c r="I131" s="166">
        <f t="shared" si="19"/>
        <v>2.2954724258827269E-4</v>
      </c>
    </row>
    <row r="132" spans="2:9" x14ac:dyDescent="0.25">
      <c r="B132" s="164" t="s">
        <v>130</v>
      </c>
      <c r="C132" s="165">
        <v>4</v>
      </c>
      <c r="D132" s="165">
        <v>36</v>
      </c>
      <c r="E132" s="165">
        <v>31</v>
      </c>
      <c r="F132" s="165">
        <v>45</v>
      </c>
      <c r="G132" s="165">
        <v>27</v>
      </c>
      <c r="H132" s="166">
        <f t="shared" si="18"/>
        <v>-0.4</v>
      </c>
      <c r="I132" s="166">
        <f t="shared" si="19"/>
        <v>5.2972440597293696E-5</v>
      </c>
    </row>
    <row r="133" spans="2:9" x14ac:dyDescent="0.25">
      <c r="B133" s="164" t="s">
        <v>133</v>
      </c>
      <c r="C133" s="165">
        <v>27</v>
      </c>
      <c r="D133" s="165">
        <v>56</v>
      </c>
      <c r="E133" s="165">
        <v>36</v>
      </c>
      <c r="F133" s="165">
        <v>26</v>
      </c>
      <c r="G133" s="165">
        <v>23</v>
      </c>
      <c r="H133" s="166">
        <f t="shared" si="18"/>
        <v>-0.11538461538461542</v>
      </c>
      <c r="I133" s="166">
        <f t="shared" si="19"/>
        <v>4.512467161991685E-5</v>
      </c>
    </row>
    <row r="134" spans="2:9" x14ac:dyDescent="0.25">
      <c r="B134" s="169" t="s">
        <v>147</v>
      </c>
      <c r="C134" s="170">
        <f>C126-SUM(C127:C133)</f>
        <v>2626</v>
      </c>
      <c r="D134" s="170">
        <f>D126-SUM(D127:D133)</f>
        <v>3821</v>
      </c>
      <c r="E134" s="170">
        <f>E126-SUM(E127:E133)</f>
        <v>3027</v>
      </c>
      <c r="F134" s="170">
        <f>F126-SUM(F127:F133)</f>
        <v>3029</v>
      </c>
      <c r="G134" s="170">
        <f>G126-SUM(G127:G133)</f>
        <v>3012</v>
      </c>
      <c r="H134" s="171">
        <f t="shared" si="18"/>
        <v>-5.6124133377352114E-3</v>
      </c>
      <c r="I134" s="171">
        <f t="shared" si="19"/>
        <v>5.9093700399647639E-3</v>
      </c>
    </row>
    <row r="135" spans="2:9" x14ac:dyDescent="0.25">
      <c r="B135" s="156" t="s">
        <v>54</v>
      </c>
      <c r="C135" s="175"/>
      <c r="D135" s="175"/>
      <c r="E135" s="175"/>
      <c r="F135" s="175"/>
      <c r="G135" s="175"/>
      <c r="H135" s="176"/>
      <c r="I135" s="176"/>
    </row>
    <row r="136" spans="2:9" x14ac:dyDescent="0.25">
      <c r="B136" s="157" t="s">
        <v>70</v>
      </c>
      <c r="C136" s="177">
        <v>4233</v>
      </c>
      <c r="D136" s="177">
        <v>22878</v>
      </c>
      <c r="E136" s="177">
        <v>25226</v>
      </c>
      <c r="F136" s="177">
        <v>27463</v>
      </c>
      <c r="G136" s="177">
        <v>27371</v>
      </c>
      <c r="H136" s="178">
        <f t="shared" ref="H136:H148" si="20">IFERROR(G136/F136-1,"-")</f>
        <v>-3.3499617667407389E-3</v>
      </c>
      <c r="I136" s="178">
        <f t="shared" ref="I136:I148" si="21">G136/G$10</f>
        <v>5.37003211699454E-2</v>
      </c>
    </row>
    <row r="137" spans="2:9" x14ac:dyDescent="0.25">
      <c r="B137" s="160" t="s">
        <v>99</v>
      </c>
      <c r="C137" s="161">
        <v>2095</v>
      </c>
      <c r="D137" s="161">
        <v>2066</v>
      </c>
      <c r="E137" s="161">
        <v>3574</v>
      </c>
      <c r="F137" s="161">
        <v>3207</v>
      </c>
      <c r="G137" s="161">
        <v>3028</v>
      </c>
      <c r="H137" s="162">
        <f t="shared" si="20"/>
        <v>-5.5815403804178376E-2</v>
      </c>
      <c r="I137" s="162">
        <f t="shared" si="21"/>
        <v>5.9407611158742712E-3</v>
      </c>
    </row>
    <row r="138" spans="2:9" x14ac:dyDescent="0.25">
      <c r="B138" s="164" t="s">
        <v>105</v>
      </c>
      <c r="C138" s="165">
        <v>1203</v>
      </c>
      <c r="D138" s="165">
        <v>1254</v>
      </c>
      <c r="E138" s="165">
        <v>2253</v>
      </c>
      <c r="F138" s="165">
        <v>2269</v>
      </c>
      <c r="G138" s="165">
        <v>1716</v>
      </c>
      <c r="H138" s="166">
        <f t="shared" si="20"/>
        <v>-0.24371970030850598</v>
      </c>
      <c r="I138" s="166">
        <f t="shared" si="21"/>
        <v>3.3666928912946662E-3</v>
      </c>
    </row>
    <row r="139" spans="2:9" x14ac:dyDescent="0.25">
      <c r="B139" s="164" t="s">
        <v>102</v>
      </c>
      <c r="C139" s="165">
        <v>892</v>
      </c>
      <c r="D139" s="165">
        <v>812</v>
      </c>
      <c r="E139" s="165">
        <v>1321</v>
      </c>
      <c r="F139" s="165">
        <v>938</v>
      </c>
      <c r="G139" s="165">
        <v>1312</v>
      </c>
      <c r="H139" s="166">
        <f t="shared" si="20"/>
        <v>0.3987206823027718</v>
      </c>
      <c r="I139" s="166">
        <f t="shared" si="21"/>
        <v>2.574068224579605E-3</v>
      </c>
    </row>
    <row r="140" spans="2:9" x14ac:dyDescent="0.25">
      <c r="B140" s="160" t="s">
        <v>109</v>
      </c>
      <c r="C140" s="161">
        <v>2138</v>
      </c>
      <c r="D140" s="161">
        <v>20812</v>
      </c>
      <c r="E140" s="161">
        <v>21652</v>
      </c>
      <c r="F140" s="161">
        <v>24256</v>
      </c>
      <c r="G140" s="161">
        <v>24343</v>
      </c>
      <c r="H140" s="162">
        <f t="shared" si="20"/>
        <v>3.5867414248020868E-3</v>
      </c>
      <c r="I140" s="162">
        <f t="shared" si="21"/>
        <v>4.7759560054071129E-2</v>
      </c>
    </row>
    <row r="141" spans="2:9" x14ac:dyDescent="0.25">
      <c r="B141" s="164" t="s">
        <v>112</v>
      </c>
      <c r="C141" s="165">
        <v>92</v>
      </c>
      <c r="D141" s="165">
        <v>9563</v>
      </c>
      <c r="E141" s="165">
        <v>10394</v>
      </c>
      <c r="F141" s="165">
        <v>12794</v>
      </c>
      <c r="G141" s="165">
        <v>12623</v>
      </c>
      <c r="H141" s="166">
        <f t="shared" si="20"/>
        <v>-1.3365640143817359E-2</v>
      </c>
      <c r="I141" s="166">
        <f t="shared" si="21"/>
        <v>2.4765596950356975E-2</v>
      </c>
    </row>
    <row r="142" spans="2:9" x14ac:dyDescent="0.25">
      <c r="B142" s="164" t="s">
        <v>115</v>
      </c>
      <c r="C142" s="165">
        <v>288</v>
      </c>
      <c r="D142" s="165">
        <v>1579</v>
      </c>
      <c r="E142" s="165">
        <v>1989</v>
      </c>
      <c r="F142" s="165">
        <v>1652</v>
      </c>
      <c r="G142" s="165">
        <v>1939</v>
      </c>
      <c r="H142" s="166">
        <f t="shared" si="20"/>
        <v>0.17372881355932202</v>
      </c>
      <c r="I142" s="166">
        <f t="shared" si="21"/>
        <v>3.804206011783425E-3</v>
      </c>
    </row>
    <row r="143" spans="2:9" x14ac:dyDescent="0.25">
      <c r="B143" s="164" t="s">
        <v>118</v>
      </c>
      <c r="C143" s="165">
        <v>461</v>
      </c>
      <c r="D143" s="165">
        <v>2320</v>
      </c>
      <c r="E143" s="165">
        <v>2172</v>
      </c>
      <c r="F143" s="165">
        <v>2002</v>
      </c>
      <c r="G143" s="165">
        <v>1998</v>
      </c>
      <c r="H143" s="166">
        <f t="shared" si="20"/>
        <v>-1.9980019980020414E-3</v>
      </c>
      <c r="I143" s="166">
        <f t="shared" si="21"/>
        <v>3.9199606041997338E-3</v>
      </c>
    </row>
    <row r="144" spans="2:9" x14ac:dyDescent="0.25">
      <c r="B144" s="164" t="s">
        <v>125</v>
      </c>
      <c r="C144" s="165">
        <v>51</v>
      </c>
      <c r="D144" s="165">
        <v>752</v>
      </c>
      <c r="E144" s="165">
        <v>636</v>
      </c>
      <c r="F144" s="165">
        <v>581</v>
      </c>
      <c r="G144" s="165">
        <v>505</v>
      </c>
      <c r="H144" s="166">
        <f t="shared" si="20"/>
        <v>-0.13080895008605853</v>
      </c>
      <c r="I144" s="166">
        <f t="shared" si="21"/>
        <v>9.9078083339382652E-4</v>
      </c>
    </row>
    <row r="145" spans="2:9" x14ac:dyDescent="0.25">
      <c r="B145" s="164" t="s">
        <v>121</v>
      </c>
      <c r="C145" s="165">
        <v>105</v>
      </c>
      <c r="D145" s="165">
        <v>293</v>
      </c>
      <c r="E145" s="165">
        <v>465</v>
      </c>
      <c r="F145" s="165">
        <v>649</v>
      </c>
      <c r="G145" s="165">
        <v>378</v>
      </c>
      <c r="H145" s="166">
        <f t="shared" si="20"/>
        <v>-0.41756548536209548</v>
      </c>
      <c r="I145" s="166">
        <f t="shared" si="21"/>
        <v>7.4161416836211172E-4</v>
      </c>
    </row>
    <row r="146" spans="2:9" x14ac:dyDescent="0.25">
      <c r="B146" s="164" t="s">
        <v>130</v>
      </c>
      <c r="C146" s="165">
        <v>2</v>
      </c>
      <c r="D146" s="165">
        <v>23</v>
      </c>
      <c r="E146" s="165">
        <v>2</v>
      </c>
      <c r="F146" s="165">
        <v>6</v>
      </c>
      <c r="G146" s="165">
        <v>28</v>
      </c>
      <c r="H146" s="166">
        <f t="shared" si="20"/>
        <v>3.666666666666667</v>
      </c>
      <c r="I146" s="166">
        <f t="shared" si="21"/>
        <v>5.4934382841637908E-5</v>
      </c>
    </row>
    <row r="147" spans="2:9" x14ac:dyDescent="0.25">
      <c r="B147" s="164" t="s">
        <v>133</v>
      </c>
      <c r="C147" s="165">
        <v>4</v>
      </c>
      <c r="D147" s="165">
        <v>12</v>
      </c>
      <c r="E147" s="165">
        <v>13</v>
      </c>
      <c r="F147" s="165">
        <v>5</v>
      </c>
      <c r="G147" s="165">
        <v>25</v>
      </c>
      <c r="H147" s="166">
        <f t="shared" si="20"/>
        <v>4</v>
      </c>
      <c r="I147" s="166">
        <f t="shared" si="21"/>
        <v>4.9048556108605273E-5</v>
      </c>
    </row>
    <row r="148" spans="2:9" x14ac:dyDescent="0.25">
      <c r="B148" s="169" t="s">
        <v>147</v>
      </c>
      <c r="C148" s="170">
        <f>C140-SUM(C141:C147)</f>
        <v>1135</v>
      </c>
      <c r="D148" s="170">
        <f>D140-SUM(D141:D147)</f>
        <v>6270</v>
      </c>
      <c r="E148" s="170">
        <f>E140-SUM(E141:E147)</f>
        <v>5981</v>
      </c>
      <c r="F148" s="170">
        <f>F140-SUM(F141:F147)</f>
        <v>6567</v>
      </c>
      <c r="G148" s="170">
        <f>G140-SUM(G141:G147)</f>
        <v>6847</v>
      </c>
      <c r="H148" s="171">
        <f t="shared" si="20"/>
        <v>4.2637429572103036E-2</v>
      </c>
      <c r="I148" s="171">
        <f t="shared" si="21"/>
        <v>1.3433418547024813E-2</v>
      </c>
    </row>
    <row r="149" spans="2:9" x14ac:dyDescent="0.25">
      <c r="B149" s="156" t="s">
        <v>55</v>
      </c>
      <c r="C149" s="175"/>
      <c r="D149" s="175"/>
      <c r="E149" s="175"/>
      <c r="F149" s="175"/>
      <c r="G149" s="175"/>
      <c r="H149" s="176"/>
      <c r="I149" s="176"/>
    </row>
    <row r="150" spans="2:9" x14ac:dyDescent="0.25">
      <c r="B150" s="157" t="s">
        <v>70</v>
      </c>
      <c r="C150" s="177">
        <v>5588</v>
      </c>
      <c r="D150" s="177">
        <v>8148</v>
      </c>
      <c r="E150" s="177">
        <v>10937</v>
      </c>
      <c r="F150" s="177">
        <v>9202</v>
      </c>
      <c r="G150" s="177">
        <v>10712</v>
      </c>
      <c r="H150" s="178">
        <f t="shared" ref="H150:H162" si="22">IFERROR(G150/F150-1,"-")</f>
        <v>0.16409476200825912</v>
      </c>
      <c r="I150" s="178">
        <f t="shared" ref="I150:I162" si="23">G150/G$10</f>
        <v>2.1016325321415188E-2</v>
      </c>
    </row>
    <row r="151" spans="2:9" x14ac:dyDescent="0.25">
      <c r="B151" s="160" t="s">
        <v>99</v>
      </c>
      <c r="C151" s="161">
        <v>4081</v>
      </c>
      <c r="D151" s="161">
        <v>4596</v>
      </c>
      <c r="E151" s="161">
        <v>6722</v>
      </c>
      <c r="F151" s="161">
        <v>4497</v>
      </c>
      <c r="G151" s="161">
        <v>5859</v>
      </c>
      <c r="H151" s="162">
        <f t="shared" si="22"/>
        <v>0.3028685790527017</v>
      </c>
      <c r="I151" s="162">
        <f t="shared" si="23"/>
        <v>1.1495019609612732E-2</v>
      </c>
    </row>
    <row r="152" spans="2:9" x14ac:dyDescent="0.25">
      <c r="B152" s="164" t="s">
        <v>105</v>
      </c>
      <c r="C152" s="165">
        <v>3396</v>
      </c>
      <c r="D152" s="165">
        <v>3320</v>
      </c>
      <c r="E152" s="165">
        <v>4419</v>
      </c>
      <c r="F152" s="165">
        <v>1970</v>
      </c>
      <c r="G152" s="165">
        <v>3289</v>
      </c>
      <c r="H152" s="166">
        <f t="shared" si="22"/>
        <v>0.66954314720812191</v>
      </c>
      <c r="I152" s="166">
        <f t="shared" si="23"/>
        <v>6.4528280416481102E-3</v>
      </c>
    </row>
    <row r="153" spans="2:9" x14ac:dyDescent="0.25">
      <c r="B153" s="164" t="s">
        <v>102</v>
      </c>
      <c r="C153" s="165">
        <v>685</v>
      </c>
      <c r="D153" s="165">
        <v>1276</v>
      </c>
      <c r="E153" s="165">
        <v>2303</v>
      </c>
      <c r="F153" s="165">
        <v>2527</v>
      </c>
      <c r="G153" s="165">
        <v>2570</v>
      </c>
      <c r="H153" s="166">
        <f t="shared" si="22"/>
        <v>1.7016224772457456E-2</v>
      </c>
      <c r="I153" s="166">
        <f t="shared" si="23"/>
        <v>5.0421915679646221E-3</v>
      </c>
    </row>
    <row r="154" spans="2:9" x14ac:dyDescent="0.25">
      <c r="B154" s="160" t="s">
        <v>109</v>
      </c>
      <c r="C154" s="161">
        <v>1507</v>
      </c>
      <c r="D154" s="161">
        <v>3552</v>
      </c>
      <c r="E154" s="161">
        <v>4215</v>
      </c>
      <c r="F154" s="161">
        <v>4705</v>
      </c>
      <c r="G154" s="161">
        <v>4853</v>
      </c>
      <c r="H154" s="162">
        <f t="shared" si="22"/>
        <v>3.145589798087145E-2</v>
      </c>
      <c r="I154" s="162">
        <f t="shared" si="23"/>
        <v>9.5213057118024563E-3</v>
      </c>
    </row>
    <row r="155" spans="2:9" x14ac:dyDescent="0.25">
      <c r="B155" s="164" t="s">
        <v>112</v>
      </c>
      <c r="C155" s="165">
        <v>45</v>
      </c>
      <c r="D155" s="165">
        <v>1423</v>
      </c>
      <c r="E155" s="165">
        <v>1591</v>
      </c>
      <c r="F155" s="165">
        <v>1561</v>
      </c>
      <c r="G155" s="165">
        <v>1568</v>
      </c>
      <c r="H155" s="166">
        <f t="shared" si="22"/>
        <v>4.484304932735439E-3</v>
      </c>
      <c r="I155" s="166">
        <f t="shared" si="23"/>
        <v>3.0763254391317227E-3</v>
      </c>
    </row>
    <row r="156" spans="2:9" x14ac:dyDescent="0.25">
      <c r="B156" s="164" t="s">
        <v>115</v>
      </c>
      <c r="C156" s="165">
        <v>325</v>
      </c>
      <c r="D156" s="165">
        <v>850</v>
      </c>
      <c r="E156" s="165">
        <v>642</v>
      </c>
      <c r="F156" s="165">
        <v>640</v>
      </c>
      <c r="G156" s="165">
        <v>685</v>
      </c>
      <c r="H156" s="166">
        <f t="shared" si="22"/>
        <v>7.03125E-2</v>
      </c>
      <c r="I156" s="166">
        <f t="shared" si="23"/>
        <v>1.3439304373757846E-3</v>
      </c>
    </row>
    <row r="157" spans="2:9" x14ac:dyDescent="0.25">
      <c r="B157" s="164" t="s">
        <v>118</v>
      </c>
      <c r="C157" s="165">
        <v>457</v>
      </c>
      <c r="D157" s="165">
        <v>327</v>
      </c>
      <c r="E157" s="165">
        <v>715</v>
      </c>
      <c r="F157" s="165">
        <v>904</v>
      </c>
      <c r="G157" s="165">
        <v>1326</v>
      </c>
      <c r="H157" s="166">
        <f t="shared" si="22"/>
        <v>0.4668141592920354</v>
      </c>
      <c r="I157" s="166">
        <f t="shared" si="23"/>
        <v>2.6015354160004237E-3</v>
      </c>
    </row>
    <row r="158" spans="2:9" x14ac:dyDescent="0.25">
      <c r="B158" s="164" t="s">
        <v>125</v>
      </c>
      <c r="C158" s="165">
        <v>54</v>
      </c>
      <c r="D158" s="165">
        <v>97</v>
      </c>
      <c r="E158" s="165">
        <v>78</v>
      </c>
      <c r="F158" s="165">
        <v>183</v>
      </c>
      <c r="G158" s="165">
        <v>131</v>
      </c>
      <c r="H158" s="166">
        <f t="shared" si="22"/>
        <v>-0.28415300546448086</v>
      </c>
      <c r="I158" s="166">
        <f t="shared" si="23"/>
        <v>2.5701443400909165E-4</v>
      </c>
    </row>
    <row r="159" spans="2:9" x14ac:dyDescent="0.25">
      <c r="B159" s="164" t="s">
        <v>121</v>
      </c>
      <c r="C159" s="165">
        <v>94</v>
      </c>
      <c r="D159" s="165">
        <v>256</v>
      </c>
      <c r="E159" s="165">
        <v>260</v>
      </c>
      <c r="F159" s="165">
        <v>193</v>
      </c>
      <c r="G159" s="165">
        <v>123</v>
      </c>
      <c r="H159" s="166">
        <f t="shared" si="22"/>
        <v>-0.36269430051813467</v>
      </c>
      <c r="I159" s="166">
        <f t="shared" si="23"/>
        <v>2.4131889605433796E-4</v>
      </c>
    </row>
    <row r="160" spans="2:9" x14ac:dyDescent="0.25">
      <c r="B160" s="164" t="s">
        <v>130</v>
      </c>
      <c r="C160" s="165">
        <v>2</v>
      </c>
      <c r="D160" s="165">
        <v>5</v>
      </c>
      <c r="E160" s="165">
        <v>17</v>
      </c>
      <c r="F160" s="165">
        <v>2</v>
      </c>
      <c r="G160" s="165">
        <v>4</v>
      </c>
      <c r="H160" s="166">
        <f t="shared" si="22"/>
        <v>1</v>
      </c>
      <c r="I160" s="166">
        <f t="shared" si="23"/>
        <v>7.8477689773768442E-6</v>
      </c>
    </row>
    <row r="161" spans="2:9" x14ac:dyDescent="0.25">
      <c r="B161" s="164" t="s">
        <v>133</v>
      </c>
      <c r="C161" s="165">
        <v>6</v>
      </c>
      <c r="D161" s="165">
        <v>15</v>
      </c>
      <c r="E161" s="165">
        <v>8</v>
      </c>
      <c r="F161" s="165">
        <v>3</v>
      </c>
      <c r="G161" s="165">
        <v>5</v>
      </c>
      <c r="H161" s="166">
        <f t="shared" si="22"/>
        <v>0.66666666666666674</v>
      </c>
      <c r="I161" s="166">
        <f t="shared" si="23"/>
        <v>9.8097112217210557E-6</v>
      </c>
    </row>
    <row r="162" spans="2:9" x14ac:dyDescent="0.25">
      <c r="B162" s="169" t="s">
        <v>147</v>
      </c>
      <c r="C162" s="170">
        <f>C154-SUM(C155:C161)</f>
        <v>524</v>
      </c>
      <c r="D162" s="170">
        <f>D154-SUM(D155:D161)</f>
        <v>579</v>
      </c>
      <c r="E162" s="170">
        <f>E154-SUM(E155:E161)</f>
        <v>904</v>
      </c>
      <c r="F162" s="170">
        <f>F154-SUM(F155:F161)</f>
        <v>1219</v>
      </c>
      <c r="G162" s="170">
        <f>G154-SUM(G155:G161)</f>
        <v>1011</v>
      </c>
      <c r="H162" s="171">
        <f t="shared" si="22"/>
        <v>-0.17063166529942575</v>
      </c>
      <c r="I162" s="171">
        <f t="shared" si="23"/>
        <v>1.9835236090319972E-3</v>
      </c>
    </row>
    <row r="163" spans="2:9" x14ac:dyDescent="0.25">
      <c r="C163" s="81"/>
      <c r="D163" s="81"/>
      <c r="E163" s="81"/>
      <c r="F163" s="81"/>
      <c r="G163" s="81"/>
      <c r="H163" s="81"/>
    </row>
    <row r="164" spans="2:9" x14ac:dyDescent="0.25">
      <c r="B164" s="107" t="s">
        <v>57</v>
      </c>
      <c r="C164" s="107"/>
      <c r="D164" s="107"/>
      <c r="E164" s="107"/>
      <c r="F164" s="107"/>
      <c r="G164" s="107"/>
      <c r="H164" s="107"/>
      <c r="I164" s="107"/>
    </row>
  </sheetData>
  <mergeCells count="3">
    <mergeCell ref="B5:I5"/>
    <mergeCell ref="K5:R5"/>
    <mergeCell ref="C7:I7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830B3-24EE-4FEE-B0F3-E10156A45E23}">
  <sheetPr>
    <tabColor rgb="FFFFC000"/>
    <pageSetUpPr fitToPage="1"/>
  </sheetPr>
  <dimension ref="A1:X163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3" customWidth="1"/>
    <col min="10" max="10" width="10.5703125" customWidth="1"/>
    <col min="11" max="11" width="11.5703125" customWidth="1"/>
    <col min="12" max="12" width="10.5703125" customWidth="1"/>
    <col min="14" max="14" width="11.42578125" customWidth="1"/>
    <col min="15" max="24" width="11.42578125" hidden="1" customWidth="1"/>
  </cols>
  <sheetData>
    <row r="1" spans="1:24" ht="42.75" customHeight="1" x14ac:dyDescent="0.25"/>
    <row r="4" spans="1:24" ht="42" customHeight="1" thickBot="1" x14ac:dyDescent="0.3">
      <c r="B4" s="278" t="str">
        <f>CONCATENATE("Viajeros alojados en los establecimientos alojativos de Tenerife según lugar de residencia y municipio de alojamiento (hotel + apartamento)")</f>
        <v>Viajeros alojados en los establecimientos alojativos de Tenerife según lugar de residencia y municipio de alojamiento (hotel + apartamento)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O4" s="278" t="s">
        <v>268</v>
      </c>
      <c r="P4" s="278"/>
      <c r="Q4" s="278"/>
      <c r="R4" s="278"/>
      <c r="S4" s="278"/>
      <c r="T4" s="278"/>
      <c r="U4" s="278"/>
      <c r="V4" s="278"/>
      <c r="W4" s="278"/>
      <c r="X4" s="278"/>
    </row>
    <row r="5" spans="1:24" ht="6" customHeight="1" x14ac:dyDescent="0.25"/>
    <row r="6" spans="1:24" ht="15.75" x14ac:dyDescent="0.25">
      <c r="B6" s="146"/>
      <c r="C6" s="311" t="s">
        <v>45</v>
      </c>
      <c r="D6" s="312"/>
      <c r="E6" s="312"/>
      <c r="F6" s="312"/>
      <c r="G6" s="312"/>
      <c r="H6" s="312"/>
      <c r="I6" s="312"/>
      <c r="J6" s="312"/>
      <c r="K6" s="312"/>
      <c r="L6" s="312"/>
    </row>
    <row r="7" spans="1:24" s="147" customFormat="1" ht="72" customHeight="1" x14ac:dyDescent="0.25">
      <c r="B7" s="148"/>
      <c r="C7" s="173" t="s">
        <v>269</v>
      </c>
      <c r="D7" s="173" t="s">
        <v>260</v>
      </c>
      <c r="E7" s="173" t="s">
        <v>261</v>
      </c>
      <c r="F7" s="173" t="s">
        <v>262</v>
      </c>
      <c r="G7" s="173" t="s">
        <v>263</v>
      </c>
      <c r="H7" s="173" t="s">
        <v>264</v>
      </c>
      <c r="I7" s="173" t="s">
        <v>265</v>
      </c>
      <c r="J7" s="174" t="str">
        <f>CONCATENATE("var. ",RIGHT(I7,2),"/",RIGHT(H7,2))</f>
        <v>var. 25/24</v>
      </c>
      <c r="K7" s="173" t="str">
        <f>CONCATENATE("dif. ",RIGHT(I7,2),"/",RIGHT(H7,2))</f>
        <v>dif. 25/24</v>
      </c>
      <c r="L7" s="174" t="str">
        <f>CONCATENATE("Cuota s/ total lugares de residencia ",RIGHT(I7,4))</f>
        <v>Cuota s/ total lugares de residencia 2025</v>
      </c>
      <c r="O7" s="148"/>
      <c r="P7" s="173" t="s">
        <v>260</v>
      </c>
      <c r="Q7" s="173" t="s">
        <v>261</v>
      </c>
      <c r="R7" s="173" t="s">
        <v>262</v>
      </c>
      <c r="S7" s="173" t="s">
        <v>263</v>
      </c>
      <c r="T7" s="173" t="s">
        <v>264</v>
      </c>
      <c r="U7" s="173" t="s">
        <v>265</v>
      </c>
      <c r="V7" s="174" t="str">
        <f>CONCATENATE("var. ",RIGHT(U7,2),"/",RIGHT(T7,2))</f>
        <v>var. 25/24</v>
      </c>
      <c r="W7" s="173" t="str">
        <f>CONCATENATE("dif. ",RIGHT(U7,2),"/",RIGHT(T7,2))</f>
        <v>dif. 25/24</v>
      </c>
      <c r="X7" s="174" t="str">
        <f>CONCATENATE("Cuota s/ total lugares de residencia ",RIGHT(U7,4))</f>
        <v>Cuota s/ total lugares de residencia 2025</v>
      </c>
    </row>
    <row r="8" spans="1:24" x14ac:dyDescent="0.25">
      <c r="A8" s="1"/>
      <c r="B8" s="153" t="s">
        <v>45</v>
      </c>
      <c r="C8" s="154"/>
      <c r="D8" s="154"/>
      <c r="E8" s="154"/>
      <c r="F8" s="154"/>
      <c r="G8" s="154"/>
      <c r="H8" s="154"/>
      <c r="I8" s="155"/>
      <c r="J8" s="155"/>
      <c r="K8" s="155"/>
      <c r="L8" s="154"/>
      <c r="O8" s="156" t="s">
        <v>51</v>
      </c>
      <c r="P8" s="154"/>
      <c r="Q8" s="154"/>
      <c r="R8" s="154"/>
      <c r="S8" s="154"/>
      <c r="T8" s="154"/>
      <c r="U8" s="155"/>
      <c r="V8" s="155"/>
      <c r="W8" s="155"/>
      <c r="X8" s="154"/>
    </row>
    <row r="9" spans="1:24" x14ac:dyDescent="0.25">
      <c r="A9" s="1"/>
      <c r="B9" s="157" t="s">
        <v>70</v>
      </c>
      <c r="C9" s="177">
        <v>2828227</v>
      </c>
      <c r="D9" s="177">
        <v>1203953</v>
      </c>
      <c r="E9" s="177">
        <v>581695</v>
      </c>
      <c r="F9" s="177">
        <v>2601415</v>
      </c>
      <c r="G9" s="177">
        <v>2985674</v>
      </c>
      <c r="H9" s="177">
        <v>3185454</v>
      </c>
      <c r="I9" s="177">
        <v>3137076</v>
      </c>
      <c r="J9" s="178">
        <f>IFERROR(I9/H9-1,"-")</f>
        <v>-1.5187160134787714E-2</v>
      </c>
      <c r="K9" s="177">
        <f t="shared" ref="K9:K21" si="0">I9-H9</f>
        <v>-48378</v>
      </c>
      <c r="L9" s="178">
        <f t="shared" ref="L9:L21" si="1">I9/I$9</f>
        <v>1</v>
      </c>
      <c r="O9" s="157" t="s">
        <v>70</v>
      </c>
      <c r="P9" s="177">
        <v>13511</v>
      </c>
      <c r="Q9" s="177">
        <v>12246</v>
      </c>
      <c r="R9" s="177">
        <v>25844</v>
      </c>
      <c r="S9" s="177">
        <v>32224</v>
      </c>
      <c r="T9" s="177">
        <v>30825</v>
      </c>
      <c r="U9" s="177">
        <v>29839</v>
      </c>
      <c r="V9" s="178">
        <f>IFERROR(U9/T9-1,"-")</f>
        <v>-3.1987023519870261E-2</v>
      </c>
      <c r="W9" s="177">
        <f>U9-T9</f>
        <v>-986</v>
      </c>
      <c r="X9" s="178">
        <f t="shared" ref="X9:X21" si="2">U9/U$9</f>
        <v>1</v>
      </c>
    </row>
    <row r="10" spans="1:24" x14ac:dyDescent="0.25">
      <c r="A10" s="1" t="s">
        <v>98</v>
      </c>
      <c r="B10" s="160" t="s">
        <v>99</v>
      </c>
      <c r="C10" s="161">
        <v>515664</v>
      </c>
      <c r="D10" s="161">
        <v>167645</v>
      </c>
      <c r="E10" s="161">
        <v>289695</v>
      </c>
      <c r="F10" s="161">
        <v>485338</v>
      </c>
      <c r="G10" s="161">
        <v>531539</v>
      </c>
      <c r="H10" s="161">
        <v>528153</v>
      </c>
      <c r="I10" s="161">
        <v>522237</v>
      </c>
      <c r="J10" s="179">
        <f>IFERROR(I10/H10-1,"-")</f>
        <v>-1.1201299623404548E-2</v>
      </c>
      <c r="K10" s="160">
        <f t="shared" si="0"/>
        <v>-5916</v>
      </c>
      <c r="L10" s="162">
        <f t="shared" si="1"/>
        <v>0.16647253684641367</v>
      </c>
      <c r="O10" s="160" t="s">
        <v>99</v>
      </c>
      <c r="P10" s="161">
        <v>7669</v>
      </c>
      <c r="Q10" s="161">
        <v>7557</v>
      </c>
      <c r="R10" s="161">
        <v>15601</v>
      </c>
      <c r="S10" s="161">
        <v>20436</v>
      </c>
      <c r="T10" s="161">
        <v>17336</v>
      </c>
      <c r="U10" s="161">
        <v>17141</v>
      </c>
      <c r="V10" s="179">
        <f>IFERROR(U10/T10-1,"-")</f>
        <v>-1.1248269497000418E-2</v>
      </c>
      <c r="W10" s="160">
        <f t="shared" ref="W10:W20" si="3">U10-T10</f>
        <v>-195</v>
      </c>
      <c r="X10" s="162">
        <f t="shared" si="2"/>
        <v>0.57444954589631014</v>
      </c>
    </row>
    <row r="11" spans="1:24" x14ac:dyDescent="0.25">
      <c r="A11" s="163" t="s">
        <v>105</v>
      </c>
      <c r="B11" s="164" t="s">
        <v>105</v>
      </c>
      <c r="C11" s="165">
        <v>187622</v>
      </c>
      <c r="D11" s="165">
        <v>59011</v>
      </c>
      <c r="E11" s="165">
        <v>188547</v>
      </c>
      <c r="F11" s="165">
        <v>197229</v>
      </c>
      <c r="G11" s="165">
        <v>210052</v>
      </c>
      <c r="H11" s="165">
        <v>203279</v>
      </c>
      <c r="I11" s="165">
        <v>185957</v>
      </c>
      <c r="J11" s="180">
        <f>IFERROR(I11/H11-1,"-")</f>
        <v>-8.5212933947923841E-2</v>
      </c>
      <c r="K11" s="164">
        <f t="shared" si="0"/>
        <v>-17322</v>
      </c>
      <c r="L11" s="166">
        <f t="shared" si="1"/>
        <v>5.927717403084911E-2</v>
      </c>
      <c r="O11" s="164" t="s">
        <v>105</v>
      </c>
      <c r="P11" s="165">
        <v>4352</v>
      </c>
      <c r="Q11" s="165">
        <v>4335</v>
      </c>
      <c r="R11" s="165">
        <v>7360</v>
      </c>
      <c r="S11" s="165">
        <v>6042</v>
      </c>
      <c r="T11" s="165">
        <v>4738</v>
      </c>
      <c r="U11" s="165">
        <v>5566</v>
      </c>
      <c r="V11" s="180">
        <f>IFERROR(U11/T11-1,"-")</f>
        <v>0.17475728155339798</v>
      </c>
      <c r="W11" s="164">
        <f t="shared" si="3"/>
        <v>828</v>
      </c>
      <c r="X11" s="166">
        <f t="shared" si="2"/>
        <v>0.1865344012869064</v>
      </c>
    </row>
    <row r="12" spans="1:24" x14ac:dyDescent="0.25">
      <c r="A12" s="163" t="s">
        <v>102</v>
      </c>
      <c r="B12" s="164" t="s">
        <v>102</v>
      </c>
      <c r="C12" s="165">
        <v>328042</v>
      </c>
      <c r="D12" s="165">
        <v>108634</v>
      </c>
      <c r="E12" s="165">
        <v>101148</v>
      </c>
      <c r="F12" s="165">
        <v>288109</v>
      </c>
      <c r="G12" s="165">
        <v>321487</v>
      </c>
      <c r="H12" s="165">
        <v>324874</v>
      </c>
      <c r="I12" s="165">
        <v>336280</v>
      </c>
      <c r="J12" s="180">
        <f>IFERROR(I12/H12-1,"-")</f>
        <v>3.5108996103104584E-2</v>
      </c>
      <c r="K12" s="164">
        <f t="shared" si="0"/>
        <v>11406</v>
      </c>
      <c r="L12" s="166">
        <f t="shared" si="1"/>
        <v>0.10719536281556456</v>
      </c>
      <c r="O12" s="164" t="s">
        <v>102</v>
      </c>
      <c r="P12" s="165">
        <v>3317</v>
      </c>
      <c r="Q12" s="165">
        <v>3222</v>
      </c>
      <c r="R12" s="165">
        <v>8241</v>
      </c>
      <c r="S12" s="165">
        <v>14394</v>
      </c>
      <c r="T12" s="165">
        <v>12598</v>
      </c>
      <c r="U12" s="165">
        <v>11575</v>
      </c>
      <c r="V12" s="180">
        <f>IFERROR(U12/T12-1,"-")</f>
        <v>-8.1203365613589429E-2</v>
      </c>
      <c r="W12" s="164">
        <f t="shared" si="3"/>
        <v>-1023</v>
      </c>
      <c r="X12" s="166">
        <f t="shared" si="2"/>
        <v>0.38791514460940379</v>
      </c>
    </row>
    <row r="13" spans="1:24" x14ac:dyDescent="0.25">
      <c r="A13" s="1"/>
      <c r="B13" s="160" t="s">
        <v>109</v>
      </c>
      <c r="C13" s="161">
        <v>2312563</v>
      </c>
      <c r="D13" s="161">
        <v>1036308</v>
      </c>
      <c r="E13" s="161">
        <v>292000</v>
      </c>
      <c r="F13" s="161">
        <v>2116077</v>
      </c>
      <c r="G13" s="161">
        <v>2454135</v>
      </c>
      <c r="H13" s="161">
        <v>2657301</v>
      </c>
      <c r="I13" s="161">
        <v>2614839</v>
      </c>
      <c r="J13" s="179">
        <f>IFERROR(I13/H13-1,"-")</f>
        <v>-1.5979371550306154E-2</v>
      </c>
      <c r="K13" s="160">
        <f t="shared" si="0"/>
        <v>-42462</v>
      </c>
      <c r="L13" s="162">
        <f t="shared" si="1"/>
        <v>0.83352746315358628</v>
      </c>
      <c r="O13" s="160" t="s">
        <v>109</v>
      </c>
      <c r="P13" s="161">
        <v>5842</v>
      </c>
      <c r="Q13" s="161">
        <v>4689</v>
      </c>
      <c r="R13" s="161">
        <v>10243</v>
      </c>
      <c r="S13" s="161">
        <v>11788</v>
      </c>
      <c r="T13" s="161">
        <v>13489</v>
      </c>
      <c r="U13" s="161">
        <v>12698</v>
      </c>
      <c r="V13" s="179">
        <f>IFERROR(U13/T13-1,"-")</f>
        <v>-5.8640373637778964E-2</v>
      </c>
      <c r="W13" s="160">
        <f t="shared" si="3"/>
        <v>-791</v>
      </c>
      <c r="X13" s="162">
        <f t="shared" si="2"/>
        <v>0.4255504541036898</v>
      </c>
    </row>
    <row r="14" spans="1:24" s="57" customFormat="1" x14ac:dyDescent="0.25">
      <c r="B14" s="164" t="s">
        <v>112</v>
      </c>
      <c r="C14" s="165">
        <v>1037733</v>
      </c>
      <c r="D14" s="165">
        <v>424326</v>
      </c>
      <c r="E14" s="165">
        <v>18625</v>
      </c>
      <c r="F14" s="165">
        <v>930564</v>
      </c>
      <c r="G14" s="165">
        <v>1108103</v>
      </c>
      <c r="H14" s="165">
        <v>1207223</v>
      </c>
      <c r="I14" s="165">
        <v>1201223</v>
      </c>
      <c r="J14" s="180">
        <f t="shared" ref="J14:J21" si="4">IFERROR(I14/H14-1,"-")</f>
        <v>-4.9700842346442897E-3</v>
      </c>
      <c r="K14" s="164">
        <f t="shared" si="0"/>
        <v>-6000</v>
      </c>
      <c r="L14" s="166">
        <f t="shared" si="1"/>
        <v>0.38291166678779859</v>
      </c>
      <c r="O14" s="164" t="s">
        <v>112</v>
      </c>
      <c r="P14" s="165">
        <v>1092</v>
      </c>
      <c r="Q14" s="165">
        <v>151</v>
      </c>
      <c r="R14" s="165">
        <v>1467</v>
      </c>
      <c r="S14" s="165">
        <v>1759</v>
      </c>
      <c r="T14" s="165">
        <v>2040</v>
      </c>
      <c r="U14" s="165">
        <v>1691</v>
      </c>
      <c r="V14" s="180">
        <f t="shared" ref="V14:V21" si="5">IFERROR(U14/T14-1,"-")</f>
        <v>-0.17107843137254897</v>
      </c>
      <c r="W14" s="164">
        <f t="shared" si="3"/>
        <v>-349</v>
      </c>
      <c r="X14" s="166">
        <f t="shared" si="2"/>
        <v>5.6670799959784177E-2</v>
      </c>
    </row>
    <row r="15" spans="1:24" s="57" customFormat="1" x14ac:dyDescent="0.25">
      <c r="B15" s="164" t="s">
        <v>115</v>
      </c>
      <c r="C15" s="165">
        <v>314997</v>
      </c>
      <c r="D15" s="165">
        <v>134974</v>
      </c>
      <c r="E15" s="165">
        <v>45898</v>
      </c>
      <c r="F15" s="165">
        <v>228350</v>
      </c>
      <c r="G15" s="165">
        <v>267358</v>
      </c>
      <c r="H15" s="165">
        <v>284443</v>
      </c>
      <c r="I15" s="165">
        <v>275648</v>
      </c>
      <c r="J15" s="180">
        <f t="shared" si="4"/>
        <v>-3.092007889102566E-2</v>
      </c>
      <c r="K15" s="164">
        <f t="shared" si="0"/>
        <v>-8795</v>
      </c>
      <c r="L15" s="166">
        <f t="shared" si="1"/>
        <v>8.7867810661902995E-2</v>
      </c>
      <c r="O15" s="164" t="s">
        <v>115</v>
      </c>
      <c r="P15" s="165">
        <v>1303</v>
      </c>
      <c r="Q15" s="165">
        <v>770</v>
      </c>
      <c r="R15" s="165">
        <v>2210</v>
      </c>
      <c r="S15" s="165">
        <v>2415</v>
      </c>
      <c r="T15" s="165">
        <v>2894</v>
      </c>
      <c r="U15" s="165">
        <v>2601</v>
      </c>
      <c r="V15" s="180">
        <f t="shared" si="5"/>
        <v>-0.1012439530062198</v>
      </c>
      <c r="W15" s="164">
        <f t="shared" si="3"/>
        <v>-293</v>
      </c>
      <c r="X15" s="166">
        <f t="shared" si="2"/>
        <v>8.7167800529508357E-2</v>
      </c>
    </row>
    <row r="16" spans="1:24" x14ac:dyDescent="0.25">
      <c r="A16" s="1"/>
      <c r="B16" s="164" t="s">
        <v>118</v>
      </c>
      <c r="C16" s="165">
        <v>101055</v>
      </c>
      <c r="D16" s="165">
        <v>44807</v>
      </c>
      <c r="E16" s="165">
        <v>50237</v>
      </c>
      <c r="F16" s="165">
        <v>110914</v>
      </c>
      <c r="G16" s="165">
        <v>128974</v>
      </c>
      <c r="H16" s="165">
        <v>141932</v>
      </c>
      <c r="I16" s="165">
        <v>130336</v>
      </c>
      <c r="J16" s="180">
        <f t="shared" si="4"/>
        <v>-8.17010962996364E-2</v>
      </c>
      <c r="K16" s="164">
        <f t="shared" si="0"/>
        <v>-11596</v>
      </c>
      <c r="L16" s="166">
        <f t="shared" si="1"/>
        <v>4.1546969215919535E-2</v>
      </c>
      <c r="O16" s="164" t="s">
        <v>118</v>
      </c>
      <c r="P16" s="165">
        <v>1217</v>
      </c>
      <c r="Q16" s="165">
        <v>1932</v>
      </c>
      <c r="R16" s="165">
        <v>1888</v>
      </c>
      <c r="S16" s="165">
        <v>2169</v>
      </c>
      <c r="T16" s="165">
        <v>2188</v>
      </c>
      <c r="U16" s="165">
        <v>2123</v>
      </c>
      <c r="V16" s="180">
        <f t="shared" si="5"/>
        <v>-2.9707495429616038E-2</v>
      </c>
      <c r="W16" s="164">
        <f t="shared" si="3"/>
        <v>-65</v>
      </c>
      <c r="X16" s="166">
        <f t="shared" si="2"/>
        <v>7.1148496933543345E-2</v>
      </c>
    </row>
    <row r="17" spans="1:24" x14ac:dyDescent="0.25">
      <c r="A17" s="1"/>
      <c r="B17" s="164" t="s">
        <v>125</v>
      </c>
      <c r="C17" s="165">
        <v>83146</v>
      </c>
      <c r="D17" s="165">
        <v>34172</v>
      </c>
      <c r="E17" s="165">
        <v>10713</v>
      </c>
      <c r="F17" s="165">
        <v>109049</v>
      </c>
      <c r="G17" s="165">
        <v>96268</v>
      </c>
      <c r="H17" s="165">
        <v>102294</v>
      </c>
      <c r="I17" s="165">
        <v>94577</v>
      </c>
      <c r="J17" s="180">
        <f t="shared" si="4"/>
        <v>-7.5439419711811007E-2</v>
      </c>
      <c r="K17" s="164">
        <f t="shared" si="0"/>
        <v>-7717</v>
      </c>
      <c r="L17" s="166">
        <f t="shared" si="1"/>
        <v>3.0148137947566461E-2</v>
      </c>
      <c r="O17" s="164" t="s">
        <v>125</v>
      </c>
      <c r="P17" s="165">
        <v>278</v>
      </c>
      <c r="Q17" s="165">
        <v>93</v>
      </c>
      <c r="R17" s="165">
        <v>731</v>
      </c>
      <c r="S17" s="165">
        <v>585</v>
      </c>
      <c r="T17" s="165">
        <v>661</v>
      </c>
      <c r="U17" s="165">
        <v>606</v>
      </c>
      <c r="V17" s="180">
        <f t="shared" si="5"/>
        <v>-8.3207261724659642E-2</v>
      </c>
      <c r="W17" s="164">
        <f t="shared" si="3"/>
        <v>-55</v>
      </c>
      <c r="X17" s="166">
        <f t="shared" si="2"/>
        <v>2.0308991588189954E-2</v>
      </c>
    </row>
    <row r="18" spans="1:24" x14ac:dyDescent="0.25">
      <c r="A18" s="1"/>
      <c r="B18" s="164" t="s">
        <v>121</v>
      </c>
      <c r="C18" s="165">
        <v>80654</v>
      </c>
      <c r="D18" s="165">
        <v>38408</v>
      </c>
      <c r="E18" s="165">
        <v>16145</v>
      </c>
      <c r="F18" s="165">
        <v>88976</v>
      </c>
      <c r="G18" s="165">
        <v>85647</v>
      </c>
      <c r="H18" s="165">
        <v>93857</v>
      </c>
      <c r="I18" s="165">
        <v>85771</v>
      </c>
      <c r="J18" s="180">
        <f t="shared" si="4"/>
        <v>-8.6152338131412654E-2</v>
      </c>
      <c r="K18" s="164">
        <f t="shared" si="0"/>
        <v>-8086</v>
      </c>
      <c r="L18" s="166">
        <f t="shared" si="1"/>
        <v>2.7341065374252967E-2</v>
      </c>
      <c r="O18" s="164" t="s">
        <v>121</v>
      </c>
      <c r="P18" s="165">
        <v>141</v>
      </c>
      <c r="Q18" s="165">
        <v>160</v>
      </c>
      <c r="R18" s="165">
        <v>403</v>
      </c>
      <c r="S18" s="165">
        <v>312</v>
      </c>
      <c r="T18" s="165">
        <v>555</v>
      </c>
      <c r="U18" s="165">
        <v>527</v>
      </c>
      <c r="V18" s="180">
        <f t="shared" si="5"/>
        <v>-5.045045045045049E-2</v>
      </c>
      <c r="W18" s="164">
        <f t="shared" si="3"/>
        <v>-28</v>
      </c>
      <c r="X18" s="166">
        <f t="shared" si="2"/>
        <v>1.7661449780488621E-2</v>
      </c>
    </row>
    <row r="19" spans="1:24" x14ac:dyDescent="0.25">
      <c r="A19" s="1"/>
      <c r="B19" s="164" t="s">
        <v>130</v>
      </c>
      <c r="C19" s="165">
        <v>57042</v>
      </c>
      <c r="D19" s="165">
        <v>35462</v>
      </c>
      <c r="E19" s="165">
        <v>915</v>
      </c>
      <c r="F19" s="165">
        <v>40864</v>
      </c>
      <c r="G19" s="165">
        <v>52027</v>
      </c>
      <c r="H19" s="165">
        <v>47998</v>
      </c>
      <c r="I19" s="165">
        <v>45472</v>
      </c>
      <c r="J19" s="180">
        <f t="shared" si="4"/>
        <v>-5.2627192799699962E-2</v>
      </c>
      <c r="K19" s="164">
        <f t="shared" si="0"/>
        <v>-2526</v>
      </c>
      <c r="L19" s="166">
        <f t="shared" si="1"/>
        <v>1.449502657889066E-2</v>
      </c>
      <c r="O19" s="164" t="s">
        <v>130</v>
      </c>
      <c r="P19" s="165">
        <v>125</v>
      </c>
      <c r="Q19" s="165">
        <v>17</v>
      </c>
      <c r="R19" s="165">
        <v>182</v>
      </c>
      <c r="S19" s="165">
        <v>90</v>
      </c>
      <c r="T19" s="165">
        <v>163</v>
      </c>
      <c r="U19" s="165">
        <v>128</v>
      </c>
      <c r="V19" s="180">
        <f t="shared" si="5"/>
        <v>-0.21472392638036808</v>
      </c>
      <c r="W19" s="164">
        <f t="shared" si="3"/>
        <v>-35</v>
      </c>
      <c r="X19" s="166">
        <f t="shared" si="2"/>
        <v>4.2896879922249406E-3</v>
      </c>
    </row>
    <row r="20" spans="1:24" x14ac:dyDescent="0.25">
      <c r="A20" s="163" t="s">
        <v>146</v>
      </c>
      <c r="B20" s="164" t="s">
        <v>133</v>
      </c>
      <c r="C20" s="165">
        <v>74682</v>
      </c>
      <c r="D20" s="165">
        <v>51540</v>
      </c>
      <c r="E20" s="165">
        <v>3417</v>
      </c>
      <c r="F20" s="165">
        <v>33100</v>
      </c>
      <c r="G20" s="165">
        <v>48129</v>
      </c>
      <c r="H20" s="165">
        <v>52445</v>
      </c>
      <c r="I20" s="165">
        <v>41410</v>
      </c>
      <c r="J20" s="180">
        <f t="shared" si="4"/>
        <v>-0.21041090666412432</v>
      </c>
      <c r="K20" s="164">
        <f t="shared" si="0"/>
        <v>-11035</v>
      </c>
      <c r="L20" s="166">
        <f t="shared" si="1"/>
        <v>1.3200190240848484E-2</v>
      </c>
      <c r="O20" s="164" t="s">
        <v>133</v>
      </c>
      <c r="P20" s="165">
        <v>70</v>
      </c>
      <c r="Q20" s="165">
        <v>44</v>
      </c>
      <c r="R20" s="165">
        <v>100</v>
      </c>
      <c r="S20" s="165">
        <v>166</v>
      </c>
      <c r="T20" s="165">
        <v>306</v>
      </c>
      <c r="U20" s="165">
        <v>152</v>
      </c>
      <c r="V20" s="180">
        <f t="shared" si="5"/>
        <v>-0.50326797385620914</v>
      </c>
      <c r="W20" s="164">
        <f t="shared" si="3"/>
        <v>-154</v>
      </c>
      <c r="X20" s="166">
        <f t="shared" si="2"/>
        <v>5.0940044907671171E-3</v>
      </c>
    </row>
    <row r="21" spans="1:24" x14ac:dyDescent="0.25">
      <c r="A21" s="168" t="s">
        <v>147</v>
      </c>
      <c r="B21" s="169" t="s">
        <v>147</v>
      </c>
      <c r="C21" s="170">
        <f t="shared" ref="C21" si="6">C13-SUM(C14:C20)</f>
        <v>563254</v>
      </c>
      <c r="D21" s="170">
        <f t="shared" ref="D21:I21" si="7">D13-SUM(D14:D20)</f>
        <v>272619</v>
      </c>
      <c r="E21" s="170">
        <f t="shared" si="7"/>
        <v>146050</v>
      </c>
      <c r="F21" s="170">
        <f t="shared" si="7"/>
        <v>574260</v>
      </c>
      <c r="G21" s="170">
        <f t="shared" si="7"/>
        <v>667629</v>
      </c>
      <c r="H21" s="170">
        <f t="shared" si="7"/>
        <v>727109</v>
      </c>
      <c r="I21" s="170">
        <f t="shared" si="7"/>
        <v>740402</v>
      </c>
      <c r="J21" s="181">
        <f t="shared" si="4"/>
        <v>1.8281990733163722E-2</v>
      </c>
      <c r="K21" s="169">
        <f t="shared" si="0"/>
        <v>13293</v>
      </c>
      <c r="L21" s="171">
        <f t="shared" si="1"/>
        <v>0.23601659634640665</v>
      </c>
      <c r="O21" s="169" t="s">
        <v>147</v>
      </c>
      <c r="P21" s="170">
        <f t="shared" ref="P21:U21" si="8">P13-SUM(P14:P20)</f>
        <v>1616</v>
      </c>
      <c r="Q21" s="170">
        <f t="shared" si="8"/>
        <v>1522</v>
      </c>
      <c r="R21" s="170">
        <f t="shared" si="8"/>
        <v>3262</v>
      </c>
      <c r="S21" s="170">
        <f t="shared" si="8"/>
        <v>4292</v>
      </c>
      <c r="T21" s="170">
        <f t="shared" si="8"/>
        <v>4682</v>
      </c>
      <c r="U21" s="170">
        <f t="shared" si="8"/>
        <v>4870</v>
      </c>
      <c r="V21" s="181">
        <f t="shared" si="5"/>
        <v>4.0153780435711273E-2</v>
      </c>
      <c r="W21" s="169">
        <f>U21-T21</f>
        <v>188</v>
      </c>
      <c r="X21" s="171">
        <f t="shared" si="2"/>
        <v>0.16320922282918329</v>
      </c>
    </row>
    <row r="22" spans="1:24" x14ac:dyDescent="0.25">
      <c r="A22" s="1"/>
      <c r="B22" s="156" t="s">
        <v>46</v>
      </c>
      <c r="C22" s="154"/>
      <c r="D22" s="154"/>
      <c r="E22" s="154"/>
      <c r="F22" s="154"/>
      <c r="G22" s="154"/>
      <c r="H22" s="154"/>
      <c r="I22" s="154"/>
      <c r="J22" s="155"/>
      <c r="K22" s="155"/>
      <c r="L22" s="154"/>
    </row>
    <row r="23" spans="1:24" x14ac:dyDescent="0.25">
      <c r="A23" s="1"/>
      <c r="B23" s="157" t="s">
        <v>70</v>
      </c>
      <c r="C23" s="177">
        <v>1049475</v>
      </c>
      <c r="D23" s="177">
        <v>439711</v>
      </c>
      <c r="E23" s="177">
        <v>213521</v>
      </c>
      <c r="F23" s="177">
        <v>995985</v>
      </c>
      <c r="G23" s="177">
        <v>1104273</v>
      </c>
      <c r="H23" s="177">
        <v>1156836</v>
      </c>
      <c r="I23" s="177">
        <v>1098545</v>
      </c>
      <c r="J23" s="178">
        <f>IFERROR(I23/H23-1,"-")</f>
        <v>-5.0388300502404837E-2</v>
      </c>
      <c r="K23" s="177">
        <f>I23-H23</f>
        <v>-58291</v>
      </c>
      <c r="L23" s="178">
        <f t="shared" ref="L23:L35" si="9">I23/I$9</f>
        <v>0.35018118783223612</v>
      </c>
    </row>
    <row r="24" spans="1:24" x14ac:dyDescent="0.25">
      <c r="A24" s="1" t="s">
        <v>98</v>
      </c>
      <c r="B24" s="160" t="s">
        <v>99</v>
      </c>
      <c r="C24" s="161">
        <v>100616</v>
      </c>
      <c r="D24" s="161">
        <v>24401</v>
      </c>
      <c r="E24" s="161">
        <v>102997</v>
      </c>
      <c r="F24" s="161">
        <v>96500</v>
      </c>
      <c r="G24" s="161">
        <v>89535</v>
      </c>
      <c r="H24" s="161">
        <v>78610</v>
      </c>
      <c r="I24" s="161">
        <v>69532</v>
      </c>
      <c r="J24" s="179">
        <f>IFERROR(I24/H24-1,"-")</f>
        <v>-0.11548149090446513</v>
      </c>
      <c r="K24" s="160">
        <f t="shared" ref="K24:K34" si="10">I24-H24</f>
        <v>-9078</v>
      </c>
      <c r="L24" s="162">
        <f t="shared" si="9"/>
        <v>2.2164588935684057E-2</v>
      </c>
    </row>
    <row r="25" spans="1:24" x14ac:dyDescent="0.25">
      <c r="A25" s="163" t="s">
        <v>105</v>
      </c>
      <c r="B25" s="164" t="s">
        <v>105</v>
      </c>
      <c r="C25" s="165">
        <v>47827</v>
      </c>
      <c r="D25" s="165">
        <v>10723</v>
      </c>
      <c r="E25" s="165">
        <v>64209</v>
      </c>
      <c r="F25" s="165">
        <v>42222</v>
      </c>
      <c r="G25" s="165">
        <v>37061</v>
      </c>
      <c r="H25" s="165">
        <v>29344</v>
      </c>
      <c r="I25" s="165">
        <v>28690</v>
      </c>
      <c r="J25" s="180">
        <f>IFERROR(I25/H25-1,"-")</f>
        <v>-2.2287350054525645E-2</v>
      </c>
      <c r="K25" s="164">
        <f t="shared" si="10"/>
        <v>-654</v>
      </c>
      <c r="L25" s="166">
        <f t="shared" si="9"/>
        <v>9.1454590198006037E-3</v>
      </c>
    </row>
    <row r="26" spans="1:24" x14ac:dyDescent="0.25">
      <c r="A26" s="163" t="s">
        <v>102</v>
      </c>
      <c r="B26" s="164" t="s">
        <v>102</v>
      </c>
      <c r="C26" s="165">
        <v>52789</v>
      </c>
      <c r="D26" s="165">
        <v>13678</v>
      </c>
      <c r="E26" s="165">
        <v>38788</v>
      </c>
      <c r="F26" s="165">
        <v>54278</v>
      </c>
      <c r="G26" s="165">
        <v>52474</v>
      </c>
      <c r="H26" s="165">
        <v>49266</v>
      </c>
      <c r="I26" s="165">
        <v>40842</v>
      </c>
      <c r="J26" s="180">
        <f>IFERROR(I26/H26-1,"-")</f>
        <v>-0.17099013518450856</v>
      </c>
      <c r="K26" s="164">
        <f t="shared" si="10"/>
        <v>-8424</v>
      </c>
      <c r="L26" s="166">
        <f t="shared" si="9"/>
        <v>1.3019129915883453E-2</v>
      </c>
    </row>
    <row r="27" spans="1:24" x14ac:dyDescent="0.25">
      <c r="A27" s="1"/>
      <c r="B27" s="160" t="s">
        <v>109</v>
      </c>
      <c r="C27" s="161">
        <v>948859</v>
      </c>
      <c r="D27" s="161">
        <v>415310</v>
      </c>
      <c r="E27" s="161">
        <v>110524</v>
      </c>
      <c r="F27" s="161">
        <v>899485</v>
      </c>
      <c r="G27" s="161">
        <v>1014738</v>
      </c>
      <c r="H27" s="161">
        <v>1078226</v>
      </c>
      <c r="I27" s="161">
        <v>1029013</v>
      </c>
      <c r="J27" s="179">
        <f>IFERROR(I27/H27-1,"-")</f>
        <v>-4.5642564731327218E-2</v>
      </c>
      <c r="K27" s="160">
        <f t="shared" si="10"/>
        <v>-49213</v>
      </c>
      <c r="L27" s="162">
        <f t="shared" si="9"/>
        <v>0.3280165988965521</v>
      </c>
    </row>
    <row r="28" spans="1:24" s="57" customFormat="1" x14ac:dyDescent="0.25">
      <c r="B28" s="164" t="s">
        <v>112</v>
      </c>
      <c r="C28" s="165">
        <v>467750</v>
      </c>
      <c r="D28" s="165">
        <v>190725</v>
      </c>
      <c r="E28" s="165">
        <v>6934</v>
      </c>
      <c r="F28" s="165">
        <v>435000</v>
      </c>
      <c r="G28" s="165">
        <v>512220</v>
      </c>
      <c r="H28" s="165">
        <v>549563</v>
      </c>
      <c r="I28" s="165">
        <v>534615</v>
      </c>
      <c r="J28" s="180">
        <f t="shared" ref="J28:J35" si="11">IFERROR(I28/H28-1,"-")</f>
        <v>-2.7199793290305196E-2</v>
      </c>
      <c r="K28" s="164">
        <f t="shared" si="10"/>
        <v>-14948</v>
      </c>
      <c r="L28" s="166">
        <f t="shared" si="9"/>
        <v>0.17041824935066921</v>
      </c>
    </row>
    <row r="29" spans="1:24" s="57" customFormat="1" x14ac:dyDescent="0.25">
      <c r="B29" s="164" t="s">
        <v>115</v>
      </c>
      <c r="C29" s="165">
        <v>124521</v>
      </c>
      <c r="D29" s="165">
        <v>50910</v>
      </c>
      <c r="E29" s="165">
        <v>18570</v>
      </c>
      <c r="F29" s="165">
        <v>99278</v>
      </c>
      <c r="G29" s="165">
        <v>110170</v>
      </c>
      <c r="H29" s="165">
        <v>111801</v>
      </c>
      <c r="I29" s="165">
        <v>103862</v>
      </c>
      <c r="J29" s="180">
        <f t="shared" si="11"/>
        <v>-7.1010098299657431E-2</v>
      </c>
      <c r="K29" s="164">
        <f t="shared" si="10"/>
        <v>-7939</v>
      </c>
      <c r="L29" s="166">
        <f t="shared" si="9"/>
        <v>3.3107900478024761E-2</v>
      </c>
    </row>
    <row r="30" spans="1:24" x14ac:dyDescent="0.25">
      <c r="A30" s="1"/>
      <c r="B30" s="164" t="s">
        <v>118</v>
      </c>
      <c r="C30" s="165">
        <v>33258</v>
      </c>
      <c r="D30" s="165">
        <v>16130</v>
      </c>
      <c r="E30" s="165">
        <v>18251</v>
      </c>
      <c r="F30" s="165">
        <v>37612</v>
      </c>
      <c r="G30" s="165">
        <v>39466</v>
      </c>
      <c r="H30" s="165">
        <v>40091</v>
      </c>
      <c r="I30" s="165">
        <v>31625</v>
      </c>
      <c r="J30" s="180">
        <f t="shared" si="11"/>
        <v>-0.21116958918460504</v>
      </c>
      <c r="K30" s="164">
        <f t="shared" si="10"/>
        <v>-8466</v>
      </c>
      <c r="L30" s="166">
        <f t="shared" si="9"/>
        <v>1.0081043621512516E-2</v>
      </c>
    </row>
    <row r="31" spans="1:24" x14ac:dyDescent="0.25">
      <c r="A31" s="1"/>
      <c r="B31" s="164" t="s">
        <v>125</v>
      </c>
      <c r="C31" s="165">
        <v>37236</v>
      </c>
      <c r="D31" s="165">
        <v>15632</v>
      </c>
      <c r="E31" s="165">
        <v>4369</v>
      </c>
      <c r="F31" s="165">
        <v>51109</v>
      </c>
      <c r="G31" s="165">
        <v>42938</v>
      </c>
      <c r="H31" s="165">
        <v>42702</v>
      </c>
      <c r="I31" s="165">
        <v>39958</v>
      </c>
      <c r="J31" s="180">
        <f t="shared" si="11"/>
        <v>-6.4259285279377965E-2</v>
      </c>
      <c r="K31" s="164">
        <f t="shared" si="10"/>
        <v>-2744</v>
      </c>
      <c r="L31" s="166">
        <f t="shared" si="9"/>
        <v>1.2737338846747735E-2</v>
      </c>
    </row>
    <row r="32" spans="1:24" x14ac:dyDescent="0.25">
      <c r="A32" s="1"/>
      <c r="B32" s="164" t="s">
        <v>121</v>
      </c>
      <c r="C32" s="165">
        <v>43762</v>
      </c>
      <c r="D32" s="165">
        <v>20897</v>
      </c>
      <c r="E32" s="165">
        <v>9058</v>
      </c>
      <c r="F32" s="165">
        <v>52480</v>
      </c>
      <c r="G32" s="165">
        <v>46351</v>
      </c>
      <c r="H32" s="165">
        <v>49060</v>
      </c>
      <c r="I32" s="165">
        <v>46472</v>
      </c>
      <c r="J32" s="180">
        <f t="shared" si="11"/>
        <v>-5.2751732572360321E-2</v>
      </c>
      <c r="K32" s="164">
        <f t="shared" si="10"/>
        <v>-2588</v>
      </c>
      <c r="L32" s="166">
        <f t="shared" si="9"/>
        <v>1.4813794756645998E-2</v>
      </c>
    </row>
    <row r="33" spans="1:12" x14ac:dyDescent="0.25">
      <c r="A33" s="1"/>
      <c r="B33" s="164" t="s">
        <v>130</v>
      </c>
      <c r="C33" s="165">
        <v>24056</v>
      </c>
      <c r="D33" s="165">
        <v>14159</v>
      </c>
      <c r="E33" s="165">
        <v>200</v>
      </c>
      <c r="F33" s="165">
        <v>15872</v>
      </c>
      <c r="G33" s="165">
        <v>18346</v>
      </c>
      <c r="H33" s="165">
        <v>17354</v>
      </c>
      <c r="I33" s="165">
        <v>15812</v>
      </c>
      <c r="J33" s="180">
        <f t="shared" si="11"/>
        <v>-8.8855595251815189E-2</v>
      </c>
      <c r="K33" s="164">
        <f t="shared" si="10"/>
        <v>-1542</v>
      </c>
      <c r="L33" s="166">
        <f t="shared" si="9"/>
        <v>5.0403624266673807E-3</v>
      </c>
    </row>
    <row r="34" spans="1:12" x14ac:dyDescent="0.25">
      <c r="A34" s="163" t="s">
        <v>146</v>
      </c>
      <c r="B34" s="164" t="s">
        <v>133</v>
      </c>
      <c r="C34" s="165">
        <v>23519</v>
      </c>
      <c r="D34" s="165">
        <v>16043</v>
      </c>
      <c r="E34" s="165">
        <v>430</v>
      </c>
      <c r="F34" s="165">
        <v>10169</v>
      </c>
      <c r="G34" s="165">
        <v>16799</v>
      </c>
      <c r="H34" s="165">
        <v>17210</v>
      </c>
      <c r="I34" s="165">
        <v>13635</v>
      </c>
      <c r="J34" s="180">
        <f t="shared" si="11"/>
        <v>-0.20772806507844277</v>
      </c>
      <c r="K34" s="164">
        <f t="shared" si="10"/>
        <v>-3575</v>
      </c>
      <c r="L34" s="166">
        <f t="shared" si="9"/>
        <v>4.3464041036940133E-3</v>
      </c>
    </row>
    <row r="35" spans="1:12" x14ac:dyDescent="0.25">
      <c r="A35" s="168" t="s">
        <v>147</v>
      </c>
      <c r="B35" s="169" t="s">
        <v>147</v>
      </c>
      <c r="C35" s="170">
        <f t="shared" ref="C35" si="12">C27-SUM(C28:C34)</f>
        <v>194757</v>
      </c>
      <c r="D35" s="170">
        <f t="shared" ref="D35:I35" si="13">D27-SUM(D28:D34)</f>
        <v>90814</v>
      </c>
      <c r="E35" s="170">
        <f t="shared" si="13"/>
        <v>52712</v>
      </c>
      <c r="F35" s="170">
        <f t="shared" si="13"/>
        <v>197965</v>
      </c>
      <c r="G35" s="170">
        <f t="shared" si="13"/>
        <v>228448</v>
      </c>
      <c r="H35" s="170">
        <f t="shared" si="13"/>
        <v>250445</v>
      </c>
      <c r="I35" s="170">
        <f t="shared" si="13"/>
        <v>243034</v>
      </c>
      <c r="J35" s="181">
        <f t="shared" si="11"/>
        <v>-2.9591327437161863E-2</v>
      </c>
      <c r="K35" s="169">
        <f>I35-H35</f>
        <v>-7411</v>
      </c>
      <c r="L35" s="171">
        <f t="shared" si="9"/>
        <v>7.747150531259045E-2</v>
      </c>
    </row>
    <row r="36" spans="1:12" x14ac:dyDescent="0.25">
      <c r="A36" s="1"/>
      <c r="B36" s="156" t="s">
        <v>47</v>
      </c>
      <c r="C36" s="154"/>
      <c r="D36" s="154"/>
      <c r="E36" s="154"/>
      <c r="F36" s="154"/>
      <c r="G36" s="154"/>
      <c r="H36" s="154"/>
      <c r="I36" s="154"/>
      <c r="J36" s="155"/>
      <c r="K36" s="155"/>
      <c r="L36" s="154"/>
    </row>
    <row r="37" spans="1:12" x14ac:dyDescent="0.25">
      <c r="A37" s="1"/>
      <c r="B37" s="157" t="s">
        <v>70</v>
      </c>
      <c r="C37" s="177">
        <v>781980</v>
      </c>
      <c r="D37" s="177">
        <v>324285</v>
      </c>
      <c r="E37" s="177">
        <v>93297</v>
      </c>
      <c r="F37" s="177">
        <v>684265</v>
      </c>
      <c r="G37" s="177">
        <v>769680</v>
      </c>
      <c r="H37" s="177">
        <v>813934</v>
      </c>
      <c r="I37" s="177">
        <v>831831</v>
      </c>
      <c r="J37" s="178">
        <f>IFERROR(I37/H37-1,"-")</f>
        <v>2.1988269319134002E-2</v>
      </c>
      <c r="K37" s="177">
        <f>I37-H37</f>
        <v>17897</v>
      </c>
      <c r="L37" s="178">
        <f t="shared" ref="L37:L49" si="14">I37/I$9</f>
        <v>0.26516125207039931</v>
      </c>
    </row>
    <row r="38" spans="1:12" x14ac:dyDescent="0.25">
      <c r="A38" s="1" t="s">
        <v>98</v>
      </c>
      <c r="B38" s="160" t="s">
        <v>99</v>
      </c>
      <c r="C38" s="161">
        <v>61010</v>
      </c>
      <c r="D38" s="161">
        <v>17239</v>
      </c>
      <c r="E38" s="161">
        <v>28671</v>
      </c>
      <c r="F38" s="161">
        <v>55882</v>
      </c>
      <c r="G38" s="161">
        <v>53759</v>
      </c>
      <c r="H38" s="161">
        <v>53134</v>
      </c>
      <c r="I38" s="161">
        <v>55422</v>
      </c>
      <c r="J38" s="179">
        <f>IFERROR(I38/H38-1,"-")</f>
        <v>4.3060940264237679E-2</v>
      </c>
      <c r="K38" s="160">
        <f t="shared" ref="K38:K48" si="15">I38-H38</f>
        <v>2288</v>
      </c>
      <c r="L38" s="162">
        <f t="shared" si="14"/>
        <v>1.7666769947556258E-2</v>
      </c>
    </row>
    <row r="39" spans="1:12" x14ac:dyDescent="0.25">
      <c r="A39" s="163" t="s">
        <v>105</v>
      </c>
      <c r="B39" s="164" t="s">
        <v>105</v>
      </c>
      <c r="C39" s="165">
        <v>23644</v>
      </c>
      <c r="D39" s="165">
        <v>6178</v>
      </c>
      <c r="E39" s="165">
        <v>22154</v>
      </c>
      <c r="F39" s="165">
        <v>22273</v>
      </c>
      <c r="G39" s="165">
        <v>21187</v>
      </c>
      <c r="H39" s="165">
        <v>23115</v>
      </c>
      <c r="I39" s="165">
        <v>22008</v>
      </c>
      <c r="J39" s="180">
        <f>IFERROR(I39/H39-1,"-")</f>
        <v>-4.7890979883192686E-2</v>
      </c>
      <c r="K39" s="164">
        <f t="shared" si="15"/>
        <v>-1107</v>
      </c>
      <c r="L39" s="166">
        <f t="shared" si="14"/>
        <v>7.015450056039446E-3</v>
      </c>
    </row>
    <row r="40" spans="1:12" x14ac:dyDescent="0.25">
      <c r="A40" s="163" t="s">
        <v>102</v>
      </c>
      <c r="B40" s="164" t="s">
        <v>102</v>
      </c>
      <c r="C40" s="165">
        <v>37366</v>
      </c>
      <c r="D40" s="165">
        <v>11061</v>
      </c>
      <c r="E40" s="165">
        <v>6517</v>
      </c>
      <c r="F40" s="165">
        <v>33609</v>
      </c>
      <c r="G40" s="165">
        <v>32572</v>
      </c>
      <c r="H40" s="165">
        <v>30019</v>
      </c>
      <c r="I40" s="165">
        <v>33414</v>
      </c>
      <c r="J40" s="180">
        <f>IFERROR(I40/H40-1,"-")</f>
        <v>0.11309503980812163</v>
      </c>
      <c r="K40" s="164">
        <f t="shared" si="15"/>
        <v>3395</v>
      </c>
      <c r="L40" s="166">
        <f t="shared" si="14"/>
        <v>1.0651319891516815E-2</v>
      </c>
    </row>
    <row r="41" spans="1:12" x14ac:dyDescent="0.25">
      <c r="A41" s="1"/>
      <c r="B41" s="160" t="s">
        <v>109</v>
      </c>
      <c r="C41" s="161">
        <v>720970</v>
      </c>
      <c r="D41" s="161">
        <v>307046</v>
      </c>
      <c r="E41" s="161">
        <v>64626</v>
      </c>
      <c r="F41" s="161">
        <v>628383</v>
      </c>
      <c r="G41" s="161">
        <v>715921</v>
      </c>
      <c r="H41" s="161">
        <v>760800</v>
      </c>
      <c r="I41" s="161">
        <v>776409</v>
      </c>
      <c r="J41" s="179">
        <f>IFERROR(I41/H41-1,"-")</f>
        <v>2.0516561514195564E-2</v>
      </c>
      <c r="K41" s="160">
        <f t="shared" si="15"/>
        <v>15609</v>
      </c>
      <c r="L41" s="162">
        <f t="shared" si="14"/>
        <v>0.24749448212284306</v>
      </c>
    </row>
    <row r="42" spans="1:12" s="57" customFormat="1" x14ac:dyDescent="0.25">
      <c r="B42" s="164" t="s">
        <v>112</v>
      </c>
      <c r="C42" s="165">
        <v>382110</v>
      </c>
      <c r="D42" s="165">
        <v>140970</v>
      </c>
      <c r="E42" s="165">
        <v>3417</v>
      </c>
      <c r="F42" s="165">
        <v>306586</v>
      </c>
      <c r="G42" s="165">
        <v>360210</v>
      </c>
      <c r="H42" s="165">
        <v>391918</v>
      </c>
      <c r="I42" s="165">
        <v>399237</v>
      </c>
      <c r="J42" s="180">
        <f t="shared" ref="J42:J49" si="16">IFERROR(I42/H42-1,"-")</f>
        <v>1.8674824835807513E-2</v>
      </c>
      <c r="K42" s="164">
        <f t="shared" si="15"/>
        <v>7319</v>
      </c>
      <c r="L42" s="166">
        <f t="shared" si="14"/>
        <v>0.12726405098250729</v>
      </c>
    </row>
    <row r="43" spans="1:12" s="57" customFormat="1" x14ac:dyDescent="0.25">
      <c r="B43" s="164" t="s">
        <v>115</v>
      </c>
      <c r="C43" s="165">
        <v>34729</v>
      </c>
      <c r="D43" s="165">
        <v>14886</v>
      </c>
      <c r="E43" s="165">
        <v>4890</v>
      </c>
      <c r="F43" s="165">
        <v>22405</v>
      </c>
      <c r="G43" s="165">
        <v>27868</v>
      </c>
      <c r="H43" s="165">
        <v>27250</v>
      </c>
      <c r="I43" s="165">
        <v>28862</v>
      </c>
      <c r="J43" s="180">
        <f t="shared" si="16"/>
        <v>5.9155963302752301E-2</v>
      </c>
      <c r="K43" s="164">
        <f t="shared" si="15"/>
        <v>1612</v>
      </c>
      <c r="L43" s="166">
        <f t="shared" si="14"/>
        <v>9.2002871463745216E-3</v>
      </c>
    </row>
    <row r="44" spans="1:12" x14ac:dyDescent="0.25">
      <c r="A44" s="1"/>
      <c r="B44" s="164" t="s">
        <v>118</v>
      </c>
      <c r="C44" s="165">
        <v>15282</v>
      </c>
      <c r="D44" s="165">
        <v>7059</v>
      </c>
      <c r="E44" s="165">
        <v>7849</v>
      </c>
      <c r="F44" s="165">
        <v>15441</v>
      </c>
      <c r="G44" s="165">
        <v>17860</v>
      </c>
      <c r="H44" s="165">
        <v>18036</v>
      </c>
      <c r="I44" s="165">
        <v>18502</v>
      </c>
      <c r="J44" s="180">
        <f t="shared" si="16"/>
        <v>2.5837214459969005E-2</v>
      </c>
      <c r="K44" s="164">
        <f t="shared" si="15"/>
        <v>466</v>
      </c>
      <c r="L44" s="166">
        <f t="shared" si="14"/>
        <v>5.897848824829236E-3</v>
      </c>
    </row>
    <row r="45" spans="1:12" x14ac:dyDescent="0.25">
      <c r="A45" s="1"/>
      <c r="B45" s="164" t="s">
        <v>125</v>
      </c>
      <c r="C45" s="165">
        <v>33079</v>
      </c>
      <c r="D45" s="165">
        <v>13054</v>
      </c>
      <c r="E45" s="165">
        <v>3419</v>
      </c>
      <c r="F45" s="165">
        <v>36418</v>
      </c>
      <c r="G45" s="165">
        <v>32685</v>
      </c>
      <c r="H45" s="165">
        <v>34207</v>
      </c>
      <c r="I45" s="165">
        <v>30816</v>
      </c>
      <c r="J45" s="180">
        <f t="shared" si="16"/>
        <v>-9.9131756657994008E-2</v>
      </c>
      <c r="K45" s="164">
        <f t="shared" si="15"/>
        <v>-3391</v>
      </c>
      <c r="L45" s="166">
        <f t="shared" si="14"/>
        <v>9.8231601657084496E-3</v>
      </c>
    </row>
    <row r="46" spans="1:12" x14ac:dyDescent="0.25">
      <c r="A46" s="1"/>
      <c r="B46" s="164" t="s">
        <v>121</v>
      </c>
      <c r="C46" s="165">
        <v>24096</v>
      </c>
      <c r="D46" s="165">
        <v>11786</v>
      </c>
      <c r="E46" s="165">
        <v>2753</v>
      </c>
      <c r="F46" s="165">
        <v>22089</v>
      </c>
      <c r="G46" s="165">
        <v>24992</v>
      </c>
      <c r="H46" s="165">
        <v>27545</v>
      </c>
      <c r="I46" s="165">
        <v>23241</v>
      </c>
      <c r="J46" s="180">
        <f t="shared" si="16"/>
        <v>-0.15625340352151029</v>
      </c>
      <c r="K46" s="164">
        <f t="shared" si="15"/>
        <v>-4304</v>
      </c>
      <c r="L46" s="166">
        <f t="shared" si="14"/>
        <v>7.4084912192117752E-3</v>
      </c>
    </row>
    <row r="47" spans="1:12" x14ac:dyDescent="0.25">
      <c r="A47" s="1"/>
      <c r="B47" s="164" t="s">
        <v>130</v>
      </c>
      <c r="C47" s="165">
        <v>21311</v>
      </c>
      <c r="D47" s="165">
        <v>12179</v>
      </c>
      <c r="E47" s="165">
        <v>420</v>
      </c>
      <c r="F47" s="165">
        <v>15389</v>
      </c>
      <c r="G47" s="165">
        <v>17947</v>
      </c>
      <c r="H47" s="165">
        <v>16728</v>
      </c>
      <c r="I47" s="165">
        <v>17045</v>
      </c>
      <c r="J47" s="180">
        <f t="shared" si="16"/>
        <v>1.8950263032042169E-2</v>
      </c>
      <c r="K47" s="164">
        <f t="shared" si="15"/>
        <v>317</v>
      </c>
      <c r="L47" s="166">
        <f t="shared" si="14"/>
        <v>5.4334035898397108E-3</v>
      </c>
    </row>
    <row r="48" spans="1:12" x14ac:dyDescent="0.25">
      <c r="A48" s="163" t="s">
        <v>146</v>
      </c>
      <c r="B48" s="164" t="s">
        <v>133</v>
      </c>
      <c r="C48" s="165">
        <v>31592</v>
      </c>
      <c r="D48" s="165">
        <v>20180</v>
      </c>
      <c r="E48" s="165">
        <v>2116</v>
      </c>
      <c r="F48" s="165">
        <v>14729</v>
      </c>
      <c r="G48" s="165">
        <v>18123</v>
      </c>
      <c r="H48" s="165">
        <v>19789</v>
      </c>
      <c r="I48" s="165">
        <v>15600</v>
      </c>
      <c r="J48" s="180">
        <f t="shared" si="16"/>
        <v>-0.21168325837586544</v>
      </c>
      <c r="K48" s="164">
        <f t="shared" si="15"/>
        <v>-4189</v>
      </c>
      <c r="L48" s="166">
        <f t="shared" si="14"/>
        <v>4.9727835729832491E-3</v>
      </c>
    </row>
    <row r="49" spans="1:12" x14ac:dyDescent="0.25">
      <c r="A49" s="168" t="s">
        <v>147</v>
      </c>
      <c r="B49" s="169" t="s">
        <v>147</v>
      </c>
      <c r="C49" s="170">
        <f t="shared" ref="C49" si="17">C41-SUM(C42:C48)</f>
        <v>178771</v>
      </c>
      <c r="D49" s="170">
        <f t="shared" ref="D49:I49" si="18">D41-SUM(D42:D48)</f>
        <v>86932</v>
      </c>
      <c r="E49" s="170">
        <f t="shared" si="18"/>
        <v>39762</v>
      </c>
      <c r="F49" s="170">
        <f t="shared" si="18"/>
        <v>195326</v>
      </c>
      <c r="G49" s="170">
        <f t="shared" si="18"/>
        <v>216236</v>
      </c>
      <c r="H49" s="170">
        <f t="shared" si="18"/>
        <v>225327</v>
      </c>
      <c r="I49" s="170">
        <f t="shared" si="18"/>
        <v>243106</v>
      </c>
      <c r="J49" s="181">
        <f t="shared" si="16"/>
        <v>7.890310526479305E-2</v>
      </c>
      <c r="K49" s="169">
        <f>I49-H49</f>
        <v>17779</v>
      </c>
      <c r="L49" s="171">
        <f t="shared" si="14"/>
        <v>7.7494456621388833E-2</v>
      </c>
    </row>
    <row r="50" spans="1:12" x14ac:dyDescent="0.25">
      <c r="A50" s="1"/>
      <c r="B50" s="156" t="s">
        <v>48</v>
      </c>
      <c r="C50" s="154"/>
      <c r="D50" s="154"/>
      <c r="E50" s="154"/>
      <c r="F50" s="154"/>
      <c r="G50" s="154"/>
      <c r="H50" s="154"/>
      <c r="I50" s="154"/>
      <c r="J50" s="155"/>
      <c r="K50" s="155"/>
      <c r="L50" s="154"/>
    </row>
    <row r="51" spans="1:12" x14ac:dyDescent="0.25">
      <c r="A51" s="1"/>
      <c r="B51" s="157" t="s">
        <v>70</v>
      </c>
      <c r="C51" s="177">
        <v>26450</v>
      </c>
      <c r="D51" s="177">
        <v>11900</v>
      </c>
      <c r="E51" s="177">
        <v>5578</v>
      </c>
      <c r="F51" s="177">
        <v>18891</v>
      </c>
      <c r="G51" s="177">
        <v>29549</v>
      </c>
      <c r="H51" s="177">
        <v>25686</v>
      </c>
      <c r="I51" s="177">
        <v>24307</v>
      </c>
      <c r="J51" s="178">
        <f>IFERROR(I51/H51-1,"-")</f>
        <v>-5.3686833294401604E-2</v>
      </c>
      <c r="K51" s="177">
        <f>I51-H51</f>
        <v>-1379</v>
      </c>
      <c r="L51" s="178">
        <f t="shared" ref="L51:L63" si="19">I51/I$9</f>
        <v>7.7482980966989646E-3</v>
      </c>
    </row>
    <row r="52" spans="1:12" x14ac:dyDescent="0.25">
      <c r="A52" s="1" t="s">
        <v>98</v>
      </c>
      <c r="B52" s="160" t="s">
        <v>99</v>
      </c>
      <c r="C52" s="161">
        <v>5333</v>
      </c>
      <c r="D52" s="161">
        <v>1180</v>
      </c>
      <c r="E52" s="161">
        <v>1616</v>
      </c>
      <c r="F52" s="161">
        <v>2216</v>
      </c>
      <c r="G52" s="161">
        <v>12386</v>
      </c>
      <c r="H52" s="161">
        <v>6510</v>
      </c>
      <c r="I52" s="161">
        <v>4608</v>
      </c>
      <c r="J52" s="179">
        <f>IFERROR(I52/H52-1,"-")</f>
        <v>-0.29216589861751152</v>
      </c>
      <c r="K52" s="160">
        <f t="shared" ref="K52:K62" si="20">I52-H52</f>
        <v>-1902</v>
      </c>
      <c r="L52" s="162">
        <f t="shared" si="19"/>
        <v>1.4688837630965905E-3</v>
      </c>
    </row>
    <row r="53" spans="1:12" x14ac:dyDescent="0.25">
      <c r="A53" s="163" t="s">
        <v>105</v>
      </c>
      <c r="B53" s="164" t="s">
        <v>105</v>
      </c>
      <c r="C53" s="165">
        <v>3021</v>
      </c>
      <c r="D53" s="165">
        <v>576</v>
      </c>
      <c r="E53" s="165">
        <v>756</v>
      </c>
      <c r="F53" s="165">
        <v>794</v>
      </c>
      <c r="G53" s="165">
        <v>9119</v>
      </c>
      <c r="H53" s="165">
        <v>4318</v>
      </c>
      <c r="I53" s="165">
        <v>2935</v>
      </c>
      <c r="J53" s="180">
        <f>IFERROR(I53/H53-1,"-")</f>
        <v>-0.32028716998610463</v>
      </c>
      <c r="K53" s="164">
        <f t="shared" si="20"/>
        <v>-1383</v>
      </c>
      <c r="L53" s="166">
        <f t="shared" si="19"/>
        <v>9.3558460171191266E-4</v>
      </c>
    </row>
    <row r="54" spans="1:12" x14ac:dyDescent="0.25">
      <c r="A54" s="163" t="s">
        <v>102</v>
      </c>
      <c r="B54" s="164" t="s">
        <v>102</v>
      </c>
      <c r="C54" s="165">
        <v>2312</v>
      </c>
      <c r="D54" s="165">
        <v>604</v>
      </c>
      <c r="E54" s="165">
        <v>860</v>
      </c>
      <c r="F54" s="165">
        <v>1422</v>
      </c>
      <c r="G54" s="165">
        <v>3267</v>
      </c>
      <c r="H54" s="165">
        <v>2192</v>
      </c>
      <c r="I54" s="165">
        <v>1673</v>
      </c>
      <c r="J54" s="180">
        <f>IFERROR(I54/H54-1,"-")</f>
        <v>-0.2367700729927007</v>
      </c>
      <c r="K54" s="164">
        <f t="shared" si="20"/>
        <v>-519</v>
      </c>
      <c r="L54" s="166">
        <f t="shared" si="19"/>
        <v>5.3329916138467796E-4</v>
      </c>
    </row>
    <row r="55" spans="1:12" x14ac:dyDescent="0.25">
      <c r="A55" s="1"/>
      <c r="B55" s="160" t="s">
        <v>109</v>
      </c>
      <c r="C55" s="161">
        <v>21117</v>
      </c>
      <c r="D55" s="161">
        <v>10720</v>
      </c>
      <c r="E55" s="161">
        <v>3962</v>
      </c>
      <c r="F55" s="161">
        <v>16675</v>
      </c>
      <c r="G55" s="161">
        <v>17163</v>
      </c>
      <c r="H55" s="161">
        <v>19176</v>
      </c>
      <c r="I55" s="161">
        <v>19699</v>
      </c>
      <c r="J55" s="179">
        <f>IFERROR(I55/H55-1,"-")</f>
        <v>2.7273675427617938E-2</v>
      </c>
      <c r="K55" s="160">
        <f t="shared" si="20"/>
        <v>523</v>
      </c>
      <c r="L55" s="162">
        <f t="shared" si="19"/>
        <v>6.2794143336023737E-3</v>
      </c>
    </row>
    <row r="56" spans="1:12" s="57" customFormat="1" x14ac:dyDescent="0.25">
      <c r="B56" s="164" t="s">
        <v>112</v>
      </c>
      <c r="C56" s="165">
        <v>6243</v>
      </c>
      <c r="D56" s="165">
        <v>3648</v>
      </c>
      <c r="E56" s="165">
        <v>114</v>
      </c>
      <c r="F56" s="165">
        <v>6062</v>
      </c>
      <c r="G56" s="165">
        <v>5489</v>
      </c>
      <c r="H56" s="165">
        <v>6677</v>
      </c>
      <c r="I56" s="165">
        <v>7123</v>
      </c>
      <c r="J56" s="180">
        <f t="shared" ref="J56:J63" si="21">IFERROR(I56/H56-1,"-")</f>
        <v>6.679646547850826E-2</v>
      </c>
      <c r="K56" s="164">
        <f t="shared" si="20"/>
        <v>446</v>
      </c>
      <c r="L56" s="166">
        <f t="shared" si="19"/>
        <v>2.2705857301512618E-3</v>
      </c>
    </row>
    <row r="57" spans="1:12" s="57" customFormat="1" x14ac:dyDescent="0.25">
      <c r="B57" s="164" t="s">
        <v>115</v>
      </c>
      <c r="C57" s="165">
        <v>5970</v>
      </c>
      <c r="D57" s="165">
        <v>2760</v>
      </c>
      <c r="E57" s="165">
        <v>1495</v>
      </c>
      <c r="F57" s="165">
        <v>4137</v>
      </c>
      <c r="G57" s="165">
        <v>3170</v>
      </c>
      <c r="H57" s="165">
        <v>4024</v>
      </c>
      <c r="I57" s="165">
        <v>4162</v>
      </c>
      <c r="J57" s="180">
        <f t="shared" si="21"/>
        <v>3.4294234592445294E-2</v>
      </c>
      <c r="K57" s="164">
        <f t="shared" si="20"/>
        <v>138</v>
      </c>
      <c r="L57" s="166">
        <f t="shared" si="19"/>
        <v>1.3267131558177105E-3</v>
      </c>
    </row>
    <row r="58" spans="1:12" x14ac:dyDescent="0.25">
      <c r="A58" s="1"/>
      <c r="B58" s="164" t="s">
        <v>118</v>
      </c>
      <c r="C58" s="165">
        <v>1364</v>
      </c>
      <c r="D58" s="165">
        <v>468</v>
      </c>
      <c r="E58" s="165">
        <v>639</v>
      </c>
      <c r="F58" s="165">
        <v>1175</v>
      </c>
      <c r="G58" s="165">
        <v>1646</v>
      </c>
      <c r="H58" s="165">
        <v>1282</v>
      </c>
      <c r="I58" s="165">
        <v>1139</v>
      </c>
      <c r="J58" s="180">
        <f t="shared" si="21"/>
        <v>-0.1115444617784711</v>
      </c>
      <c r="K58" s="164">
        <f t="shared" si="20"/>
        <v>-143</v>
      </c>
      <c r="L58" s="166">
        <f t="shared" si="19"/>
        <v>3.630769544633283E-4</v>
      </c>
    </row>
    <row r="59" spans="1:12" x14ac:dyDescent="0.25">
      <c r="A59" s="1"/>
      <c r="B59" s="164" t="s">
        <v>125</v>
      </c>
      <c r="C59" s="165">
        <v>526</v>
      </c>
      <c r="D59" s="165">
        <v>223</v>
      </c>
      <c r="E59" s="165">
        <v>94</v>
      </c>
      <c r="F59" s="165">
        <v>444</v>
      </c>
      <c r="G59" s="165">
        <v>385</v>
      </c>
      <c r="H59" s="165">
        <v>638</v>
      </c>
      <c r="I59" s="165">
        <v>593</v>
      </c>
      <c r="J59" s="180">
        <f t="shared" si="21"/>
        <v>-7.0532915360501547E-2</v>
      </c>
      <c r="K59" s="164">
        <f t="shared" si="20"/>
        <v>-45</v>
      </c>
      <c r="L59" s="166">
        <f t="shared" si="19"/>
        <v>1.8902952940891456E-4</v>
      </c>
    </row>
    <row r="60" spans="1:12" x14ac:dyDescent="0.25">
      <c r="A60" s="1"/>
      <c r="B60" s="164" t="s">
        <v>121</v>
      </c>
      <c r="C60" s="165">
        <v>570</v>
      </c>
      <c r="D60" s="165">
        <v>213</v>
      </c>
      <c r="E60" s="165">
        <v>112</v>
      </c>
      <c r="F60" s="165">
        <v>419</v>
      </c>
      <c r="G60" s="165">
        <v>406</v>
      </c>
      <c r="H60" s="165">
        <v>454</v>
      </c>
      <c r="I60" s="165">
        <v>521</v>
      </c>
      <c r="J60" s="180">
        <f t="shared" si="21"/>
        <v>0.14757709251101314</v>
      </c>
      <c r="K60" s="164">
        <f t="shared" si="20"/>
        <v>67</v>
      </c>
      <c r="L60" s="166">
        <f t="shared" si="19"/>
        <v>1.6607822061053031E-4</v>
      </c>
    </row>
    <row r="61" spans="1:12" x14ac:dyDescent="0.25">
      <c r="A61" s="1"/>
      <c r="B61" s="164" t="s">
        <v>130</v>
      </c>
      <c r="C61" s="165">
        <v>185</v>
      </c>
      <c r="D61" s="165">
        <v>147</v>
      </c>
      <c r="E61" s="165">
        <v>29</v>
      </c>
      <c r="F61" s="165">
        <v>55</v>
      </c>
      <c r="G61" s="165">
        <v>167</v>
      </c>
      <c r="H61" s="165">
        <v>93</v>
      </c>
      <c r="I61" s="165">
        <v>174</v>
      </c>
      <c r="J61" s="180">
        <f t="shared" si="21"/>
        <v>0.87096774193548376</v>
      </c>
      <c r="K61" s="164">
        <f t="shared" si="20"/>
        <v>81</v>
      </c>
      <c r="L61" s="166">
        <f t="shared" si="19"/>
        <v>5.5465662929428547E-5</v>
      </c>
    </row>
    <row r="62" spans="1:12" x14ac:dyDescent="0.25">
      <c r="A62" s="163" t="s">
        <v>146</v>
      </c>
      <c r="B62" s="164" t="s">
        <v>133</v>
      </c>
      <c r="C62" s="165">
        <v>305</v>
      </c>
      <c r="D62" s="165">
        <v>253</v>
      </c>
      <c r="E62" s="165">
        <v>16</v>
      </c>
      <c r="F62" s="165">
        <v>95</v>
      </c>
      <c r="G62" s="165">
        <v>159</v>
      </c>
      <c r="H62" s="165">
        <v>97</v>
      </c>
      <c r="I62" s="165">
        <v>425</v>
      </c>
      <c r="J62" s="180">
        <f t="shared" si="21"/>
        <v>3.3814432989690726</v>
      </c>
      <c r="K62" s="164">
        <f t="shared" si="20"/>
        <v>328</v>
      </c>
      <c r="L62" s="166">
        <f t="shared" si="19"/>
        <v>1.35476475546018E-4</v>
      </c>
    </row>
    <row r="63" spans="1:12" x14ac:dyDescent="0.25">
      <c r="A63" s="168" t="s">
        <v>147</v>
      </c>
      <c r="B63" s="169" t="s">
        <v>147</v>
      </c>
      <c r="C63" s="170">
        <f t="shared" ref="C63" si="22">C55-SUM(C56:C62)</f>
        <v>5954</v>
      </c>
      <c r="D63" s="170">
        <f t="shared" ref="D63:I63" si="23">D55-SUM(D56:D62)</f>
        <v>3008</v>
      </c>
      <c r="E63" s="170">
        <f t="shared" si="23"/>
        <v>1463</v>
      </c>
      <c r="F63" s="170">
        <f t="shared" si="23"/>
        <v>4288</v>
      </c>
      <c r="G63" s="170">
        <f t="shared" si="23"/>
        <v>5741</v>
      </c>
      <c r="H63" s="170">
        <f t="shared" si="23"/>
        <v>5911</v>
      </c>
      <c r="I63" s="170">
        <f t="shared" si="23"/>
        <v>5562</v>
      </c>
      <c r="J63" s="181">
        <f t="shared" si="21"/>
        <v>-5.9042463204195594E-2</v>
      </c>
      <c r="K63" s="169">
        <f>I63-H63</f>
        <v>-349</v>
      </c>
      <c r="L63" s="171">
        <f t="shared" si="19"/>
        <v>1.7729886046751815E-3</v>
      </c>
    </row>
    <row r="64" spans="1:12" x14ac:dyDescent="0.25">
      <c r="A64" s="1"/>
      <c r="B64" s="156" t="s">
        <v>49</v>
      </c>
      <c r="C64" s="154"/>
      <c r="D64" s="154"/>
      <c r="E64" s="154"/>
      <c r="F64" s="154"/>
      <c r="G64" s="154"/>
      <c r="H64" s="154"/>
      <c r="I64" s="154"/>
      <c r="J64" s="155"/>
      <c r="K64" s="155"/>
      <c r="L64" s="154"/>
    </row>
    <row r="65" spans="1:12" x14ac:dyDescent="0.25">
      <c r="A65" s="1"/>
      <c r="B65" s="157" t="s">
        <v>70</v>
      </c>
      <c r="C65" s="177">
        <v>75119</v>
      </c>
      <c r="D65" s="177">
        <v>29538</v>
      </c>
      <c r="E65" s="177">
        <v>21235</v>
      </c>
      <c r="F65" s="177">
        <v>78873</v>
      </c>
      <c r="G65" s="177">
        <v>101039</v>
      </c>
      <c r="H65" s="177">
        <v>136007</v>
      </c>
      <c r="I65" s="177">
        <v>108799</v>
      </c>
      <c r="J65" s="178">
        <f>IFERROR(I65/H65-1,"-")</f>
        <v>-0.20004852691405595</v>
      </c>
      <c r="K65" s="177">
        <f>I65-H65</f>
        <v>-27208</v>
      </c>
      <c r="L65" s="178">
        <f t="shared" ref="L65:L77" si="24">I65/I$9</f>
        <v>3.4681658971602858E-2</v>
      </c>
    </row>
    <row r="66" spans="1:12" x14ac:dyDescent="0.25">
      <c r="A66" s="1" t="s">
        <v>98</v>
      </c>
      <c r="B66" s="160" t="s">
        <v>99</v>
      </c>
      <c r="C66" s="161">
        <v>16572</v>
      </c>
      <c r="D66" s="161">
        <v>6589</v>
      </c>
      <c r="E66" s="161">
        <v>9773</v>
      </c>
      <c r="F66" s="161">
        <v>16521</v>
      </c>
      <c r="G66" s="161">
        <v>16895</v>
      </c>
      <c r="H66" s="161">
        <v>32362</v>
      </c>
      <c r="I66" s="161">
        <v>21314</v>
      </c>
      <c r="J66" s="179">
        <f>IFERROR(I66/H66-1,"-")</f>
        <v>-0.34138804771027753</v>
      </c>
      <c r="K66" s="160">
        <f t="shared" ref="K66:K76" si="25">I66-H66</f>
        <v>-11048</v>
      </c>
      <c r="L66" s="162">
        <f t="shared" si="24"/>
        <v>6.7942249406772424E-3</v>
      </c>
    </row>
    <row r="67" spans="1:12" x14ac:dyDescent="0.25">
      <c r="A67" s="163" t="s">
        <v>105</v>
      </c>
      <c r="B67" s="164" t="s">
        <v>105</v>
      </c>
      <c r="C67" s="165">
        <v>8691</v>
      </c>
      <c r="D67" s="165">
        <v>2565</v>
      </c>
      <c r="E67" s="165">
        <v>9350</v>
      </c>
      <c r="F67" s="165">
        <v>11957</v>
      </c>
      <c r="G67" s="165">
        <v>12094</v>
      </c>
      <c r="H67" s="165">
        <v>19236</v>
      </c>
      <c r="I67" s="165">
        <v>7816</v>
      </c>
      <c r="J67" s="180">
        <f>IFERROR(I67/H67-1,"-")</f>
        <v>-0.59367851944271166</v>
      </c>
      <c r="K67" s="164">
        <f t="shared" si="25"/>
        <v>-11420</v>
      </c>
      <c r="L67" s="166">
        <f t="shared" si="24"/>
        <v>2.49149207733571E-3</v>
      </c>
    </row>
    <row r="68" spans="1:12" x14ac:dyDescent="0.25">
      <c r="A68" s="163" t="s">
        <v>102</v>
      </c>
      <c r="B68" s="164" t="s">
        <v>102</v>
      </c>
      <c r="C68" s="165">
        <v>7881</v>
      </c>
      <c r="D68" s="165">
        <v>4024</v>
      </c>
      <c r="E68" s="165">
        <v>423</v>
      </c>
      <c r="F68" s="165">
        <v>4564</v>
      </c>
      <c r="G68" s="165">
        <v>4801</v>
      </c>
      <c r="H68" s="165">
        <v>13126</v>
      </c>
      <c r="I68" s="165">
        <v>13498</v>
      </c>
      <c r="J68" s="180">
        <f>IFERROR(I68/H68-1,"-")</f>
        <v>2.8340697851592322E-2</v>
      </c>
      <c r="K68" s="164">
        <f t="shared" si="25"/>
        <v>372</v>
      </c>
      <c r="L68" s="166">
        <f t="shared" si="24"/>
        <v>4.302732863341532E-3</v>
      </c>
    </row>
    <row r="69" spans="1:12" x14ac:dyDescent="0.25">
      <c r="A69" s="1"/>
      <c r="B69" s="160" t="s">
        <v>109</v>
      </c>
      <c r="C69" s="161">
        <v>58547</v>
      </c>
      <c r="D69" s="161">
        <v>22949</v>
      </c>
      <c r="E69" s="161">
        <v>11462</v>
      </c>
      <c r="F69" s="161">
        <v>62352</v>
      </c>
      <c r="G69" s="161">
        <v>84144</v>
      </c>
      <c r="H69" s="161">
        <v>103645</v>
      </c>
      <c r="I69" s="161">
        <v>87485</v>
      </c>
      <c r="J69" s="179">
        <f>IFERROR(I69/H69-1,"-")</f>
        <v>-0.15591683149211255</v>
      </c>
      <c r="K69" s="160">
        <f t="shared" si="25"/>
        <v>-16160</v>
      </c>
      <c r="L69" s="162">
        <f t="shared" si="24"/>
        <v>2.7887434030925612E-2</v>
      </c>
    </row>
    <row r="70" spans="1:12" s="57" customFormat="1" x14ac:dyDescent="0.25">
      <c r="B70" s="164" t="s">
        <v>112</v>
      </c>
      <c r="C70" s="165">
        <v>25686</v>
      </c>
      <c r="D70" s="165">
        <v>9198</v>
      </c>
      <c r="E70" s="165">
        <v>1409</v>
      </c>
      <c r="F70" s="165">
        <v>25128</v>
      </c>
      <c r="G70" s="165">
        <v>29122</v>
      </c>
      <c r="H70" s="165">
        <v>40052</v>
      </c>
      <c r="I70" s="165">
        <v>43439</v>
      </c>
      <c r="J70" s="180">
        <f t="shared" ref="J70:J77" si="26">IFERROR(I70/H70-1,"-")</f>
        <v>8.4565065414960561E-2</v>
      </c>
      <c r="K70" s="164">
        <f t="shared" si="25"/>
        <v>3387</v>
      </c>
      <c r="L70" s="166">
        <f t="shared" si="24"/>
        <v>1.3846970873514062E-2</v>
      </c>
    </row>
    <row r="71" spans="1:12" s="57" customFormat="1" x14ac:dyDescent="0.25">
      <c r="B71" s="164" t="s">
        <v>115</v>
      </c>
      <c r="C71" s="165">
        <v>7310</v>
      </c>
      <c r="D71" s="165">
        <v>2626</v>
      </c>
      <c r="E71" s="165">
        <v>2083</v>
      </c>
      <c r="F71" s="165">
        <v>6465</v>
      </c>
      <c r="G71" s="165">
        <v>6452</v>
      </c>
      <c r="H71" s="165">
        <v>6763</v>
      </c>
      <c r="I71" s="165">
        <v>6660</v>
      </c>
      <c r="J71" s="180">
        <f t="shared" si="26"/>
        <v>-1.5229927546946631E-2</v>
      </c>
      <c r="K71" s="164">
        <f t="shared" si="25"/>
        <v>-103</v>
      </c>
      <c r="L71" s="166">
        <f t="shared" si="24"/>
        <v>2.122996063850541E-3</v>
      </c>
    </row>
    <row r="72" spans="1:12" x14ac:dyDescent="0.25">
      <c r="A72" s="1"/>
      <c r="B72" s="164" t="s">
        <v>118</v>
      </c>
      <c r="C72" s="165">
        <v>6377</v>
      </c>
      <c r="D72" s="165">
        <v>2915</v>
      </c>
      <c r="E72" s="165">
        <v>1450</v>
      </c>
      <c r="F72" s="165">
        <v>8106</v>
      </c>
      <c r="G72" s="165">
        <v>10568</v>
      </c>
      <c r="H72" s="165">
        <v>12526</v>
      </c>
      <c r="I72" s="165">
        <v>5835</v>
      </c>
      <c r="J72" s="180">
        <f t="shared" si="26"/>
        <v>-0.53416892862845278</v>
      </c>
      <c r="K72" s="164">
        <f t="shared" si="25"/>
        <v>-6691</v>
      </c>
      <c r="L72" s="166">
        <f t="shared" si="24"/>
        <v>1.8600123172023886E-3</v>
      </c>
    </row>
    <row r="73" spans="1:12" x14ac:dyDescent="0.25">
      <c r="A73" s="1"/>
      <c r="B73" s="164" t="s">
        <v>125</v>
      </c>
      <c r="C73" s="165">
        <v>1332</v>
      </c>
      <c r="D73" s="165">
        <v>233</v>
      </c>
      <c r="E73" s="165">
        <v>496</v>
      </c>
      <c r="F73" s="165">
        <v>2187</v>
      </c>
      <c r="G73" s="165">
        <v>2365</v>
      </c>
      <c r="H73" s="165">
        <v>4095</v>
      </c>
      <c r="I73" s="165">
        <v>3148</v>
      </c>
      <c r="J73" s="180">
        <f t="shared" si="26"/>
        <v>-0.23125763125763121</v>
      </c>
      <c r="K73" s="164">
        <f t="shared" si="25"/>
        <v>-947</v>
      </c>
      <c r="L73" s="166">
        <f t="shared" si="24"/>
        <v>1.0034822235737992E-3</v>
      </c>
    </row>
    <row r="74" spans="1:12" x14ac:dyDescent="0.25">
      <c r="A74" s="1"/>
      <c r="B74" s="164" t="s">
        <v>121</v>
      </c>
      <c r="C74" s="165">
        <v>1418</v>
      </c>
      <c r="D74" s="165">
        <v>590</v>
      </c>
      <c r="E74" s="165">
        <v>900</v>
      </c>
      <c r="F74" s="165">
        <v>1794</v>
      </c>
      <c r="G74" s="165">
        <v>1728</v>
      </c>
      <c r="H74" s="165">
        <v>2306</v>
      </c>
      <c r="I74" s="165">
        <v>1904</v>
      </c>
      <c r="J74" s="180">
        <f t="shared" si="26"/>
        <v>-0.17432784041630534</v>
      </c>
      <c r="K74" s="164">
        <f t="shared" si="25"/>
        <v>-402</v>
      </c>
      <c r="L74" s="166">
        <f t="shared" si="24"/>
        <v>6.0693461044616069E-4</v>
      </c>
    </row>
    <row r="75" spans="1:12" x14ac:dyDescent="0.25">
      <c r="A75" s="1"/>
      <c r="B75" s="164" t="s">
        <v>130</v>
      </c>
      <c r="C75" s="165">
        <v>1330</v>
      </c>
      <c r="D75" s="165">
        <v>833</v>
      </c>
      <c r="E75" s="165">
        <v>2</v>
      </c>
      <c r="F75" s="165">
        <v>1434</v>
      </c>
      <c r="G75" s="165">
        <v>3910</v>
      </c>
      <c r="H75" s="165">
        <v>2831</v>
      </c>
      <c r="I75" s="165">
        <v>1714</v>
      </c>
      <c r="J75" s="180">
        <f t="shared" si="26"/>
        <v>-0.39456022606852703</v>
      </c>
      <c r="K75" s="164">
        <f t="shared" si="25"/>
        <v>-1117</v>
      </c>
      <c r="L75" s="166">
        <f t="shared" si="24"/>
        <v>5.463686566726468E-4</v>
      </c>
    </row>
    <row r="76" spans="1:12" x14ac:dyDescent="0.25">
      <c r="A76" s="163" t="s">
        <v>146</v>
      </c>
      <c r="B76" s="164" t="s">
        <v>133</v>
      </c>
      <c r="C76" s="165">
        <v>1485</v>
      </c>
      <c r="D76" s="165">
        <v>961</v>
      </c>
      <c r="E76" s="165">
        <v>0</v>
      </c>
      <c r="F76" s="165">
        <v>469</v>
      </c>
      <c r="G76" s="165">
        <v>1061</v>
      </c>
      <c r="H76" s="165">
        <v>2071</v>
      </c>
      <c r="I76" s="165">
        <v>2236</v>
      </c>
      <c r="J76" s="180">
        <f t="shared" si="26"/>
        <v>7.9671656204731933E-2</v>
      </c>
      <c r="K76" s="164">
        <f t="shared" si="25"/>
        <v>165</v>
      </c>
      <c r="L76" s="166">
        <f t="shared" si="24"/>
        <v>7.1276564546093239E-4</v>
      </c>
    </row>
    <row r="77" spans="1:12" x14ac:dyDescent="0.25">
      <c r="A77" s="168" t="s">
        <v>147</v>
      </c>
      <c r="B77" s="169" t="s">
        <v>147</v>
      </c>
      <c r="C77" s="170">
        <f t="shared" ref="C77" si="27">C69-SUM(C70:C76)</f>
        <v>13609</v>
      </c>
      <c r="D77" s="170">
        <f t="shared" ref="D77:I77" si="28">D69-SUM(D70:D76)</f>
        <v>5593</v>
      </c>
      <c r="E77" s="170">
        <f t="shared" si="28"/>
        <v>5122</v>
      </c>
      <c r="F77" s="170">
        <f t="shared" si="28"/>
        <v>16769</v>
      </c>
      <c r="G77" s="170">
        <f t="shared" si="28"/>
        <v>28938</v>
      </c>
      <c r="H77" s="170">
        <f t="shared" si="28"/>
        <v>33001</v>
      </c>
      <c r="I77" s="170">
        <f t="shared" si="28"/>
        <v>22549</v>
      </c>
      <c r="J77" s="181">
        <f t="shared" si="26"/>
        <v>-0.31671767522196292</v>
      </c>
      <c r="K77" s="169">
        <f>I77-H77</f>
        <v>-10452</v>
      </c>
      <c r="L77" s="171">
        <f t="shared" si="24"/>
        <v>7.1879036402050824E-3</v>
      </c>
    </row>
    <row r="78" spans="1:12" x14ac:dyDescent="0.25">
      <c r="A78" s="1"/>
      <c r="B78" s="156" t="s">
        <v>50</v>
      </c>
      <c r="C78" s="154"/>
      <c r="D78" s="154"/>
      <c r="E78" s="154"/>
      <c r="F78" s="154"/>
      <c r="G78" s="154"/>
      <c r="H78" s="154"/>
      <c r="I78" s="154"/>
      <c r="J78" s="155"/>
      <c r="K78" s="155"/>
      <c r="L78" s="154"/>
    </row>
    <row r="79" spans="1:12" x14ac:dyDescent="0.25">
      <c r="A79" s="1"/>
      <c r="B79" s="157" t="s">
        <v>70</v>
      </c>
      <c r="C79" s="177">
        <v>453133</v>
      </c>
      <c r="D79" s="177">
        <v>183101</v>
      </c>
      <c r="E79" s="177">
        <v>76469</v>
      </c>
      <c r="F79" s="177">
        <v>372553</v>
      </c>
      <c r="G79" s="177">
        <v>443789</v>
      </c>
      <c r="H79" s="177">
        <v>509981</v>
      </c>
      <c r="I79" s="177">
        <v>517418</v>
      </c>
      <c r="J79" s="178">
        <f>IFERROR(I79/H79-1,"-")</f>
        <v>1.458289622554565E-2</v>
      </c>
      <c r="K79" s="177">
        <f>I79-H79</f>
        <v>7437</v>
      </c>
      <c r="L79" s="178">
        <f t="shared" ref="L79:L91" si="29">I79/I$9</f>
        <v>0.16493639299781071</v>
      </c>
    </row>
    <row r="80" spans="1:12" x14ac:dyDescent="0.25">
      <c r="A80" s="1" t="s">
        <v>98</v>
      </c>
      <c r="B80" s="160" t="s">
        <v>99</v>
      </c>
      <c r="C80" s="161">
        <v>189662</v>
      </c>
      <c r="D80" s="161">
        <v>56011</v>
      </c>
      <c r="E80" s="161">
        <v>41163</v>
      </c>
      <c r="F80" s="161">
        <v>169776</v>
      </c>
      <c r="G80" s="161">
        <v>184091</v>
      </c>
      <c r="H80" s="161">
        <v>194736</v>
      </c>
      <c r="I80" s="161">
        <v>198338</v>
      </c>
      <c r="J80" s="179">
        <f>IFERROR(I80/H80-1,"-")</f>
        <v>1.8496836743077782E-2</v>
      </c>
      <c r="K80" s="160">
        <f t="shared" ref="K80:K90" si="30">I80-H80</f>
        <v>3602</v>
      </c>
      <c r="L80" s="162">
        <f t="shared" si="29"/>
        <v>6.3223842839637931E-2</v>
      </c>
    </row>
    <row r="81" spans="1:12" x14ac:dyDescent="0.25">
      <c r="A81" s="163" t="s">
        <v>105</v>
      </c>
      <c r="B81" s="164" t="s">
        <v>105</v>
      </c>
      <c r="C81" s="165">
        <v>32976</v>
      </c>
      <c r="D81" s="165">
        <v>9469</v>
      </c>
      <c r="E81" s="165">
        <v>18642</v>
      </c>
      <c r="F81" s="165">
        <v>43105</v>
      </c>
      <c r="G81" s="165">
        <v>44990</v>
      </c>
      <c r="H81" s="165">
        <v>52905</v>
      </c>
      <c r="I81" s="165">
        <v>42343</v>
      </c>
      <c r="J81" s="180">
        <f>IFERROR(I81/H81-1,"-")</f>
        <v>-0.19964086570267459</v>
      </c>
      <c r="K81" s="164">
        <f t="shared" si="30"/>
        <v>-10562</v>
      </c>
      <c r="L81" s="166">
        <f t="shared" si="29"/>
        <v>1.3497600950694213E-2</v>
      </c>
    </row>
    <row r="82" spans="1:12" x14ac:dyDescent="0.25">
      <c r="A82" s="163" t="s">
        <v>102</v>
      </c>
      <c r="B82" s="164" t="s">
        <v>102</v>
      </c>
      <c r="C82" s="165">
        <v>156686</v>
      </c>
      <c r="D82" s="165">
        <v>46542</v>
      </c>
      <c r="E82" s="165">
        <v>22521</v>
      </c>
      <c r="F82" s="165">
        <v>126671</v>
      </c>
      <c r="G82" s="165">
        <v>139101</v>
      </c>
      <c r="H82" s="165">
        <v>141831</v>
      </c>
      <c r="I82" s="165">
        <v>155995</v>
      </c>
      <c r="J82" s="180">
        <f>IFERROR(I82/H82-1,"-")</f>
        <v>9.9865332684674124E-2</v>
      </c>
      <c r="K82" s="164">
        <f t="shared" si="30"/>
        <v>14164</v>
      </c>
      <c r="L82" s="166">
        <f t="shared" si="29"/>
        <v>4.9726241888943715E-2</v>
      </c>
    </row>
    <row r="83" spans="1:12" x14ac:dyDescent="0.25">
      <c r="A83" s="1"/>
      <c r="B83" s="160" t="s">
        <v>109</v>
      </c>
      <c r="C83" s="161">
        <v>263471</v>
      </c>
      <c r="D83" s="161">
        <v>127090</v>
      </c>
      <c r="E83" s="161">
        <v>35306</v>
      </c>
      <c r="F83" s="161">
        <v>202777</v>
      </c>
      <c r="G83" s="161">
        <v>259698</v>
      </c>
      <c r="H83" s="161">
        <v>315245</v>
      </c>
      <c r="I83" s="161">
        <v>319080</v>
      </c>
      <c r="J83" s="179">
        <f>IFERROR(I83/H83-1,"-")</f>
        <v>1.2165141397960211E-2</v>
      </c>
      <c r="K83" s="160">
        <f t="shared" si="30"/>
        <v>3835</v>
      </c>
      <c r="L83" s="162">
        <f t="shared" si="29"/>
        <v>0.10171255015817277</v>
      </c>
    </row>
    <row r="84" spans="1:12" s="57" customFormat="1" x14ac:dyDescent="0.25">
      <c r="B84" s="164" t="s">
        <v>112</v>
      </c>
      <c r="C84" s="165">
        <v>41506</v>
      </c>
      <c r="D84" s="165">
        <v>21229</v>
      </c>
      <c r="E84" s="165">
        <v>2466</v>
      </c>
      <c r="F84" s="165">
        <v>35188</v>
      </c>
      <c r="G84" s="165">
        <v>48580</v>
      </c>
      <c r="H84" s="165">
        <v>60761</v>
      </c>
      <c r="I84" s="165">
        <v>60217</v>
      </c>
      <c r="J84" s="180">
        <f t="shared" ref="J84:J91" si="31">IFERROR(I84/H84-1,"-")</f>
        <v>-8.9531113707805865E-3</v>
      </c>
      <c r="K84" s="164">
        <f t="shared" si="30"/>
        <v>-544</v>
      </c>
      <c r="L84" s="166">
        <f t="shared" si="29"/>
        <v>1.9195263359893099E-2</v>
      </c>
    </row>
    <row r="85" spans="1:12" s="57" customFormat="1" x14ac:dyDescent="0.25">
      <c r="B85" s="164" t="s">
        <v>115</v>
      </c>
      <c r="C85" s="165">
        <v>106711</v>
      </c>
      <c r="D85" s="165">
        <v>46896</v>
      </c>
      <c r="E85" s="165">
        <v>8035</v>
      </c>
      <c r="F85" s="165">
        <v>67582</v>
      </c>
      <c r="G85" s="165">
        <v>82601</v>
      </c>
      <c r="H85" s="165">
        <v>95459</v>
      </c>
      <c r="I85" s="165">
        <v>93593</v>
      </c>
      <c r="J85" s="180">
        <f t="shared" si="31"/>
        <v>-1.954765920447521E-2</v>
      </c>
      <c r="K85" s="164">
        <f t="shared" si="30"/>
        <v>-1866</v>
      </c>
      <c r="L85" s="166">
        <f t="shared" si="29"/>
        <v>2.9834470060655208E-2</v>
      </c>
    </row>
    <row r="86" spans="1:12" x14ac:dyDescent="0.25">
      <c r="A86" s="1"/>
      <c r="B86" s="164" t="s">
        <v>118</v>
      </c>
      <c r="C86" s="165">
        <v>14315</v>
      </c>
      <c r="D86" s="165">
        <v>6810</v>
      </c>
      <c r="E86" s="165">
        <v>6471</v>
      </c>
      <c r="F86" s="165">
        <v>17670</v>
      </c>
      <c r="G86" s="165">
        <v>22820</v>
      </c>
      <c r="H86" s="165">
        <v>33794</v>
      </c>
      <c r="I86" s="165">
        <v>34108</v>
      </c>
      <c r="J86" s="180">
        <f t="shared" si="31"/>
        <v>9.2915902231165415E-3</v>
      </c>
      <c r="K86" s="164">
        <f t="shared" si="30"/>
        <v>314</v>
      </c>
      <c r="L86" s="166">
        <f t="shared" si="29"/>
        <v>1.0872545006879017E-2</v>
      </c>
    </row>
    <row r="87" spans="1:12" x14ac:dyDescent="0.25">
      <c r="A87" s="1"/>
      <c r="B87" s="164" t="s">
        <v>125</v>
      </c>
      <c r="C87" s="165">
        <v>4430</v>
      </c>
      <c r="D87" s="165">
        <v>1878</v>
      </c>
      <c r="E87" s="165">
        <v>629</v>
      </c>
      <c r="F87" s="165">
        <v>5763</v>
      </c>
      <c r="G87" s="165">
        <v>5624</v>
      </c>
      <c r="H87" s="165">
        <v>8575</v>
      </c>
      <c r="I87" s="165">
        <v>8584</v>
      </c>
      <c r="J87" s="180">
        <f t="shared" si="31"/>
        <v>1.0495626822157877E-3</v>
      </c>
      <c r="K87" s="164">
        <f t="shared" si="30"/>
        <v>9</v>
      </c>
      <c r="L87" s="166">
        <f t="shared" si="29"/>
        <v>2.7363060378518085E-3</v>
      </c>
    </row>
    <row r="88" spans="1:12" x14ac:dyDescent="0.25">
      <c r="A88" s="1"/>
      <c r="B88" s="164" t="s">
        <v>121</v>
      </c>
      <c r="C88" s="165">
        <v>3628</v>
      </c>
      <c r="D88" s="165">
        <v>1330</v>
      </c>
      <c r="E88" s="165">
        <v>806</v>
      </c>
      <c r="F88" s="165">
        <v>3331</v>
      </c>
      <c r="G88" s="165">
        <v>3220</v>
      </c>
      <c r="H88" s="165">
        <v>4368</v>
      </c>
      <c r="I88" s="165">
        <v>4680</v>
      </c>
      <c r="J88" s="180">
        <f t="shared" si="31"/>
        <v>7.1428571428571397E-2</v>
      </c>
      <c r="K88" s="164">
        <f t="shared" si="30"/>
        <v>312</v>
      </c>
      <c r="L88" s="166">
        <f t="shared" si="29"/>
        <v>1.4918350718949747E-3</v>
      </c>
    </row>
    <row r="89" spans="1:12" x14ac:dyDescent="0.25">
      <c r="A89" s="1"/>
      <c r="B89" s="164" t="s">
        <v>130</v>
      </c>
      <c r="C89" s="165">
        <v>6214</v>
      </c>
      <c r="D89" s="165">
        <v>4100</v>
      </c>
      <c r="E89" s="165">
        <v>136</v>
      </c>
      <c r="F89" s="165">
        <v>4162</v>
      </c>
      <c r="G89" s="165">
        <v>6679</v>
      </c>
      <c r="H89" s="165">
        <v>5842</v>
      </c>
      <c r="I89" s="165">
        <v>5869</v>
      </c>
      <c r="J89" s="180">
        <f t="shared" si="31"/>
        <v>4.621704895583667E-3</v>
      </c>
      <c r="K89" s="164">
        <f t="shared" si="30"/>
        <v>27</v>
      </c>
      <c r="L89" s="166">
        <f t="shared" si="29"/>
        <v>1.8708504352460699E-3</v>
      </c>
    </row>
    <row r="90" spans="1:12" x14ac:dyDescent="0.25">
      <c r="A90" s="163" t="s">
        <v>146</v>
      </c>
      <c r="B90" s="164" t="s">
        <v>133</v>
      </c>
      <c r="C90" s="165">
        <v>8761</v>
      </c>
      <c r="D90" s="165">
        <v>6540</v>
      </c>
      <c r="E90" s="165">
        <v>523</v>
      </c>
      <c r="F90" s="165">
        <v>4014</v>
      </c>
      <c r="G90" s="165">
        <v>7037</v>
      </c>
      <c r="H90" s="165">
        <v>7716</v>
      </c>
      <c r="I90" s="165">
        <v>5291</v>
      </c>
      <c r="J90" s="180">
        <f t="shared" si="31"/>
        <v>-0.314282011404873</v>
      </c>
      <c r="K90" s="164">
        <f t="shared" si="30"/>
        <v>-2425</v>
      </c>
      <c r="L90" s="166">
        <f t="shared" si="29"/>
        <v>1.6866024285034855E-3</v>
      </c>
    </row>
    <row r="91" spans="1:12" x14ac:dyDescent="0.25">
      <c r="A91" s="168" t="s">
        <v>147</v>
      </c>
      <c r="B91" s="169" t="s">
        <v>147</v>
      </c>
      <c r="C91" s="170">
        <f t="shared" ref="C91" si="32">C83-SUM(C84:C90)</f>
        <v>77906</v>
      </c>
      <c r="D91" s="170">
        <f t="shared" ref="D91:I91" si="33">D83-SUM(D84:D90)</f>
        <v>38307</v>
      </c>
      <c r="E91" s="170">
        <f t="shared" si="33"/>
        <v>16240</v>
      </c>
      <c r="F91" s="170">
        <f t="shared" si="33"/>
        <v>65067</v>
      </c>
      <c r="G91" s="170">
        <f t="shared" si="33"/>
        <v>83137</v>
      </c>
      <c r="H91" s="170">
        <f t="shared" si="33"/>
        <v>98730</v>
      </c>
      <c r="I91" s="170">
        <f t="shared" si="33"/>
        <v>106738</v>
      </c>
      <c r="J91" s="181">
        <f t="shared" si="31"/>
        <v>8.1110098247746398E-2</v>
      </c>
      <c r="K91" s="169">
        <f>I91-H91</f>
        <v>8008</v>
      </c>
      <c r="L91" s="171">
        <f t="shared" si="29"/>
        <v>3.4024677757249107E-2</v>
      </c>
    </row>
    <row r="92" spans="1:12" x14ac:dyDescent="0.25">
      <c r="A92" s="1"/>
      <c r="B92" s="156" t="s">
        <v>51</v>
      </c>
      <c r="C92" s="154"/>
      <c r="D92" s="154"/>
      <c r="E92" s="154"/>
      <c r="F92" s="154"/>
      <c r="G92" s="154"/>
      <c r="H92" s="154"/>
      <c r="I92" s="154"/>
      <c r="J92" s="155"/>
      <c r="K92" s="155"/>
      <c r="L92" s="154"/>
    </row>
    <row r="93" spans="1:12" x14ac:dyDescent="0.25">
      <c r="A93" s="1"/>
      <c r="B93" s="157" t="s">
        <v>70</v>
      </c>
      <c r="C93" s="177">
        <v>28518</v>
      </c>
      <c r="D93" s="177">
        <v>13511</v>
      </c>
      <c r="E93" s="177">
        <v>12246</v>
      </c>
      <c r="F93" s="177">
        <v>25844</v>
      </c>
      <c r="G93" s="177">
        <v>32224</v>
      </c>
      <c r="H93" s="177">
        <v>30825</v>
      </c>
      <c r="I93" s="177">
        <v>29839</v>
      </c>
      <c r="J93" s="178">
        <f>IFERROR(I93/H93-1,"-")</f>
        <v>-3.1987023519870261E-2</v>
      </c>
      <c r="K93" s="177">
        <f>I93-H93</f>
        <v>-986</v>
      </c>
      <c r="L93" s="178">
        <f t="shared" ref="L93:L105" si="34">I93/I$9</f>
        <v>9.5117236560414865E-3</v>
      </c>
    </row>
    <row r="94" spans="1:12" x14ac:dyDescent="0.25">
      <c r="A94" s="1" t="s">
        <v>98</v>
      </c>
      <c r="B94" s="160" t="s">
        <v>99</v>
      </c>
      <c r="C94" s="161">
        <v>17539</v>
      </c>
      <c r="D94" s="161">
        <v>7669</v>
      </c>
      <c r="E94" s="161">
        <v>7557</v>
      </c>
      <c r="F94" s="161">
        <v>15601</v>
      </c>
      <c r="G94" s="161">
        <v>20436</v>
      </c>
      <c r="H94" s="161">
        <v>17336</v>
      </c>
      <c r="I94" s="161">
        <v>17141</v>
      </c>
      <c r="J94" s="179">
        <f>IFERROR(I94/H94-1,"-")</f>
        <v>-1.1248269497000418E-2</v>
      </c>
      <c r="K94" s="160">
        <f t="shared" ref="K94:K104" si="35">I94-H94</f>
        <v>-195</v>
      </c>
      <c r="L94" s="162">
        <f t="shared" si="34"/>
        <v>5.4640053349042225E-3</v>
      </c>
    </row>
    <row r="95" spans="1:12" x14ac:dyDescent="0.25">
      <c r="A95" s="163" t="s">
        <v>105</v>
      </c>
      <c r="B95" s="164" t="s">
        <v>105</v>
      </c>
      <c r="C95" s="165">
        <v>8236</v>
      </c>
      <c r="D95" s="165">
        <v>4352</v>
      </c>
      <c r="E95" s="165">
        <v>4335</v>
      </c>
      <c r="F95" s="165">
        <v>7360</v>
      </c>
      <c r="G95" s="165">
        <v>6042</v>
      </c>
      <c r="H95" s="165">
        <v>4738</v>
      </c>
      <c r="I95" s="165">
        <v>5566</v>
      </c>
      <c r="J95" s="180">
        <f>IFERROR(I95/H95-1,"-")</f>
        <v>0.17475728155339798</v>
      </c>
      <c r="K95" s="164">
        <f t="shared" si="35"/>
        <v>828</v>
      </c>
      <c r="L95" s="166">
        <f t="shared" si="34"/>
        <v>1.774263677386203E-3</v>
      </c>
    </row>
    <row r="96" spans="1:12" x14ac:dyDescent="0.25">
      <c r="A96" s="163" t="s">
        <v>102</v>
      </c>
      <c r="B96" s="164" t="s">
        <v>102</v>
      </c>
      <c r="C96" s="165">
        <v>9303</v>
      </c>
      <c r="D96" s="165">
        <v>3317</v>
      </c>
      <c r="E96" s="165">
        <v>3222</v>
      </c>
      <c r="F96" s="165">
        <v>8241</v>
      </c>
      <c r="G96" s="165">
        <v>14394</v>
      </c>
      <c r="H96" s="165">
        <v>12598</v>
      </c>
      <c r="I96" s="165">
        <v>11575</v>
      </c>
      <c r="J96" s="180">
        <f>IFERROR(I96/H96-1,"-")</f>
        <v>-8.1203365613589429E-2</v>
      </c>
      <c r="K96" s="164">
        <f t="shared" si="35"/>
        <v>-1023</v>
      </c>
      <c r="L96" s="166">
        <f t="shared" si="34"/>
        <v>3.6897416575180199E-3</v>
      </c>
    </row>
    <row r="97" spans="1:12" x14ac:dyDescent="0.25">
      <c r="A97" s="1"/>
      <c r="B97" s="160" t="s">
        <v>109</v>
      </c>
      <c r="C97" s="161">
        <v>10979</v>
      </c>
      <c r="D97" s="161">
        <v>5842</v>
      </c>
      <c r="E97" s="161">
        <v>4689</v>
      </c>
      <c r="F97" s="161">
        <v>10243</v>
      </c>
      <c r="G97" s="161">
        <v>11788</v>
      </c>
      <c r="H97" s="161">
        <v>13489</v>
      </c>
      <c r="I97" s="161">
        <v>12698</v>
      </c>
      <c r="J97" s="179">
        <f>IFERROR(I97/H97-1,"-")</f>
        <v>-5.8640373637778964E-2</v>
      </c>
      <c r="K97" s="160">
        <f t="shared" si="35"/>
        <v>-791</v>
      </c>
      <c r="L97" s="162">
        <f t="shared" si="34"/>
        <v>4.0477183211372631E-3</v>
      </c>
    </row>
    <row r="98" spans="1:12" s="57" customFormat="1" x14ac:dyDescent="0.25">
      <c r="B98" s="164" t="s">
        <v>112</v>
      </c>
      <c r="C98" s="165">
        <v>1535</v>
      </c>
      <c r="D98" s="165">
        <v>1092</v>
      </c>
      <c r="E98" s="165">
        <v>151</v>
      </c>
      <c r="F98" s="165">
        <v>1467</v>
      </c>
      <c r="G98" s="165">
        <v>1759</v>
      </c>
      <c r="H98" s="165">
        <v>2040</v>
      </c>
      <c r="I98" s="165">
        <v>1691</v>
      </c>
      <c r="J98" s="180">
        <f t="shared" ref="J98:J105" si="36">IFERROR(I98/H98-1,"-")</f>
        <v>-0.17107843137254897</v>
      </c>
      <c r="K98" s="164">
        <f t="shared" si="35"/>
        <v>-349</v>
      </c>
      <c r="L98" s="166">
        <f t="shared" si="34"/>
        <v>5.3903698858427402E-4</v>
      </c>
    </row>
    <row r="99" spans="1:12" s="57" customFormat="1" x14ac:dyDescent="0.25">
      <c r="B99" s="164" t="s">
        <v>115</v>
      </c>
      <c r="C99" s="165">
        <v>2628</v>
      </c>
      <c r="D99" s="165">
        <v>1303</v>
      </c>
      <c r="E99" s="165">
        <v>770</v>
      </c>
      <c r="F99" s="165">
        <v>2210</v>
      </c>
      <c r="G99" s="165">
        <v>2415</v>
      </c>
      <c r="H99" s="165">
        <v>2894</v>
      </c>
      <c r="I99" s="165">
        <v>2601</v>
      </c>
      <c r="J99" s="180">
        <f t="shared" si="36"/>
        <v>-0.1012439530062198</v>
      </c>
      <c r="K99" s="164">
        <f t="shared" si="35"/>
        <v>-293</v>
      </c>
      <c r="L99" s="166">
        <f t="shared" si="34"/>
        <v>8.2911603034163022E-4</v>
      </c>
    </row>
    <row r="100" spans="1:12" x14ac:dyDescent="0.25">
      <c r="A100" s="1"/>
      <c r="B100" s="164" t="s">
        <v>118</v>
      </c>
      <c r="C100" s="165">
        <v>2117</v>
      </c>
      <c r="D100" s="165">
        <v>1217</v>
      </c>
      <c r="E100" s="165">
        <v>1932</v>
      </c>
      <c r="F100" s="165">
        <v>1888</v>
      </c>
      <c r="G100" s="165">
        <v>2169</v>
      </c>
      <c r="H100" s="165">
        <v>2188</v>
      </c>
      <c r="I100" s="165">
        <v>2123</v>
      </c>
      <c r="J100" s="180">
        <f t="shared" si="36"/>
        <v>-2.9707495429616038E-2</v>
      </c>
      <c r="K100" s="164">
        <f t="shared" si="35"/>
        <v>-65</v>
      </c>
      <c r="L100" s="166">
        <f t="shared" si="34"/>
        <v>6.7674484137457934E-4</v>
      </c>
    </row>
    <row r="101" spans="1:12" x14ac:dyDescent="0.25">
      <c r="A101" s="1"/>
      <c r="B101" s="164" t="s">
        <v>125</v>
      </c>
      <c r="C101" s="165">
        <v>353</v>
      </c>
      <c r="D101" s="165">
        <v>278</v>
      </c>
      <c r="E101" s="165">
        <v>93</v>
      </c>
      <c r="F101" s="165">
        <v>731</v>
      </c>
      <c r="G101" s="165">
        <v>585</v>
      </c>
      <c r="H101" s="165">
        <v>661</v>
      </c>
      <c r="I101" s="165">
        <v>606</v>
      </c>
      <c r="J101" s="180">
        <f t="shared" si="36"/>
        <v>-8.3207261724659642E-2</v>
      </c>
      <c r="K101" s="164">
        <f t="shared" si="35"/>
        <v>-55</v>
      </c>
      <c r="L101" s="166">
        <f t="shared" si="34"/>
        <v>1.9317351571973391E-4</v>
      </c>
    </row>
    <row r="102" spans="1:12" x14ac:dyDescent="0.25">
      <c r="A102" s="1"/>
      <c r="B102" s="164" t="s">
        <v>121</v>
      </c>
      <c r="C102" s="165">
        <v>328</v>
      </c>
      <c r="D102" s="165">
        <v>141</v>
      </c>
      <c r="E102" s="165">
        <v>160</v>
      </c>
      <c r="F102" s="165">
        <v>403</v>
      </c>
      <c r="G102" s="165">
        <v>312</v>
      </c>
      <c r="H102" s="165">
        <v>555</v>
      </c>
      <c r="I102" s="165">
        <v>527</v>
      </c>
      <c r="J102" s="180">
        <f t="shared" si="36"/>
        <v>-5.045045045045049E-2</v>
      </c>
      <c r="K102" s="164">
        <f t="shared" si="35"/>
        <v>-28</v>
      </c>
      <c r="L102" s="166">
        <f t="shared" si="34"/>
        <v>1.6799082967706235E-4</v>
      </c>
    </row>
    <row r="103" spans="1:12" x14ac:dyDescent="0.25">
      <c r="A103" s="1"/>
      <c r="B103" s="164" t="s">
        <v>130</v>
      </c>
      <c r="C103" s="165">
        <v>120</v>
      </c>
      <c r="D103" s="165">
        <v>125</v>
      </c>
      <c r="E103" s="165">
        <v>17</v>
      </c>
      <c r="F103" s="165">
        <v>182</v>
      </c>
      <c r="G103" s="165">
        <v>90</v>
      </c>
      <c r="H103" s="165">
        <v>163</v>
      </c>
      <c r="I103" s="165">
        <v>128</v>
      </c>
      <c r="J103" s="180">
        <f t="shared" si="36"/>
        <v>-0.21472392638036808</v>
      </c>
      <c r="K103" s="164">
        <f t="shared" si="35"/>
        <v>-35</v>
      </c>
      <c r="L103" s="166">
        <f t="shared" si="34"/>
        <v>4.0802326752683071E-5</v>
      </c>
    </row>
    <row r="104" spans="1:12" x14ac:dyDescent="0.25">
      <c r="A104" s="163" t="s">
        <v>146</v>
      </c>
      <c r="B104" s="164" t="s">
        <v>133</v>
      </c>
      <c r="C104" s="165">
        <v>131</v>
      </c>
      <c r="D104" s="165">
        <v>70</v>
      </c>
      <c r="E104" s="165">
        <v>44</v>
      </c>
      <c r="F104" s="165">
        <v>100</v>
      </c>
      <c r="G104" s="165">
        <v>166</v>
      </c>
      <c r="H104" s="165">
        <v>306</v>
      </c>
      <c r="I104" s="165">
        <v>152</v>
      </c>
      <c r="J104" s="180">
        <f t="shared" si="36"/>
        <v>-0.50326797385620914</v>
      </c>
      <c r="K104" s="164">
        <f t="shared" si="35"/>
        <v>-154</v>
      </c>
      <c r="L104" s="166">
        <f t="shared" si="34"/>
        <v>4.8452763018811148E-5</v>
      </c>
    </row>
    <row r="105" spans="1:12" x14ac:dyDescent="0.25">
      <c r="A105" s="168" t="s">
        <v>147</v>
      </c>
      <c r="B105" s="169" t="s">
        <v>147</v>
      </c>
      <c r="C105" s="170">
        <f t="shared" ref="C105" si="37">C97-SUM(C98:C104)</f>
        <v>3767</v>
      </c>
      <c r="D105" s="170">
        <f t="shared" ref="D105:I105" si="38">D97-SUM(D98:D104)</f>
        <v>1616</v>
      </c>
      <c r="E105" s="170">
        <f t="shared" si="38"/>
        <v>1522</v>
      </c>
      <c r="F105" s="170">
        <f t="shared" si="38"/>
        <v>3262</v>
      </c>
      <c r="G105" s="170">
        <f t="shared" si="38"/>
        <v>4292</v>
      </c>
      <c r="H105" s="170">
        <f t="shared" si="38"/>
        <v>4682</v>
      </c>
      <c r="I105" s="170">
        <f t="shared" si="38"/>
        <v>4870</v>
      </c>
      <c r="J105" s="181">
        <f t="shared" si="36"/>
        <v>4.0153780435711273E-2</v>
      </c>
      <c r="K105" s="169">
        <f>I105-H105</f>
        <v>188</v>
      </c>
      <c r="L105" s="171">
        <f t="shared" si="34"/>
        <v>1.5524010256684887E-3</v>
      </c>
    </row>
    <row r="106" spans="1:12" x14ac:dyDescent="0.25">
      <c r="A106" s="1"/>
      <c r="B106" s="156" t="s">
        <v>52</v>
      </c>
      <c r="C106" s="154"/>
      <c r="D106" s="154"/>
      <c r="E106" s="154"/>
      <c r="F106" s="154"/>
      <c r="G106" s="154"/>
      <c r="H106" s="154"/>
      <c r="I106" s="154"/>
      <c r="J106" s="155"/>
      <c r="K106" s="155"/>
      <c r="L106" s="154"/>
    </row>
    <row r="107" spans="1:12" x14ac:dyDescent="0.25">
      <c r="A107" s="1"/>
      <c r="B107" s="157" t="s">
        <v>70</v>
      </c>
      <c r="C107" s="177">
        <v>83300</v>
      </c>
      <c r="D107" s="177">
        <v>44636</v>
      </c>
      <c r="E107" s="177">
        <v>37596</v>
      </c>
      <c r="F107" s="177">
        <v>109438</v>
      </c>
      <c r="G107" s="177">
        <v>143430</v>
      </c>
      <c r="H107" s="177">
        <v>138078</v>
      </c>
      <c r="I107" s="177">
        <v>147104</v>
      </c>
      <c r="J107" s="178">
        <f>IFERROR(I107/H107-1,"-")</f>
        <v>6.536884949086752E-2</v>
      </c>
      <c r="K107" s="177">
        <f>I107-H107</f>
        <v>9026</v>
      </c>
      <c r="L107" s="178">
        <f t="shared" ref="L107:L119" si="39">I107/I$9</f>
        <v>4.6892074020521021E-2</v>
      </c>
    </row>
    <row r="108" spans="1:12" x14ac:dyDescent="0.25">
      <c r="A108" s="1" t="s">
        <v>98</v>
      </c>
      <c r="B108" s="160" t="s">
        <v>99</v>
      </c>
      <c r="C108" s="161">
        <v>13461</v>
      </c>
      <c r="D108" s="161">
        <v>9051</v>
      </c>
      <c r="E108" s="161">
        <v>21218</v>
      </c>
      <c r="F108" s="161">
        <v>20988</v>
      </c>
      <c r="G108" s="161">
        <v>26808</v>
      </c>
      <c r="H108" s="161">
        <v>25400</v>
      </c>
      <c r="I108" s="161">
        <v>27412</v>
      </c>
      <c r="J108" s="179">
        <f>IFERROR(I108/H108-1,"-")</f>
        <v>7.921259842519679E-2</v>
      </c>
      <c r="K108" s="160">
        <f t="shared" ref="K108:K118" si="40">I108-H108</f>
        <v>2012</v>
      </c>
      <c r="L108" s="162">
        <f t="shared" si="39"/>
        <v>8.7380732886292844E-3</v>
      </c>
    </row>
    <row r="109" spans="1:12" x14ac:dyDescent="0.25">
      <c r="A109" s="163" t="s">
        <v>105</v>
      </c>
      <c r="B109" s="164" t="s">
        <v>105</v>
      </c>
      <c r="C109" s="165">
        <v>4768</v>
      </c>
      <c r="D109" s="165">
        <v>1581</v>
      </c>
      <c r="E109" s="165">
        <v>15950</v>
      </c>
      <c r="F109" s="165">
        <v>8335</v>
      </c>
      <c r="G109" s="165">
        <v>10440</v>
      </c>
      <c r="H109" s="165">
        <v>7298</v>
      </c>
      <c r="I109" s="165">
        <v>9246</v>
      </c>
      <c r="J109" s="180">
        <f>IFERROR(I109/H109-1,"-")</f>
        <v>0.26692244450534397</v>
      </c>
      <c r="K109" s="164">
        <f t="shared" si="40"/>
        <v>1948</v>
      </c>
      <c r="L109" s="166">
        <f t="shared" si="39"/>
        <v>2.9473305715258412E-3</v>
      </c>
    </row>
    <row r="110" spans="1:12" x14ac:dyDescent="0.25">
      <c r="A110" s="163" t="s">
        <v>102</v>
      </c>
      <c r="B110" s="164" t="s">
        <v>102</v>
      </c>
      <c r="C110" s="165">
        <v>8693</v>
      </c>
      <c r="D110" s="165">
        <v>7470</v>
      </c>
      <c r="E110" s="165">
        <v>5268</v>
      </c>
      <c r="F110" s="165">
        <v>12653</v>
      </c>
      <c r="G110" s="165">
        <v>16368</v>
      </c>
      <c r="H110" s="165">
        <v>18102</v>
      </c>
      <c r="I110" s="165">
        <v>18166</v>
      </c>
      <c r="J110" s="180">
        <f>IFERROR(I110/H110-1,"-")</f>
        <v>3.5355209369130058E-3</v>
      </c>
      <c r="K110" s="164">
        <f t="shared" si="40"/>
        <v>64</v>
      </c>
      <c r="L110" s="166">
        <f t="shared" si="39"/>
        <v>5.7907427171034432E-3</v>
      </c>
    </row>
    <row r="111" spans="1:12" x14ac:dyDescent="0.25">
      <c r="A111" s="1"/>
      <c r="B111" s="160" t="s">
        <v>109</v>
      </c>
      <c r="C111" s="161">
        <v>69839</v>
      </c>
      <c r="D111" s="161">
        <v>35585</v>
      </c>
      <c r="E111" s="161">
        <v>16378</v>
      </c>
      <c r="F111" s="161">
        <v>88450</v>
      </c>
      <c r="G111" s="161">
        <v>116622</v>
      </c>
      <c r="H111" s="161">
        <v>112678</v>
      </c>
      <c r="I111" s="161">
        <v>119692</v>
      </c>
      <c r="J111" s="179">
        <f>IFERROR(I111/H111-1,"-")</f>
        <v>6.2248176218960172E-2</v>
      </c>
      <c r="K111" s="160">
        <f t="shared" si="40"/>
        <v>7014</v>
      </c>
      <c r="L111" s="162">
        <f t="shared" si="39"/>
        <v>3.8154000731891735E-2</v>
      </c>
    </row>
    <row r="112" spans="1:12" s="57" customFormat="1" x14ac:dyDescent="0.25">
      <c r="B112" s="164" t="s">
        <v>112</v>
      </c>
      <c r="C112" s="165">
        <v>37478</v>
      </c>
      <c r="D112" s="165">
        <v>19611</v>
      </c>
      <c r="E112" s="165">
        <v>2616</v>
      </c>
      <c r="F112" s="165">
        <v>51306</v>
      </c>
      <c r="G112" s="165">
        <v>74047</v>
      </c>
      <c r="H112" s="165">
        <v>68012</v>
      </c>
      <c r="I112" s="165">
        <v>69216</v>
      </c>
      <c r="J112" s="180">
        <f t="shared" ref="J112:J119" si="41">IFERROR(I112/H112-1,"-")</f>
        <v>1.7702758336764157E-2</v>
      </c>
      <c r="K112" s="164">
        <f t="shared" si="40"/>
        <v>1204</v>
      </c>
      <c r="L112" s="166">
        <f t="shared" si="39"/>
        <v>2.206385819151337E-2</v>
      </c>
    </row>
    <row r="113" spans="1:12" s="57" customFormat="1" x14ac:dyDescent="0.25">
      <c r="B113" s="164" t="s">
        <v>115</v>
      </c>
      <c r="C113" s="165">
        <v>6562</v>
      </c>
      <c r="D113" s="165">
        <v>2289</v>
      </c>
      <c r="E113" s="165">
        <v>4415</v>
      </c>
      <c r="F113" s="165">
        <v>4252</v>
      </c>
      <c r="G113" s="165">
        <v>5864</v>
      </c>
      <c r="H113" s="165">
        <v>5167</v>
      </c>
      <c r="I113" s="165">
        <v>6185</v>
      </c>
      <c r="J113" s="180">
        <f t="shared" si="41"/>
        <v>0.1970195471259919</v>
      </c>
      <c r="K113" s="164">
        <f t="shared" si="40"/>
        <v>1018</v>
      </c>
      <c r="L113" s="166">
        <f t="shared" si="39"/>
        <v>1.9715811794167562E-3</v>
      </c>
    </row>
    <row r="114" spans="1:12" x14ac:dyDescent="0.25">
      <c r="A114" s="1"/>
      <c r="B114" s="164" t="s">
        <v>118</v>
      </c>
      <c r="C114" s="165">
        <v>8064</v>
      </c>
      <c r="D114" s="165">
        <v>1751</v>
      </c>
      <c r="E114" s="165">
        <v>3316</v>
      </c>
      <c r="F114" s="165">
        <v>5467</v>
      </c>
      <c r="G114" s="165">
        <v>9418</v>
      </c>
      <c r="H114" s="165">
        <v>7260</v>
      </c>
      <c r="I114" s="165">
        <v>9407</v>
      </c>
      <c r="J114" s="180">
        <f t="shared" si="41"/>
        <v>0.29573002754820932</v>
      </c>
      <c r="K114" s="164">
        <f t="shared" si="40"/>
        <v>2147</v>
      </c>
      <c r="L114" s="166">
        <f t="shared" si="39"/>
        <v>2.9986522481444504E-3</v>
      </c>
    </row>
    <row r="115" spans="1:12" x14ac:dyDescent="0.25">
      <c r="A115" s="1"/>
      <c r="B115" s="164" t="s">
        <v>125</v>
      </c>
      <c r="C115" s="165">
        <v>1827</v>
      </c>
      <c r="D115" s="165">
        <v>686</v>
      </c>
      <c r="E115" s="165">
        <v>798</v>
      </c>
      <c r="F115" s="165">
        <v>4402</v>
      </c>
      <c r="G115" s="165">
        <v>3904</v>
      </c>
      <c r="H115" s="165">
        <v>4176</v>
      </c>
      <c r="I115" s="165">
        <v>4249</v>
      </c>
      <c r="J115" s="180">
        <f t="shared" si="41"/>
        <v>1.7480842911877348E-2</v>
      </c>
      <c r="K115" s="164">
        <f t="shared" si="40"/>
        <v>73</v>
      </c>
      <c r="L115" s="166">
        <f t="shared" si="39"/>
        <v>1.3544459872824248E-3</v>
      </c>
    </row>
    <row r="116" spans="1:12" x14ac:dyDescent="0.25">
      <c r="A116" s="1"/>
      <c r="B116" s="164" t="s">
        <v>121</v>
      </c>
      <c r="C116" s="165">
        <v>2185</v>
      </c>
      <c r="D116" s="165">
        <v>1071</v>
      </c>
      <c r="E116" s="165">
        <v>1234</v>
      </c>
      <c r="F116" s="165">
        <v>3324</v>
      </c>
      <c r="G116" s="165">
        <v>2903</v>
      </c>
      <c r="H116" s="165">
        <v>3174</v>
      </c>
      <c r="I116" s="165">
        <v>3073</v>
      </c>
      <c r="J116" s="180">
        <f t="shared" si="41"/>
        <v>-3.1821045998739805E-2</v>
      </c>
      <c r="K116" s="164">
        <f t="shared" si="40"/>
        <v>-101</v>
      </c>
      <c r="L116" s="166">
        <f t="shared" si="39"/>
        <v>9.7957461024214911E-4</v>
      </c>
    </row>
    <row r="117" spans="1:12" x14ac:dyDescent="0.25">
      <c r="A117" s="1"/>
      <c r="B117" s="164" t="s">
        <v>130</v>
      </c>
      <c r="C117" s="165">
        <v>564</v>
      </c>
      <c r="D117" s="165">
        <v>440</v>
      </c>
      <c r="E117" s="165">
        <v>14</v>
      </c>
      <c r="F117" s="165">
        <v>569</v>
      </c>
      <c r="G117" s="165">
        <v>833</v>
      </c>
      <c r="H117" s="165">
        <v>1190</v>
      </c>
      <c r="I117" s="165">
        <v>974</v>
      </c>
      <c r="J117" s="180">
        <f t="shared" si="41"/>
        <v>-0.18151260504201683</v>
      </c>
      <c r="K117" s="164">
        <f t="shared" si="40"/>
        <v>-216</v>
      </c>
      <c r="L117" s="166">
        <f t="shared" si="39"/>
        <v>3.1048020513369776E-4</v>
      </c>
    </row>
    <row r="118" spans="1:12" x14ac:dyDescent="0.25">
      <c r="A118" s="163" t="s">
        <v>146</v>
      </c>
      <c r="B118" s="164" t="s">
        <v>133</v>
      </c>
      <c r="C118" s="165">
        <v>1060</v>
      </c>
      <c r="D118" s="165">
        <v>1160</v>
      </c>
      <c r="E118" s="165">
        <v>23</v>
      </c>
      <c r="F118" s="165">
        <v>841</v>
      </c>
      <c r="G118" s="165">
        <v>577</v>
      </c>
      <c r="H118" s="165">
        <v>1380</v>
      </c>
      <c r="I118" s="165">
        <v>859</v>
      </c>
      <c r="J118" s="180">
        <f t="shared" si="41"/>
        <v>-0.37753623188405794</v>
      </c>
      <c r="K118" s="164">
        <f t="shared" si="40"/>
        <v>-521</v>
      </c>
      <c r="L118" s="166">
        <f t="shared" si="39"/>
        <v>2.7382186469183408E-4</v>
      </c>
    </row>
    <row r="119" spans="1:12" x14ac:dyDescent="0.25">
      <c r="A119" s="168" t="s">
        <v>147</v>
      </c>
      <c r="B119" s="169" t="s">
        <v>147</v>
      </c>
      <c r="C119" s="170">
        <f t="shared" ref="C119" si="42">C111-SUM(C112:C118)</f>
        <v>12099</v>
      </c>
      <c r="D119" s="170">
        <f t="shared" ref="D119:I119" si="43">D111-SUM(D112:D118)</f>
        <v>8577</v>
      </c>
      <c r="E119" s="170">
        <f t="shared" si="43"/>
        <v>3962</v>
      </c>
      <c r="F119" s="170">
        <f t="shared" si="43"/>
        <v>18289</v>
      </c>
      <c r="G119" s="170">
        <f t="shared" si="43"/>
        <v>19076</v>
      </c>
      <c r="H119" s="170">
        <f t="shared" si="43"/>
        <v>22319</v>
      </c>
      <c r="I119" s="170">
        <f t="shared" si="43"/>
        <v>25729</v>
      </c>
      <c r="J119" s="181">
        <f t="shared" si="41"/>
        <v>0.1527846229669787</v>
      </c>
      <c r="K119" s="169">
        <f>I119-H119</f>
        <v>3410</v>
      </c>
      <c r="L119" s="171">
        <f t="shared" si="39"/>
        <v>8.2015864454670524E-3</v>
      </c>
    </row>
    <row r="120" spans="1:12" x14ac:dyDescent="0.25">
      <c r="A120" s="1"/>
      <c r="B120" s="156" t="s">
        <v>53</v>
      </c>
      <c r="C120" s="154"/>
      <c r="D120" s="154"/>
      <c r="E120" s="154"/>
      <c r="F120" s="154"/>
      <c r="G120" s="154"/>
      <c r="H120" s="154"/>
      <c r="I120" s="154"/>
      <c r="J120" s="155"/>
      <c r="K120" s="155"/>
      <c r="L120" s="154"/>
    </row>
    <row r="121" spans="1:12" x14ac:dyDescent="0.25">
      <c r="A121" s="1"/>
      <c r="B121" s="157" t="s">
        <v>70</v>
      </c>
      <c r="C121" s="177">
        <v>117158</v>
      </c>
      <c r="D121" s="177">
        <v>55825</v>
      </c>
      <c r="E121" s="177">
        <v>60421</v>
      </c>
      <c r="F121" s="177">
        <v>109587</v>
      </c>
      <c r="G121" s="177">
        <v>132057</v>
      </c>
      <c r="H121" s="177">
        <v>131356</v>
      </c>
      <c r="I121" s="177">
        <v>146899</v>
      </c>
      <c r="J121" s="178">
        <f>IFERROR(I121/H121-1,"-")</f>
        <v>0.11832729376655804</v>
      </c>
      <c r="K121" s="177">
        <f>I121-H121</f>
        <v>15543</v>
      </c>
      <c r="L121" s="178">
        <f t="shared" ref="L121:L133" si="44">I121/I$9</f>
        <v>4.6826726544081175E-2</v>
      </c>
    </row>
    <row r="122" spans="1:12" x14ac:dyDescent="0.25">
      <c r="A122" s="1" t="s">
        <v>98</v>
      </c>
      <c r="B122" s="160" t="s">
        <v>99</v>
      </c>
      <c r="C122" s="161">
        <v>60924</v>
      </c>
      <c r="D122" s="161">
        <v>28023</v>
      </c>
      <c r="E122" s="161">
        <v>39488</v>
      </c>
      <c r="F122" s="161">
        <v>64967</v>
      </c>
      <c r="G122" s="161">
        <v>78816</v>
      </c>
      <c r="H122" s="161">
        <v>78033</v>
      </c>
      <c r="I122" s="161">
        <v>90645</v>
      </c>
      <c r="J122" s="179">
        <f>IFERROR(I122/H122-1,"-")</f>
        <v>0.16162392833801076</v>
      </c>
      <c r="K122" s="160">
        <f t="shared" ref="K122:K132" si="45">I122-H122</f>
        <v>12612</v>
      </c>
      <c r="L122" s="162">
        <f t="shared" si="44"/>
        <v>2.8894741472632476E-2</v>
      </c>
    </row>
    <row r="123" spans="1:12" x14ac:dyDescent="0.25">
      <c r="A123" s="163" t="s">
        <v>105</v>
      </c>
      <c r="B123" s="164" t="s">
        <v>105</v>
      </c>
      <c r="C123" s="165">
        <v>29283</v>
      </c>
      <c r="D123" s="165">
        <v>14178</v>
      </c>
      <c r="E123" s="165">
        <v>21239</v>
      </c>
      <c r="F123" s="165">
        <v>32360</v>
      </c>
      <c r="G123" s="165">
        <v>36519</v>
      </c>
      <c r="H123" s="165">
        <v>34958</v>
      </c>
      <c r="I123" s="165">
        <v>45236</v>
      </c>
      <c r="J123" s="180">
        <f>IFERROR(I123/H123-1,"-")</f>
        <v>0.29400995480290626</v>
      </c>
      <c r="K123" s="164">
        <f t="shared" si="45"/>
        <v>10278</v>
      </c>
      <c r="L123" s="166">
        <f t="shared" si="44"/>
        <v>1.4419797288940403E-2</v>
      </c>
    </row>
    <row r="124" spans="1:12" x14ac:dyDescent="0.25">
      <c r="A124" s="163" t="s">
        <v>102</v>
      </c>
      <c r="B124" s="164" t="s">
        <v>102</v>
      </c>
      <c r="C124" s="165">
        <v>31641</v>
      </c>
      <c r="D124" s="165">
        <v>13845</v>
      </c>
      <c r="E124" s="165">
        <v>18249</v>
      </c>
      <c r="F124" s="165">
        <v>32607</v>
      </c>
      <c r="G124" s="165">
        <v>42297</v>
      </c>
      <c r="H124" s="165">
        <v>43075</v>
      </c>
      <c r="I124" s="165">
        <v>45409</v>
      </c>
      <c r="J124" s="180">
        <f>IFERROR(I124/H124-1,"-")</f>
        <v>5.4184561810795229E-2</v>
      </c>
      <c r="K124" s="164">
        <f t="shared" si="45"/>
        <v>2334</v>
      </c>
      <c r="L124" s="166">
        <f t="shared" si="44"/>
        <v>1.4474944183692075E-2</v>
      </c>
    </row>
    <row r="125" spans="1:12" x14ac:dyDescent="0.25">
      <c r="A125" s="1"/>
      <c r="B125" s="160" t="s">
        <v>109</v>
      </c>
      <c r="C125" s="161">
        <v>56234</v>
      </c>
      <c r="D125" s="161">
        <v>27802</v>
      </c>
      <c r="E125" s="161">
        <v>20933</v>
      </c>
      <c r="F125" s="161">
        <v>44620</v>
      </c>
      <c r="G125" s="161">
        <v>53241</v>
      </c>
      <c r="H125" s="161">
        <v>53323</v>
      </c>
      <c r="I125" s="161">
        <v>56254</v>
      </c>
      <c r="J125" s="179">
        <f>IFERROR(I125/H125-1,"-")</f>
        <v>5.496689983684333E-2</v>
      </c>
      <c r="K125" s="160">
        <f t="shared" si="45"/>
        <v>2931</v>
      </c>
      <c r="L125" s="162">
        <f t="shared" si="44"/>
        <v>1.7931985071448699E-2</v>
      </c>
    </row>
    <row r="126" spans="1:12" s="57" customFormat="1" x14ac:dyDescent="0.25">
      <c r="B126" s="164" t="s">
        <v>112</v>
      </c>
      <c r="C126" s="165">
        <v>6033</v>
      </c>
      <c r="D126" s="165">
        <v>3076</v>
      </c>
      <c r="E126" s="165">
        <v>654</v>
      </c>
      <c r="F126" s="165">
        <v>4499</v>
      </c>
      <c r="G126" s="165">
        <v>6414</v>
      </c>
      <c r="H126" s="165">
        <v>6590</v>
      </c>
      <c r="I126" s="165">
        <v>5889</v>
      </c>
      <c r="J126" s="180">
        <f t="shared" ref="J126:J133" si="46">IFERROR(I126/H126-1,"-")</f>
        <v>-0.10637329286798181</v>
      </c>
      <c r="K126" s="164">
        <f t="shared" si="45"/>
        <v>-701</v>
      </c>
      <c r="L126" s="166">
        <f t="shared" si="44"/>
        <v>1.8772257988011766E-3</v>
      </c>
    </row>
    <row r="127" spans="1:12" s="57" customFormat="1" x14ac:dyDescent="0.25">
      <c r="B127" s="164" t="s">
        <v>115</v>
      </c>
      <c r="C127" s="165">
        <v>5990</v>
      </c>
      <c r="D127" s="165">
        <v>3190</v>
      </c>
      <c r="E127" s="165">
        <v>2227</v>
      </c>
      <c r="F127" s="165">
        <v>5139</v>
      </c>
      <c r="G127" s="165">
        <v>8179</v>
      </c>
      <c r="H127" s="165">
        <v>7800</v>
      </c>
      <c r="I127" s="165">
        <v>8602</v>
      </c>
      <c r="J127" s="180">
        <f t="shared" si="46"/>
        <v>0.10282051282051285</v>
      </c>
      <c r="K127" s="164">
        <f t="shared" si="45"/>
        <v>802</v>
      </c>
      <c r="L127" s="166">
        <f t="shared" si="44"/>
        <v>2.7420438650514046E-3</v>
      </c>
    </row>
    <row r="128" spans="1:12" x14ac:dyDescent="0.25">
      <c r="A128" s="1"/>
      <c r="B128" s="164" t="s">
        <v>118</v>
      </c>
      <c r="C128" s="165">
        <v>3749</v>
      </c>
      <c r="D128" s="165">
        <v>2062</v>
      </c>
      <c r="E128" s="165">
        <v>3034</v>
      </c>
      <c r="F128" s="165">
        <v>4333</v>
      </c>
      <c r="G128" s="165">
        <v>4805</v>
      </c>
      <c r="H128" s="165">
        <v>4451</v>
      </c>
      <c r="I128" s="165">
        <v>4524</v>
      </c>
      <c r="J128" s="180">
        <f t="shared" si="46"/>
        <v>1.6400808807009559E-2</v>
      </c>
      <c r="K128" s="164">
        <f t="shared" si="45"/>
        <v>73</v>
      </c>
      <c r="L128" s="166">
        <f t="shared" si="44"/>
        <v>1.4421072361651423E-3</v>
      </c>
    </row>
    <row r="129" spans="1:12" x14ac:dyDescent="0.25">
      <c r="A129" s="1"/>
      <c r="B129" s="164" t="s">
        <v>125</v>
      </c>
      <c r="C129" s="165">
        <v>937</v>
      </c>
      <c r="D129" s="165">
        <v>560</v>
      </c>
      <c r="E129" s="165">
        <v>320</v>
      </c>
      <c r="F129" s="165">
        <v>1256</v>
      </c>
      <c r="G129" s="165">
        <v>1296</v>
      </c>
      <c r="H129" s="165">
        <v>1341</v>
      </c>
      <c r="I129" s="165">
        <v>1402</v>
      </c>
      <c r="J129" s="180">
        <f t="shared" si="46"/>
        <v>4.5488441461595919E-2</v>
      </c>
      <c r="K129" s="164">
        <f t="shared" si="45"/>
        <v>61</v>
      </c>
      <c r="L129" s="166">
        <f t="shared" si="44"/>
        <v>4.4691298521298177E-4</v>
      </c>
    </row>
    <row r="130" spans="1:12" x14ac:dyDescent="0.25">
      <c r="A130" s="1"/>
      <c r="B130" s="164" t="s">
        <v>121</v>
      </c>
      <c r="C130" s="165">
        <v>811</v>
      </c>
      <c r="D130" s="165">
        <v>480</v>
      </c>
      <c r="E130" s="165">
        <v>319</v>
      </c>
      <c r="F130" s="165">
        <v>940</v>
      </c>
      <c r="G130" s="165">
        <v>1012</v>
      </c>
      <c r="H130" s="165">
        <v>1079</v>
      </c>
      <c r="I130" s="165">
        <v>1193</v>
      </c>
      <c r="J130" s="180">
        <f t="shared" si="46"/>
        <v>0.10565338276181646</v>
      </c>
      <c r="K130" s="164">
        <f t="shared" si="45"/>
        <v>114</v>
      </c>
      <c r="L130" s="166">
        <f t="shared" si="44"/>
        <v>3.8029043606211646E-4</v>
      </c>
    </row>
    <row r="131" spans="1:12" x14ac:dyDescent="0.25">
      <c r="A131" s="1"/>
      <c r="B131" s="164" t="s">
        <v>130</v>
      </c>
      <c r="C131" s="165">
        <v>1067</v>
      </c>
      <c r="D131" s="165">
        <v>673</v>
      </c>
      <c r="E131" s="165">
        <v>35</v>
      </c>
      <c r="F131" s="165">
        <v>613</v>
      </c>
      <c r="G131" s="165">
        <v>817</v>
      </c>
      <c r="H131" s="165">
        <v>928</v>
      </c>
      <c r="I131" s="165">
        <v>734</v>
      </c>
      <c r="J131" s="180">
        <f t="shared" si="46"/>
        <v>-0.20905172413793105</v>
      </c>
      <c r="K131" s="164">
        <f t="shared" si="45"/>
        <v>-194</v>
      </c>
      <c r="L131" s="166">
        <f t="shared" si="44"/>
        <v>2.3397584247241698E-4</v>
      </c>
    </row>
    <row r="132" spans="1:12" x14ac:dyDescent="0.25">
      <c r="A132" s="163" t="s">
        <v>146</v>
      </c>
      <c r="B132" s="164" t="s">
        <v>133</v>
      </c>
      <c r="C132" s="165">
        <v>1628</v>
      </c>
      <c r="D132" s="165">
        <v>1018</v>
      </c>
      <c r="E132" s="165">
        <v>149</v>
      </c>
      <c r="F132" s="165">
        <v>1077</v>
      </c>
      <c r="G132" s="165">
        <v>1517</v>
      </c>
      <c r="H132" s="165">
        <v>1432</v>
      </c>
      <c r="I132" s="165">
        <v>1392</v>
      </c>
      <c r="J132" s="180">
        <f t="shared" si="46"/>
        <v>-2.7932960893854775E-2</v>
      </c>
      <c r="K132" s="164">
        <f t="shared" si="45"/>
        <v>-40</v>
      </c>
      <c r="L132" s="166">
        <f t="shared" si="44"/>
        <v>4.4372530343542838E-4</v>
      </c>
    </row>
    <row r="133" spans="1:12" x14ac:dyDescent="0.25">
      <c r="A133" s="168" t="s">
        <v>147</v>
      </c>
      <c r="B133" s="169" t="s">
        <v>147</v>
      </c>
      <c r="C133" s="170">
        <f t="shared" ref="C133" si="47">C125-SUM(C126:C132)</f>
        <v>36019</v>
      </c>
      <c r="D133" s="170">
        <f t="shared" ref="D133:I133" si="48">D125-SUM(D126:D132)</f>
        <v>16743</v>
      </c>
      <c r="E133" s="170">
        <f t="shared" si="48"/>
        <v>14195</v>
      </c>
      <c r="F133" s="170">
        <f t="shared" si="48"/>
        <v>26763</v>
      </c>
      <c r="G133" s="170">
        <f t="shared" si="48"/>
        <v>29201</v>
      </c>
      <c r="H133" s="170">
        <f t="shared" si="48"/>
        <v>29702</v>
      </c>
      <c r="I133" s="170">
        <f t="shared" si="48"/>
        <v>32518</v>
      </c>
      <c r="J133" s="181">
        <f t="shared" si="46"/>
        <v>9.4808430408726663E-2</v>
      </c>
      <c r="K133" s="169">
        <f>I133-H133</f>
        <v>2816</v>
      </c>
      <c r="L133" s="171">
        <f t="shared" si="44"/>
        <v>1.0365703604248032E-2</v>
      </c>
    </row>
    <row r="134" spans="1:12" x14ac:dyDescent="0.25">
      <c r="A134" s="1"/>
      <c r="B134" s="156" t="s">
        <v>54</v>
      </c>
      <c r="C134" s="154"/>
      <c r="D134" s="154"/>
      <c r="E134" s="154"/>
      <c r="F134" s="154"/>
      <c r="G134" s="154"/>
      <c r="H134" s="154"/>
      <c r="I134" s="154"/>
      <c r="J134" s="155"/>
      <c r="K134" s="155"/>
      <c r="L134" s="154"/>
    </row>
    <row r="135" spans="1:12" x14ac:dyDescent="0.25">
      <c r="A135" s="1"/>
      <c r="B135" s="157" t="s">
        <v>70</v>
      </c>
      <c r="C135" s="177">
        <v>138920</v>
      </c>
      <c r="D135" s="177">
        <v>65963</v>
      </c>
      <c r="E135" s="177">
        <v>37492</v>
      </c>
      <c r="F135" s="177">
        <v>145591</v>
      </c>
      <c r="G135" s="177">
        <v>159135</v>
      </c>
      <c r="H135" s="177">
        <v>171016</v>
      </c>
      <c r="I135" s="177">
        <v>163088</v>
      </c>
      <c r="J135" s="178">
        <f>IFERROR(I135/H135-1,"-")</f>
        <v>-4.635823548673812E-2</v>
      </c>
      <c r="K135" s="177">
        <f>I135-H135</f>
        <v>-7928</v>
      </c>
      <c r="L135" s="178">
        <f t="shared" ref="L135:L147" si="49">I135/I$9</f>
        <v>5.1987264573762321E-2</v>
      </c>
    </row>
    <row r="136" spans="1:12" x14ac:dyDescent="0.25">
      <c r="A136" s="1" t="s">
        <v>98</v>
      </c>
      <c r="B136" s="160" t="s">
        <v>99</v>
      </c>
      <c r="C136" s="161">
        <v>19820</v>
      </c>
      <c r="D136" s="161">
        <v>2995</v>
      </c>
      <c r="E136" s="161">
        <v>20988</v>
      </c>
      <c r="F136" s="161">
        <v>12404</v>
      </c>
      <c r="G136" s="161">
        <v>15717</v>
      </c>
      <c r="H136" s="161">
        <v>12210</v>
      </c>
      <c r="I136" s="161">
        <v>10260</v>
      </c>
      <c r="J136" s="179">
        <f>IFERROR(I136/H136-1,"-")</f>
        <v>-0.15970515970515975</v>
      </c>
      <c r="K136" s="160">
        <f t="shared" ref="K136:K146" si="50">I136-H136</f>
        <v>-1950</v>
      </c>
      <c r="L136" s="162">
        <f t="shared" si="49"/>
        <v>3.2705615037697524E-3</v>
      </c>
    </row>
    <row r="137" spans="1:12" x14ac:dyDescent="0.25">
      <c r="A137" s="163" t="s">
        <v>105</v>
      </c>
      <c r="B137" s="164" t="s">
        <v>105</v>
      </c>
      <c r="C137" s="165">
        <v>11830</v>
      </c>
      <c r="D137" s="165">
        <v>1936</v>
      </c>
      <c r="E137" s="165">
        <v>17701</v>
      </c>
      <c r="F137" s="165">
        <v>8191</v>
      </c>
      <c r="G137" s="165">
        <v>10220</v>
      </c>
      <c r="H137" s="165">
        <v>7651</v>
      </c>
      <c r="I137" s="165">
        <v>4818</v>
      </c>
      <c r="J137" s="180">
        <f>IFERROR(I137/H137-1,"-")</f>
        <v>-0.3702783949810482</v>
      </c>
      <c r="K137" s="164">
        <f t="shared" si="50"/>
        <v>-2833</v>
      </c>
      <c r="L137" s="166">
        <f t="shared" si="49"/>
        <v>1.5358250804252112E-3</v>
      </c>
    </row>
    <row r="138" spans="1:12" x14ac:dyDescent="0.25">
      <c r="A138" s="163" t="s">
        <v>102</v>
      </c>
      <c r="B138" s="164" t="s">
        <v>102</v>
      </c>
      <c r="C138" s="165">
        <v>7990</v>
      </c>
      <c r="D138" s="165">
        <v>1059</v>
      </c>
      <c r="E138" s="165">
        <v>3287</v>
      </c>
      <c r="F138" s="165">
        <v>4213</v>
      </c>
      <c r="G138" s="165">
        <v>5497</v>
      </c>
      <c r="H138" s="165">
        <v>4559</v>
      </c>
      <c r="I138" s="165">
        <v>5442</v>
      </c>
      <c r="J138" s="180">
        <f>IFERROR(I138/H138-1,"-")</f>
        <v>0.1936828251809608</v>
      </c>
      <c r="K138" s="164">
        <f t="shared" si="50"/>
        <v>883</v>
      </c>
      <c r="L138" s="166">
        <f t="shared" si="49"/>
        <v>1.7347364233445412E-3</v>
      </c>
    </row>
    <row r="139" spans="1:12" x14ac:dyDescent="0.25">
      <c r="A139" s="1"/>
      <c r="B139" s="160" t="s">
        <v>109</v>
      </c>
      <c r="C139" s="161">
        <v>119100</v>
      </c>
      <c r="D139" s="161">
        <v>62968</v>
      </c>
      <c r="E139" s="161">
        <v>16504</v>
      </c>
      <c r="F139" s="161">
        <v>133187</v>
      </c>
      <c r="G139" s="161">
        <v>143418</v>
      </c>
      <c r="H139" s="161">
        <v>158806</v>
      </c>
      <c r="I139" s="161">
        <v>152828</v>
      </c>
      <c r="J139" s="179">
        <f>IFERROR(I139/H139-1,"-")</f>
        <v>-3.7643413976801932E-2</v>
      </c>
      <c r="K139" s="160">
        <f t="shared" si="50"/>
        <v>-5978</v>
      </c>
      <c r="L139" s="162">
        <f t="shared" si="49"/>
        <v>4.8716703069992567E-2</v>
      </c>
    </row>
    <row r="140" spans="1:12" s="57" customFormat="1" x14ac:dyDescent="0.25">
      <c r="B140" s="164" t="s">
        <v>112</v>
      </c>
      <c r="C140" s="165">
        <v>55873</v>
      </c>
      <c r="D140" s="165">
        <v>28766</v>
      </c>
      <c r="E140" s="165">
        <v>584</v>
      </c>
      <c r="F140" s="165">
        <v>54921</v>
      </c>
      <c r="G140" s="165">
        <v>57594</v>
      </c>
      <c r="H140" s="165">
        <v>68579</v>
      </c>
      <c r="I140" s="165">
        <v>69320</v>
      </c>
      <c r="J140" s="180">
        <f t="shared" ref="J140:J147" si="51">IFERROR(I140/H140-1,"-")</f>
        <v>1.0805056941629365E-2</v>
      </c>
      <c r="K140" s="164">
        <f t="shared" si="50"/>
        <v>741</v>
      </c>
      <c r="L140" s="166">
        <f t="shared" si="49"/>
        <v>2.2097010081999924E-2</v>
      </c>
    </row>
    <row r="141" spans="1:12" s="57" customFormat="1" x14ac:dyDescent="0.25">
      <c r="B141" s="164" t="s">
        <v>115</v>
      </c>
      <c r="C141" s="165">
        <v>7954</v>
      </c>
      <c r="D141" s="165">
        <v>4028</v>
      </c>
      <c r="E141" s="165">
        <v>1813</v>
      </c>
      <c r="F141" s="165">
        <v>9374</v>
      </c>
      <c r="G141" s="165">
        <v>12762</v>
      </c>
      <c r="H141" s="165">
        <v>14699</v>
      </c>
      <c r="I141" s="165">
        <v>12956</v>
      </c>
      <c r="J141" s="180">
        <f t="shared" si="51"/>
        <v>-0.11857949520375533</v>
      </c>
      <c r="K141" s="164">
        <f t="shared" si="50"/>
        <v>-1743</v>
      </c>
      <c r="L141" s="166">
        <f t="shared" si="49"/>
        <v>4.1299605109981399E-3</v>
      </c>
    </row>
    <row r="142" spans="1:12" x14ac:dyDescent="0.25">
      <c r="A142" s="1"/>
      <c r="B142" s="164" t="s">
        <v>118</v>
      </c>
      <c r="C142" s="165">
        <v>11202</v>
      </c>
      <c r="D142" s="165">
        <v>4260</v>
      </c>
      <c r="E142" s="165">
        <v>5088</v>
      </c>
      <c r="F142" s="165">
        <v>16018</v>
      </c>
      <c r="G142" s="165">
        <v>14895</v>
      </c>
      <c r="H142" s="165">
        <v>16078</v>
      </c>
      <c r="I142" s="165">
        <v>13426</v>
      </c>
      <c r="J142" s="180">
        <f t="shared" si="51"/>
        <v>-0.16494588879213834</v>
      </c>
      <c r="K142" s="164">
        <f t="shared" si="50"/>
        <v>-2652</v>
      </c>
      <c r="L142" s="166">
        <f t="shared" si="49"/>
        <v>4.2797815545431482E-3</v>
      </c>
    </row>
    <row r="143" spans="1:12" x14ac:dyDescent="0.25">
      <c r="A143" s="1"/>
      <c r="B143" s="164" t="s">
        <v>125</v>
      </c>
      <c r="C143" s="165">
        <v>2523</v>
      </c>
      <c r="D143" s="165">
        <v>933</v>
      </c>
      <c r="E143" s="165">
        <v>243</v>
      </c>
      <c r="F143" s="165">
        <v>5882</v>
      </c>
      <c r="G143" s="165">
        <v>5354</v>
      </c>
      <c r="H143" s="165">
        <v>4249</v>
      </c>
      <c r="I143" s="165">
        <v>3703</v>
      </c>
      <c r="J143" s="180">
        <f t="shared" si="51"/>
        <v>-0.12850082372322902</v>
      </c>
      <c r="K143" s="164">
        <f t="shared" si="50"/>
        <v>-546</v>
      </c>
      <c r="L143" s="166">
        <f t="shared" si="49"/>
        <v>1.1803985622280111E-3</v>
      </c>
    </row>
    <row r="144" spans="1:12" x14ac:dyDescent="0.25">
      <c r="A144" s="1"/>
      <c r="B144" s="164" t="s">
        <v>121</v>
      </c>
      <c r="C144" s="165">
        <v>2334</v>
      </c>
      <c r="D144" s="165">
        <v>1112</v>
      </c>
      <c r="E144" s="165">
        <v>498</v>
      </c>
      <c r="F144" s="165">
        <v>2768</v>
      </c>
      <c r="G144" s="165">
        <v>2935</v>
      </c>
      <c r="H144" s="165">
        <v>3675</v>
      </c>
      <c r="I144" s="165">
        <v>2707</v>
      </c>
      <c r="J144" s="180">
        <f t="shared" si="51"/>
        <v>-0.2634013605442177</v>
      </c>
      <c r="K144" s="164">
        <f t="shared" si="50"/>
        <v>-968</v>
      </c>
      <c r="L144" s="166">
        <f t="shared" si="49"/>
        <v>8.6290545718369592E-4</v>
      </c>
    </row>
    <row r="145" spans="1:12" x14ac:dyDescent="0.25">
      <c r="A145" s="1"/>
      <c r="B145" s="164" t="s">
        <v>130</v>
      </c>
      <c r="C145" s="165">
        <v>1834</v>
      </c>
      <c r="D145" s="165">
        <v>2356</v>
      </c>
      <c r="E145" s="165">
        <v>38</v>
      </c>
      <c r="F145" s="165">
        <v>2295</v>
      </c>
      <c r="G145" s="165">
        <v>2747</v>
      </c>
      <c r="H145" s="165">
        <v>2517</v>
      </c>
      <c r="I145" s="165">
        <v>2700</v>
      </c>
      <c r="J145" s="180">
        <f t="shared" si="51"/>
        <v>7.2705601907032236E-2</v>
      </c>
      <c r="K145" s="164">
        <f t="shared" si="50"/>
        <v>183</v>
      </c>
      <c r="L145" s="166">
        <f t="shared" si="49"/>
        <v>8.6067407993940857E-4</v>
      </c>
    </row>
    <row r="146" spans="1:12" x14ac:dyDescent="0.25">
      <c r="A146" s="163" t="s">
        <v>146</v>
      </c>
      <c r="B146" s="164" t="s">
        <v>133</v>
      </c>
      <c r="C146" s="165">
        <v>5396</v>
      </c>
      <c r="D146" s="165">
        <v>4700</v>
      </c>
      <c r="E146" s="165">
        <v>53</v>
      </c>
      <c r="F146" s="165">
        <v>1105</v>
      </c>
      <c r="G146" s="165">
        <v>2019</v>
      </c>
      <c r="H146" s="165">
        <v>1852</v>
      </c>
      <c r="I146" s="165">
        <v>1343</v>
      </c>
      <c r="J146" s="180">
        <f t="shared" si="51"/>
        <v>-0.27483801295896326</v>
      </c>
      <c r="K146" s="164">
        <f t="shared" si="50"/>
        <v>-509</v>
      </c>
      <c r="L146" s="166">
        <f t="shared" si="49"/>
        <v>4.2810566272541694E-4</v>
      </c>
    </row>
    <row r="147" spans="1:12" x14ac:dyDescent="0.25">
      <c r="A147" s="168" t="s">
        <v>147</v>
      </c>
      <c r="B147" s="169" t="s">
        <v>147</v>
      </c>
      <c r="C147" s="170">
        <f t="shared" ref="C147" si="52">C139-SUM(C140:C146)</f>
        <v>31984</v>
      </c>
      <c r="D147" s="170">
        <f t="shared" ref="D147:I147" si="53">D139-SUM(D140:D146)</f>
        <v>16813</v>
      </c>
      <c r="E147" s="170">
        <f t="shared" si="53"/>
        <v>8187</v>
      </c>
      <c r="F147" s="170">
        <f t="shared" si="53"/>
        <v>40824</v>
      </c>
      <c r="G147" s="170">
        <f t="shared" si="53"/>
        <v>45112</v>
      </c>
      <c r="H147" s="170">
        <f t="shared" si="53"/>
        <v>47157</v>
      </c>
      <c r="I147" s="170">
        <f t="shared" si="53"/>
        <v>46673</v>
      </c>
      <c r="J147" s="181">
        <f t="shared" si="51"/>
        <v>-1.0263587590389589E-2</v>
      </c>
      <c r="K147" s="169">
        <f>I147-H147</f>
        <v>-484</v>
      </c>
      <c r="L147" s="171">
        <f t="shared" si="49"/>
        <v>1.4877867160374821E-2</v>
      </c>
    </row>
    <row r="148" spans="1:12" x14ac:dyDescent="0.25">
      <c r="A148" s="1"/>
      <c r="B148" s="156" t="s">
        <v>55</v>
      </c>
      <c r="C148" s="154"/>
      <c r="D148" s="154"/>
      <c r="E148" s="154"/>
      <c r="F148" s="154"/>
      <c r="G148" s="154"/>
      <c r="H148" s="154"/>
      <c r="I148" s="154"/>
      <c r="J148" s="155"/>
      <c r="K148" s="155"/>
      <c r="L148" s="154"/>
    </row>
    <row r="149" spans="1:12" x14ac:dyDescent="0.25">
      <c r="A149" s="1"/>
      <c r="B149" s="157" t="s">
        <v>70</v>
      </c>
      <c r="C149" s="177">
        <v>74174</v>
      </c>
      <c r="D149" s="177">
        <v>29561</v>
      </c>
      <c r="E149" s="177">
        <v>23840</v>
      </c>
      <c r="F149" s="177">
        <v>60388</v>
      </c>
      <c r="G149" s="177">
        <v>70498</v>
      </c>
      <c r="H149" s="177">
        <v>71735</v>
      </c>
      <c r="I149" s="177">
        <v>69246</v>
      </c>
      <c r="J149" s="178">
        <f>IFERROR(I149/H149-1,"-")</f>
        <v>-3.4697149229804158E-2</v>
      </c>
      <c r="K149" s="177">
        <f>I149-H149</f>
        <v>-2489</v>
      </c>
      <c r="L149" s="178">
        <f t="shared" ref="L149:L161" si="54">I149/I$9</f>
        <v>2.2073421236846032E-2</v>
      </c>
    </row>
    <row r="150" spans="1:12" x14ac:dyDescent="0.25">
      <c r="A150" s="1" t="s">
        <v>98</v>
      </c>
      <c r="B150" s="160" t="s">
        <v>99</v>
      </c>
      <c r="C150" s="161">
        <v>30727</v>
      </c>
      <c r="D150" s="161">
        <v>10044</v>
      </c>
      <c r="E150" s="161">
        <v>16224</v>
      </c>
      <c r="F150" s="161">
        <v>30483</v>
      </c>
      <c r="G150" s="161">
        <v>33096</v>
      </c>
      <c r="H150" s="161">
        <v>29822</v>
      </c>
      <c r="I150" s="161">
        <v>27565</v>
      </c>
      <c r="J150" s="179">
        <f>IFERROR(I150/H150-1,"-")</f>
        <v>-7.568238213399503E-2</v>
      </c>
      <c r="K150" s="160">
        <f t="shared" ref="K150:K160" si="55">I150-H150</f>
        <v>-2257</v>
      </c>
      <c r="L150" s="162">
        <f t="shared" si="54"/>
        <v>8.7868448198258498E-3</v>
      </c>
    </row>
    <row r="151" spans="1:12" x14ac:dyDescent="0.25">
      <c r="A151" s="163" t="s">
        <v>105</v>
      </c>
      <c r="B151" s="164" t="s">
        <v>105</v>
      </c>
      <c r="C151" s="165">
        <v>17346</v>
      </c>
      <c r="D151" s="165">
        <v>4891</v>
      </c>
      <c r="E151" s="165">
        <v>14211</v>
      </c>
      <c r="F151" s="165">
        <v>20632</v>
      </c>
      <c r="G151" s="165">
        <v>22380</v>
      </c>
      <c r="H151" s="165">
        <v>19716</v>
      </c>
      <c r="I151" s="165">
        <v>17299</v>
      </c>
      <c r="J151" s="180">
        <f>IFERROR(I151/H151-1,"-")</f>
        <v>-0.12259078920673561</v>
      </c>
      <c r="K151" s="164">
        <f t="shared" si="55"/>
        <v>-2417</v>
      </c>
      <c r="L151" s="166">
        <f t="shared" si="54"/>
        <v>5.5143707069895661E-3</v>
      </c>
    </row>
    <row r="152" spans="1:12" x14ac:dyDescent="0.25">
      <c r="A152" s="163" t="s">
        <v>102</v>
      </c>
      <c r="B152" s="164" t="s">
        <v>102</v>
      </c>
      <c r="C152" s="165">
        <v>13381</v>
      </c>
      <c r="D152" s="165">
        <v>5153</v>
      </c>
      <c r="E152" s="165">
        <v>2013</v>
      </c>
      <c r="F152" s="165">
        <v>9851</v>
      </c>
      <c r="G152" s="165">
        <v>10716</v>
      </c>
      <c r="H152" s="165">
        <v>10106</v>
      </c>
      <c r="I152" s="165">
        <v>10266</v>
      </c>
      <c r="J152" s="180">
        <f>IFERROR(I152/H152-1,"-")</f>
        <v>1.5832178903621541E-2</v>
      </c>
      <c r="K152" s="164">
        <f t="shared" si="55"/>
        <v>160</v>
      </c>
      <c r="L152" s="166">
        <f t="shared" si="54"/>
        <v>3.2724741128362846E-3</v>
      </c>
    </row>
    <row r="153" spans="1:12" x14ac:dyDescent="0.25">
      <c r="A153" s="1"/>
      <c r="B153" s="160" t="s">
        <v>109</v>
      </c>
      <c r="C153" s="161">
        <v>43447</v>
      </c>
      <c r="D153" s="161">
        <v>19517</v>
      </c>
      <c r="E153" s="161">
        <v>7616</v>
      </c>
      <c r="F153" s="161">
        <v>29905</v>
      </c>
      <c r="G153" s="161">
        <v>37402</v>
      </c>
      <c r="H153" s="161">
        <v>41913</v>
      </c>
      <c r="I153" s="161">
        <v>41681</v>
      </c>
      <c r="J153" s="179">
        <f>IFERROR(I153/H153-1,"-")</f>
        <v>-5.5352754515305413E-3</v>
      </c>
      <c r="K153" s="160">
        <f t="shared" si="55"/>
        <v>-232</v>
      </c>
      <c r="L153" s="162">
        <f t="shared" si="54"/>
        <v>1.328657641702018E-2</v>
      </c>
    </row>
    <row r="154" spans="1:12" s="57" customFormat="1" x14ac:dyDescent="0.25">
      <c r="B154" s="164" t="s">
        <v>112</v>
      </c>
      <c r="C154" s="165">
        <v>13519</v>
      </c>
      <c r="D154" s="165">
        <v>5840</v>
      </c>
      <c r="E154" s="165">
        <v>280</v>
      </c>
      <c r="F154" s="165">
        <v>10407</v>
      </c>
      <c r="G154" s="165">
        <v>12668</v>
      </c>
      <c r="H154" s="165">
        <v>13031</v>
      </c>
      <c r="I154" s="165">
        <v>10476</v>
      </c>
      <c r="J154" s="180">
        <f t="shared" ref="J154:J161" si="56">IFERROR(I154/H154-1,"-")</f>
        <v>-0.19607090783516234</v>
      </c>
      <c r="K154" s="164">
        <f t="shared" si="55"/>
        <v>-2555</v>
      </c>
      <c r="L154" s="166">
        <f t="shared" si="54"/>
        <v>3.3394154301649051E-3</v>
      </c>
    </row>
    <row r="155" spans="1:12" s="57" customFormat="1" x14ac:dyDescent="0.25">
      <c r="B155" s="164" t="s">
        <v>115</v>
      </c>
      <c r="C155" s="165">
        <v>12622</v>
      </c>
      <c r="D155" s="165">
        <v>5801</v>
      </c>
      <c r="E155" s="165">
        <v>1600</v>
      </c>
      <c r="F155" s="165">
        <v>7508</v>
      </c>
      <c r="G155" s="165">
        <v>7877</v>
      </c>
      <c r="H155" s="165">
        <v>8586</v>
      </c>
      <c r="I155" s="165">
        <v>8165</v>
      </c>
      <c r="J155" s="180">
        <f t="shared" si="56"/>
        <v>-4.903331003959932E-2</v>
      </c>
      <c r="K155" s="164">
        <f t="shared" si="55"/>
        <v>-421</v>
      </c>
      <c r="L155" s="166">
        <f t="shared" si="54"/>
        <v>2.6027421713723225E-3</v>
      </c>
    </row>
    <row r="156" spans="1:12" x14ac:dyDescent="0.25">
      <c r="A156" s="1"/>
      <c r="B156" s="164" t="s">
        <v>118</v>
      </c>
      <c r="C156" s="165">
        <v>5327</v>
      </c>
      <c r="D156" s="165">
        <v>2092</v>
      </c>
      <c r="E156" s="165">
        <v>2207</v>
      </c>
      <c r="F156" s="165">
        <v>3204</v>
      </c>
      <c r="G156" s="165">
        <v>5327</v>
      </c>
      <c r="H156" s="165">
        <v>6226</v>
      </c>
      <c r="I156" s="165">
        <v>9647</v>
      </c>
      <c r="J156" s="180">
        <f t="shared" si="56"/>
        <v>0.54946996466431086</v>
      </c>
      <c r="K156" s="164">
        <f t="shared" si="55"/>
        <v>3421</v>
      </c>
      <c r="L156" s="166">
        <f t="shared" si="54"/>
        <v>3.0751566108057314E-3</v>
      </c>
    </row>
    <row r="157" spans="1:12" x14ac:dyDescent="0.25">
      <c r="A157" s="1"/>
      <c r="B157" s="164" t="s">
        <v>125</v>
      </c>
      <c r="C157" s="165">
        <v>903</v>
      </c>
      <c r="D157" s="165">
        <v>599</v>
      </c>
      <c r="E157" s="165">
        <v>252</v>
      </c>
      <c r="F157" s="165">
        <v>857</v>
      </c>
      <c r="G157" s="165">
        <v>1132</v>
      </c>
      <c r="H157" s="165">
        <v>1650</v>
      </c>
      <c r="I157" s="165">
        <v>1518</v>
      </c>
      <c r="J157" s="180">
        <f t="shared" si="56"/>
        <v>-7.999999999999996E-2</v>
      </c>
      <c r="K157" s="164">
        <f t="shared" si="55"/>
        <v>-132</v>
      </c>
      <c r="L157" s="166">
        <f t="shared" si="54"/>
        <v>4.8389009383260082E-4</v>
      </c>
    </row>
    <row r="158" spans="1:12" x14ac:dyDescent="0.25">
      <c r="A158" s="1"/>
      <c r="B158" s="164" t="s">
        <v>121</v>
      </c>
      <c r="C158" s="165">
        <v>1522</v>
      </c>
      <c r="D158" s="165">
        <v>736</v>
      </c>
      <c r="E158" s="165">
        <v>305</v>
      </c>
      <c r="F158" s="165">
        <v>1428</v>
      </c>
      <c r="G158" s="165">
        <v>1788</v>
      </c>
      <c r="H158" s="165">
        <v>1641</v>
      </c>
      <c r="I158" s="165">
        <v>1453</v>
      </c>
      <c r="J158" s="180">
        <f t="shared" si="56"/>
        <v>-0.11456429006703228</v>
      </c>
      <c r="K158" s="164">
        <f t="shared" si="55"/>
        <v>-188</v>
      </c>
      <c r="L158" s="166">
        <f t="shared" si="54"/>
        <v>4.6317016227850395E-4</v>
      </c>
    </row>
    <row r="159" spans="1:12" x14ac:dyDescent="0.25">
      <c r="A159" s="1"/>
      <c r="B159" s="164" t="s">
        <v>130</v>
      </c>
      <c r="C159" s="165">
        <v>361</v>
      </c>
      <c r="D159" s="165">
        <v>432</v>
      </c>
      <c r="E159" s="165">
        <v>24</v>
      </c>
      <c r="F159" s="165">
        <v>293</v>
      </c>
      <c r="G159" s="165">
        <v>491</v>
      </c>
      <c r="H159" s="165">
        <v>352</v>
      </c>
      <c r="I159" s="165">
        <v>322</v>
      </c>
      <c r="J159" s="180">
        <f t="shared" si="56"/>
        <v>-8.5227272727272707E-2</v>
      </c>
      <c r="K159" s="164">
        <f t="shared" si="55"/>
        <v>-30</v>
      </c>
      <c r="L159" s="166">
        <f t="shared" si="54"/>
        <v>1.0264335323721835E-4</v>
      </c>
    </row>
    <row r="160" spans="1:12" x14ac:dyDescent="0.25">
      <c r="A160" s="163" t="s">
        <v>146</v>
      </c>
      <c r="B160" s="164" t="s">
        <v>133</v>
      </c>
      <c r="C160" s="165">
        <v>805</v>
      </c>
      <c r="D160" s="165">
        <v>575</v>
      </c>
      <c r="E160" s="165">
        <v>63</v>
      </c>
      <c r="F160" s="165">
        <v>501</v>
      </c>
      <c r="G160" s="165">
        <v>671</v>
      </c>
      <c r="H160" s="165">
        <v>592</v>
      </c>
      <c r="I160" s="165">
        <v>477</v>
      </c>
      <c r="J160" s="180">
        <f t="shared" si="56"/>
        <v>-0.1942567567567568</v>
      </c>
      <c r="K160" s="164">
        <f t="shared" si="55"/>
        <v>-115</v>
      </c>
      <c r="L160" s="166">
        <f t="shared" si="54"/>
        <v>1.5205242078929551E-4</v>
      </c>
    </row>
    <row r="161" spans="1:12" x14ac:dyDescent="0.25">
      <c r="A161" s="168" t="s">
        <v>147</v>
      </c>
      <c r="B161" s="169" t="s">
        <v>147</v>
      </c>
      <c r="C161" s="170">
        <f t="shared" ref="C161" si="57">C153-SUM(C154:C160)</f>
        <v>8388</v>
      </c>
      <c r="D161" s="170">
        <f t="shared" ref="D161:I161" si="58">D153-SUM(D154:D160)</f>
        <v>3442</v>
      </c>
      <c r="E161" s="170">
        <f t="shared" si="58"/>
        <v>2885</v>
      </c>
      <c r="F161" s="170">
        <f t="shared" si="58"/>
        <v>5707</v>
      </c>
      <c r="G161" s="170">
        <f t="shared" si="58"/>
        <v>7448</v>
      </c>
      <c r="H161" s="170">
        <f t="shared" si="58"/>
        <v>9835</v>
      </c>
      <c r="I161" s="170">
        <f t="shared" si="58"/>
        <v>9623</v>
      </c>
      <c r="J161" s="181">
        <f t="shared" si="56"/>
        <v>-2.1555668530757521E-2</v>
      </c>
      <c r="K161" s="169">
        <f>I161-H161</f>
        <v>-212</v>
      </c>
      <c r="L161" s="171">
        <f t="shared" si="54"/>
        <v>3.067506174539603E-3</v>
      </c>
    </row>
    <row r="162" spans="1:12" ht="6" customHeight="1" x14ac:dyDescent="0.25">
      <c r="C162" s="81"/>
      <c r="D162" s="81"/>
      <c r="E162" s="81"/>
      <c r="F162" s="81"/>
      <c r="G162" s="81"/>
      <c r="H162" s="81"/>
      <c r="I162" s="81"/>
      <c r="J162" s="81"/>
    </row>
    <row r="163" spans="1:12" x14ac:dyDescent="0.25">
      <c r="B163" s="107" t="s">
        <v>57</v>
      </c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</sheetData>
  <mergeCells count="3">
    <mergeCell ref="B4:L4"/>
    <mergeCell ref="O4:X4"/>
    <mergeCell ref="C6:L6"/>
  </mergeCells>
  <pageMargins left="0.25" right="0.25" top="0.75" bottom="0.75" header="0.3" footer="0.3"/>
  <pageSetup paperSize="9" scale="2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22221-770E-4545-904D-B5FB49D4761F}">
  <sheetPr>
    <tabColor rgb="FFBB5C0D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DD0BC-D201-4768-819A-19A3F3B3CF1A}">
  <sheetPr>
    <tabColor rgb="FFF29140"/>
  </sheetPr>
  <dimension ref="A4:O27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4" spans="1:15" ht="48.75" customHeight="1" thickBot="1" x14ac:dyDescent="0.3">
      <c r="B4" s="278" t="s">
        <v>270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3" t="s">
        <v>70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5" ht="22.5" thickTop="1" thickBot="1" x14ac:dyDescent="0.3">
      <c r="B7" s="111"/>
      <c r="C7" s="305">
        <f t="shared" ref="C7" si="0">E7-1</f>
        <v>2020</v>
      </c>
      <c r="D7" s="306"/>
      <c r="E7" s="307">
        <f t="shared" ref="E7" si="1">G7-1</f>
        <v>2021</v>
      </c>
      <c r="F7" s="306"/>
      <c r="G7" s="307">
        <f t="shared" ref="G7" si="2">I7-1</f>
        <v>2022</v>
      </c>
      <c r="H7" s="306"/>
      <c r="I7" s="307">
        <f t="shared" ref="I7" si="3">K7-1</f>
        <v>2023</v>
      </c>
      <c r="J7" s="306"/>
      <c r="K7" s="307">
        <f>M7-1</f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5" x14ac:dyDescent="0.25">
      <c r="A9" s="1" t="s">
        <v>72</v>
      </c>
      <c r="B9" s="118" t="s">
        <v>73</v>
      </c>
      <c r="C9" s="119">
        <v>13603</v>
      </c>
      <c r="D9" s="120">
        <v>9.4456512993804864E-2</v>
      </c>
      <c r="E9" s="119">
        <v>2763</v>
      </c>
      <c r="F9" s="120">
        <f t="shared" ref="F9:L21" si="4">IFERROR(E9/C9-1,"-")</f>
        <v>-0.79688304050577075</v>
      </c>
      <c r="G9" s="119">
        <v>11400</v>
      </c>
      <c r="H9" s="120">
        <f t="shared" si="4"/>
        <v>3.1259500542888166</v>
      </c>
      <c r="I9" s="119">
        <v>14353</v>
      </c>
      <c r="J9" s="120">
        <f t="shared" si="4"/>
        <v>0.25903508771929817</v>
      </c>
      <c r="K9" s="119">
        <v>14581</v>
      </c>
      <c r="L9" s="120">
        <f t="shared" si="4"/>
        <v>1.5885180798439258E-2</v>
      </c>
      <c r="M9" s="119">
        <v>14255</v>
      </c>
      <c r="N9" s="120">
        <f>IFERROR(M9/K9-1,"-")</f>
        <v>-2.2357862972361309E-2</v>
      </c>
    </row>
    <row r="10" spans="1:15" x14ac:dyDescent="0.25">
      <c r="A10" s="1" t="s">
        <v>74</v>
      </c>
      <c r="B10" s="118" t="s">
        <v>75</v>
      </c>
      <c r="C10" s="119">
        <v>14342</v>
      </c>
      <c r="D10" s="120">
        <v>6.6081914814539511E-2</v>
      </c>
      <c r="E10" s="119">
        <v>3097</v>
      </c>
      <c r="F10" s="120">
        <f t="shared" si="4"/>
        <v>-0.78406080044624182</v>
      </c>
      <c r="G10" s="119">
        <v>11383</v>
      </c>
      <c r="H10" s="120">
        <f t="shared" si="4"/>
        <v>2.6754924120116241</v>
      </c>
      <c r="I10" s="119">
        <v>14251</v>
      </c>
      <c r="J10" s="120">
        <f t="shared" si="4"/>
        <v>0.25195466924360899</v>
      </c>
      <c r="K10" s="119">
        <v>15138</v>
      </c>
      <c r="L10" s="120">
        <f t="shared" si="4"/>
        <v>6.2241246228334823E-2</v>
      </c>
      <c r="M10" s="119">
        <v>13111</v>
      </c>
      <c r="N10" s="120">
        <f t="shared" ref="N10:N14" si="5">IFERROR(M10/K10-1,"-")</f>
        <v>-0.1339014400845554</v>
      </c>
    </row>
    <row r="11" spans="1:15" x14ac:dyDescent="0.25">
      <c r="A11" s="1" t="s">
        <v>76</v>
      </c>
      <c r="B11" s="118" t="s">
        <v>77</v>
      </c>
      <c r="C11" s="119">
        <v>5714</v>
      </c>
      <c r="D11" s="120">
        <v>-0.58980617372577171</v>
      </c>
      <c r="E11" s="119">
        <v>4959</v>
      </c>
      <c r="F11" s="120">
        <f t="shared" si="4"/>
        <v>-0.13213160658032896</v>
      </c>
      <c r="G11" s="119">
        <v>12710</v>
      </c>
      <c r="H11" s="120">
        <f t="shared" si="4"/>
        <v>1.5630167372454125</v>
      </c>
      <c r="I11" s="119">
        <v>15603</v>
      </c>
      <c r="J11" s="120">
        <f t="shared" si="4"/>
        <v>0.22761605035405186</v>
      </c>
      <c r="K11" s="119">
        <v>15292</v>
      </c>
      <c r="L11" s="120">
        <f t="shared" si="4"/>
        <v>-1.9932064346599998E-2</v>
      </c>
      <c r="M11" s="119">
        <v>14094</v>
      </c>
      <c r="N11" s="120">
        <f t="shared" si="5"/>
        <v>-7.834161653151972E-2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4088</v>
      </c>
      <c r="F12" s="120" t="str">
        <f t="shared" si="4"/>
        <v>-</v>
      </c>
      <c r="G12" s="119">
        <v>12193</v>
      </c>
      <c r="H12" s="120">
        <f t="shared" si="4"/>
        <v>1.9826320939334638</v>
      </c>
      <c r="I12" s="119">
        <v>12703</v>
      </c>
      <c r="J12" s="120">
        <f t="shared" si="4"/>
        <v>4.1827277946362651E-2</v>
      </c>
      <c r="K12" s="119">
        <v>13439</v>
      </c>
      <c r="L12" s="120">
        <f t="shared" si="4"/>
        <v>5.793906951113903E-2</v>
      </c>
      <c r="M12" s="119">
        <v>11979</v>
      </c>
      <c r="N12" s="120">
        <f t="shared" si="5"/>
        <v>-0.10863903564253297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5644</v>
      </c>
      <c r="F13" s="120" t="str">
        <f t="shared" si="4"/>
        <v>-</v>
      </c>
      <c r="G13" s="119">
        <v>10085</v>
      </c>
      <c r="H13" s="120">
        <f t="shared" si="4"/>
        <v>0.78685329553508154</v>
      </c>
      <c r="I13" s="119">
        <v>12793</v>
      </c>
      <c r="J13" s="120">
        <f t="shared" si="4"/>
        <v>0.26851760039662875</v>
      </c>
      <c r="K13" s="119">
        <v>12513</v>
      </c>
      <c r="L13" s="120">
        <f t="shared" si="4"/>
        <v>-2.1886969436410553E-2</v>
      </c>
      <c r="M13" s="119">
        <v>13411</v>
      </c>
      <c r="N13" s="120">
        <f t="shared" si="5"/>
        <v>7.1765364021417755E-2</v>
      </c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5487</v>
      </c>
      <c r="F14" s="120" t="str">
        <f t="shared" si="4"/>
        <v>-</v>
      </c>
      <c r="G14" s="119">
        <v>11277</v>
      </c>
      <c r="H14" s="120">
        <f t="shared" si="4"/>
        <v>1.0552214324767633</v>
      </c>
      <c r="I14" s="119">
        <v>10373</v>
      </c>
      <c r="J14" s="120">
        <f t="shared" si="4"/>
        <v>-8.0163163962046591E-2</v>
      </c>
      <c r="K14" s="119">
        <v>10115</v>
      </c>
      <c r="L14" s="120">
        <f t="shared" si="4"/>
        <v>-2.4872264532922017E-2</v>
      </c>
      <c r="M14" s="119">
        <v>11658</v>
      </c>
      <c r="N14" s="120">
        <f t="shared" si="5"/>
        <v>0.15254572417202183</v>
      </c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5672</v>
      </c>
      <c r="F15" s="120" t="str">
        <f t="shared" si="4"/>
        <v>-</v>
      </c>
      <c r="G15" s="119">
        <v>10710</v>
      </c>
      <c r="H15" s="120">
        <f t="shared" si="4"/>
        <v>0.8882228490832158</v>
      </c>
      <c r="I15" s="119">
        <v>9594</v>
      </c>
      <c r="J15" s="120">
        <f t="shared" si="4"/>
        <v>-0.10420168067226887</v>
      </c>
      <c r="K15" s="119">
        <v>10140</v>
      </c>
      <c r="L15" s="120">
        <f t="shared" si="4"/>
        <v>5.6910569105691033E-2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6941</v>
      </c>
      <c r="D16" s="120">
        <v>-0.24357018308631206</v>
      </c>
      <c r="E16" s="119">
        <v>8587</v>
      </c>
      <c r="F16" s="120">
        <f t="shared" si="4"/>
        <v>0.23714162224463342</v>
      </c>
      <c r="G16" s="119">
        <v>10270</v>
      </c>
      <c r="H16" s="120">
        <f t="shared" si="4"/>
        <v>0.19599394433445916</v>
      </c>
      <c r="I16" s="119">
        <v>11871</v>
      </c>
      <c r="J16" s="120">
        <f t="shared" si="4"/>
        <v>0.15589094449853946</v>
      </c>
      <c r="K16" s="119">
        <v>9259</v>
      </c>
      <c r="L16" s="120">
        <f t="shared" si="4"/>
        <v>-0.22003201078257939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3767</v>
      </c>
      <c r="D17" s="120">
        <v>-0.5293015119330251</v>
      </c>
      <c r="E17" s="119">
        <v>9600</v>
      </c>
      <c r="F17" s="120">
        <f t="shared" si="4"/>
        <v>1.5484470400849482</v>
      </c>
      <c r="G17" s="119">
        <v>10967</v>
      </c>
      <c r="H17" s="120">
        <f t="shared" si="4"/>
        <v>0.14239583333333328</v>
      </c>
      <c r="I17" s="119">
        <v>10606</v>
      </c>
      <c r="J17" s="120">
        <f t="shared" si="4"/>
        <v>-3.2916932616029904E-2</v>
      </c>
      <c r="K17" s="119">
        <v>11345</v>
      </c>
      <c r="L17" s="120">
        <f t="shared" si="4"/>
        <v>6.9677541014520061E-2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3603</v>
      </c>
      <c r="D18" s="120">
        <v>-0.66124482888303882</v>
      </c>
      <c r="E18" s="119">
        <v>10119</v>
      </c>
      <c r="F18" s="120">
        <f t="shared" si="4"/>
        <v>1.8084929225645294</v>
      </c>
      <c r="G18" s="119">
        <v>11595</v>
      </c>
      <c r="H18" s="120">
        <f t="shared" si="4"/>
        <v>0.14586421583160392</v>
      </c>
      <c r="I18" s="119">
        <v>11107</v>
      </c>
      <c r="J18" s="120">
        <f t="shared" si="4"/>
        <v>-4.208710651142733E-2</v>
      </c>
      <c r="K18" s="119">
        <v>12187</v>
      </c>
      <c r="L18" s="120">
        <f t="shared" si="4"/>
        <v>9.7235977311605382E-2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3555</v>
      </c>
      <c r="D19" s="120">
        <v>-0.74897613331450352</v>
      </c>
      <c r="E19" s="119">
        <v>12186</v>
      </c>
      <c r="F19" s="120">
        <f t="shared" si="4"/>
        <v>2.4278481012658228</v>
      </c>
      <c r="G19" s="119">
        <v>13053</v>
      </c>
      <c r="H19" s="120">
        <f t="shared" si="4"/>
        <v>7.1147218119153033E-2</v>
      </c>
      <c r="I19" s="119">
        <v>13216</v>
      </c>
      <c r="J19" s="120">
        <f t="shared" si="4"/>
        <v>1.2487550754615828E-2</v>
      </c>
      <c r="K19" s="119">
        <v>14972</v>
      </c>
      <c r="L19" s="120">
        <f t="shared" si="4"/>
        <v>0.13286924939467304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4049</v>
      </c>
      <c r="D20" s="120">
        <v>-0.68901689708141323</v>
      </c>
      <c r="E20" s="119">
        <v>11200</v>
      </c>
      <c r="F20" s="120">
        <f t="shared" si="4"/>
        <v>1.766115090145715</v>
      </c>
      <c r="G20" s="119">
        <v>12114</v>
      </c>
      <c r="H20" s="120">
        <f t="shared" si="4"/>
        <v>8.1607142857142767E-2</v>
      </c>
      <c r="I20" s="119">
        <v>11864</v>
      </c>
      <c r="J20" s="120">
        <f t="shared" si="4"/>
        <v>-2.06372791811128E-2</v>
      </c>
      <c r="K20" s="119">
        <v>13319</v>
      </c>
      <c r="L20" s="120">
        <f t="shared" si="4"/>
        <v>0.12263991908293992</v>
      </c>
      <c r="M20" s="119"/>
      <c r="N20" s="120"/>
    </row>
    <row r="21" spans="1:15" ht="15.75" x14ac:dyDescent="0.25">
      <c r="A21" s="1" t="s">
        <v>0</v>
      </c>
      <c r="B21" s="121" t="s">
        <v>32</v>
      </c>
      <c r="C21" s="122">
        <v>59047</v>
      </c>
      <c r="D21" s="123">
        <v>-0.56623275494762204</v>
      </c>
      <c r="E21" s="122">
        <v>83402</v>
      </c>
      <c r="F21" s="123">
        <f t="shared" si="4"/>
        <v>0.41246803393906539</v>
      </c>
      <c r="G21" s="122">
        <v>137757</v>
      </c>
      <c r="H21" s="123">
        <f t="shared" si="4"/>
        <v>0.65172298026426234</v>
      </c>
      <c r="I21" s="122">
        <v>148334</v>
      </c>
      <c r="J21" s="123">
        <f t="shared" si="4"/>
        <v>7.6780127325653202E-2</v>
      </c>
      <c r="K21" s="122">
        <v>152300</v>
      </c>
      <c r="L21" s="123">
        <f t="shared" si="4"/>
        <v>2.6736958485579887E-2</v>
      </c>
      <c r="M21" s="122">
        <v>78508</v>
      </c>
      <c r="N21" s="123">
        <v>-3.169787118577172E-2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C24" s="124"/>
      <c r="K24" s="124"/>
      <c r="N24" s="81"/>
    </row>
    <row r="26" spans="1:15" ht="48.75" customHeight="1" thickBot="1" x14ac:dyDescent="0.3">
      <c r="B26" s="278" t="s">
        <v>271</v>
      </c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3" t="s">
        <v>99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5" ht="22.5" thickTop="1" thickBot="1" x14ac:dyDescent="0.3">
      <c r="B29" s="111"/>
      <c r="C29" s="305">
        <f>$C$7</f>
        <v>2020</v>
      </c>
      <c r="D29" s="306"/>
      <c r="E29" s="307">
        <f>$E$7</f>
        <v>2021</v>
      </c>
      <c r="F29" s="306"/>
      <c r="G29" s="307">
        <f>$G$7</f>
        <v>2022</v>
      </c>
      <c r="H29" s="306"/>
      <c r="I29" s="307">
        <f>$I$7</f>
        <v>2023</v>
      </c>
      <c r="J29" s="306"/>
      <c r="K29" s="307">
        <f>$K$7</f>
        <v>2024</v>
      </c>
      <c r="L29" s="306"/>
      <c r="M29" s="307">
        <f>$M$7</f>
        <v>2025</v>
      </c>
      <c r="N29" s="308"/>
    </row>
    <row r="30" spans="1:15" ht="16.5" thickTop="1" thickBot="1" x14ac:dyDescent="0.3">
      <c r="B30" s="87"/>
      <c r="C30" s="115" t="s">
        <v>71</v>
      </c>
      <c r="D30" s="116" t="str">
        <f>CONCATENATE("var. ",RIGHT(C29,2),"/",RIGHT(C29-1,2))</f>
        <v>var. 20/19</v>
      </c>
      <c r="E30" s="117" t="s">
        <v>71</v>
      </c>
      <c r="F30" s="116" t="s">
        <v>248</v>
      </c>
      <c r="G30" s="117" t="s">
        <v>71</v>
      </c>
      <c r="H30" s="116" t="s">
        <v>248</v>
      </c>
      <c r="I30" s="117" t="s">
        <v>71</v>
      </c>
      <c r="J30" s="116" t="s">
        <v>248</v>
      </c>
      <c r="K30" s="117" t="s">
        <v>71</v>
      </c>
      <c r="L30" s="116" t="s">
        <v>248</v>
      </c>
      <c r="M30" s="117" t="s">
        <v>71</v>
      </c>
      <c r="N30" s="116" t="s">
        <v>272</v>
      </c>
    </row>
    <row r="31" spans="1:15" x14ac:dyDescent="0.25">
      <c r="B31" s="118" t="s">
        <v>73</v>
      </c>
      <c r="C31" s="119">
        <v>5825</v>
      </c>
      <c r="D31" s="120">
        <v>0.11249045072574493</v>
      </c>
      <c r="E31" s="119">
        <v>1115</v>
      </c>
      <c r="F31" s="120">
        <f t="shared" ref="F31:L43" si="6">IFERROR(E31/C31-1,"-")</f>
        <v>-0.80858369098712446</v>
      </c>
      <c r="G31" s="119">
        <v>4881</v>
      </c>
      <c r="H31" s="120">
        <f t="shared" si="6"/>
        <v>3.3775784753363229</v>
      </c>
      <c r="I31" s="119">
        <v>5640</v>
      </c>
      <c r="J31" s="120">
        <f t="shared" si="6"/>
        <v>0.15550092194222498</v>
      </c>
      <c r="K31" s="119">
        <v>3830</v>
      </c>
      <c r="L31" s="120">
        <f t="shared" si="6"/>
        <v>-0.32092198581560283</v>
      </c>
      <c r="M31" s="119">
        <v>4817</v>
      </c>
      <c r="N31" s="120">
        <f t="shared" ref="N31:N36" si="7">IFERROR(M31/K31-1,"-")</f>
        <v>0.25770234986945173</v>
      </c>
    </row>
    <row r="32" spans="1:15" x14ac:dyDescent="0.25">
      <c r="B32" s="118" t="s">
        <v>75</v>
      </c>
      <c r="C32" s="119">
        <v>5371</v>
      </c>
      <c r="D32" s="120">
        <v>-2.3099308839578003E-2</v>
      </c>
      <c r="E32" s="119">
        <v>1325</v>
      </c>
      <c r="F32" s="120">
        <f t="shared" si="6"/>
        <v>-0.75330478495624653</v>
      </c>
      <c r="G32" s="119">
        <v>4475</v>
      </c>
      <c r="H32" s="120">
        <f t="shared" si="6"/>
        <v>2.3773584905660377</v>
      </c>
      <c r="I32" s="119">
        <v>5737</v>
      </c>
      <c r="J32" s="120">
        <f t="shared" si="6"/>
        <v>0.28201117318435753</v>
      </c>
      <c r="K32" s="119">
        <v>4983</v>
      </c>
      <c r="L32" s="120">
        <f t="shared" si="6"/>
        <v>-0.13142757538783334</v>
      </c>
      <c r="M32" s="119">
        <v>3847</v>
      </c>
      <c r="N32" s="120">
        <f t="shared" si="7"/>
        <v>-0.22797511539233395</v>
      </c>
    </row>
    <row r="33" spans="2:15" x14ac:dyDescent="0.25">
      <c r="B33" s="118" t="s">
        <v>77</v>
      </c>
      <c r="C33" s="119">
        <v>2182</v>
      </c>
      <c r="D33" s="120">
        <v>-0.61035714285714282</v>
      </c>
      <c r="E33" s="119">
        <v>2482</v>
      </c>
      <c r="F33" s="120">
        <f t="shared" si="6"/>
        <v>0.13748854262144827</v>
      </c>
      <c r="G33" s="119">
        <v>5439</v>
      </c>
      <c r="H33" s="120">
        <f t="shared" si="6"/>
        <v>1.1913779210314264</v>
      </c>
      <c r="I33" s="119">
        <v>6448</v>
      </c>
      <c r="J33" s="120">
        <f t="shared" si="6"/>
        <v>0.18551204265489973</v>
      </c>
      <c r="K33" s="119">
        <v>5213</v>
      </c>
      <c r="L33" s="120">
        <f t="shared" si="6"/>
        <v>-0.19153225806451613</v>
      </c>
      <c r="M33" s="119">
        <v>4829</v>
      </c>
      <c r="N33" s="120">
        <f t="shared" si="7"/>
        <v>-7.3661998849031241E-2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1862</v>
      </c>
      <c r="F34" s="120" t="str">
        <f t="shared" si="6"/>
        <v>-</v>
      </c>
      <c r="G34" s="119">
        <v>5937</v>
      </c>
      <c r="H34" s="120">
        <f t="shared" si="6"/>
        <v>2.1885069817400646</v>
      </c>
      <c r="I34" s="119">
        <v>6231</v>
      </c>
      <c r="J34" s="120">
        <f t="shared" si="6"/>
        <v>4.9519959575543115E-2</v>
      </c>
      <c r="K34" s="119">
        <v>5955</v>
      </c>
      <c r="L34" s="120">
        <f t="shared" si="6"/>
        <v>-4.4294655753490564E-2</v>
      </c>
      <c r="M34" s="119">
        <v>6149</v>
      </c>
      <c r="N34" s="120">
        <f t="shared" si="7"/>
        <v>3.2577665827036029E-2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3198</v>
      </c>
      <c r="F35" s="120" t="str">
        <f t="shared" si="6"/>
        <v>-</v>
      </c>
      <c r="G35" s="119">
        <v>5218</v>
      </c>
      <c r="H35" s="120">
        <f t="shared" si="6"/>
        <v>0.6316447779862413</v>
      </c>
      <c r="I35" s="119">
        <v>7187</v>
      </c>
      <c r="J35" s="120">
        <f t="shared" si="6"/>
        <v>0.37734764277500954</v>
      </c>
      <c r="K35" s="119">
        <v>6735</v>
      </c>
      <c r="L35" s="120">
        <f t="shared" si="6"/>
        <v>-6.2891331570891884E-2</v>
      </c>
      <c r="M35" s="119">
        <v>7528</v>
      </c>
      <c r="N35" s="120">
        <f t="shared" si="7"/>
        <v>0.11774313288789906</v>
      </c>
    </row>
    <row r="36" spans="2:15" x14ac:dyDescent="0.25">
      <c r="B36" s="118" t="s">
        <v>83</v>
      </c>
      <c r="C36" s="119">
        <v>0</v>
      </c>
      <c r="D36" s="120">
        <v>-1</v>
      </c>
      <c r="E36" s="119">
        <v>3249</v>
      </c>
      <c r="F36" s="120" t="str">
        <f t="shared" si="6"/>
        <v>-</v>
      </c>
      <c r="G36" s="119">
        <v>7954</v>
      </c>
      <c r="H36" s="120">
        <f t="shared" si="6"/>
        <v>1.448137888581102</v>
      </c>
      <c r="I36" s="119">
        <v>6546</v>
      </c>
      <c r="J36" s="120">
        <f t="shared" si="6"/>
        <v>-0.17701785265275338</v>
      </c>
      <c r="K36" s="119">
        <v>6147</v>
      </c>
      <c r="L36" s="120">
        <f t="shared" si="6"/>
        <v>-6.0953253895508652E-2</v>
      </c>
      <c r="M36" s="119">
        <v>7419</v>
      </c>
      <c r="N36" s="120">
        <f t="shared" si="7"/>
        <v>0.20693020985846755</v>
      </c>
    </row>
    <row r="37" spans="2:15" x14ac:dyDescent="0.25">
      <c r="B37" s="118" t="s">
        <v>85</v>
      </c>
      <c r="C37" s="119">
        <v>0</v>
      </c>
      <c r="D37" s="120">
        <v>-1</v>
      </c>
      <c r="E37" s="119">
        <v>3172</v>
      </c>
      <c r="F37" s="120" t="str">
        <f t="shared" si="6"/>
        <v>-</v>
      </c>
      <c r="G37" s="119">
        <v>6763</v>
      </c>
      <c r="H37" s="120">
        <f t="shared" si="6"/>
        <v>1.1320933165195459</v>
      </c>
      <c r="I37" s="119">
        <v>6308</v>
      </c>
      <c r="J37" s="120">
        <f t="shared" si="6"/>
        <v>-6.7277835280201148E-2</v>
      </c>
      <c r="K37" s="119">
        <v>6741</v>
      </c>
      <c r="L37" s="120">
        <f t="shared" si="6"/>
        <v>6.8642993024730536E-2</v>
      </c>
      <c r="M37" s="119"/>
      <c r="N37" s="120"/>
    </row>
    <row r="38" spans="2:15" x14ac:dyDescent="0.25">
      <c r="B38" s="118" t="s">
        <v>87</v>
      </c>
      <c r="C38" s="119">
        <v>5019</v>
      </c>
      <c r="D38" s="120">
        <v>-0.20358616312281819</v>
      </c>
      <c r="E38" s="119">
        <v>4452</v>
      </c>
      <c r="F38" s="120">
        <f t="shared" si="6"/>
        <v>-0.11297071129707115</v>
      </c>
      <c r="G38" s="119">
        <v>6043</v>
      </c>
      <c r="H38" s="120">
        <f t="shared" si="6"/>
        <v>0.35736747529200352</v>
      </c>
      <c r="I38" s="119">
        <v>7150</v>
      </c>
      <c r="J38" s="120">
        <f t="shared" si="6"/>
        <v>0.18318715869601188</v>
      </c>
      <c r="K38" s="119">
        <v>4695</v>
      </c>
      <c r="L38" s="120">
        <f t="shared" si="6"/>
        <v>-0.3433566433566434</v>
      </c>
      <c r="M38" s="119"/>
      <c r="N38" s="120"/>
    </row>
    <row r="39" spans="2:15" x14ac:dyDescent="0.25">
      <c r="B39" s="118" t="s">
        <v>89</v>
      </c>
      <c r="C39" s="119">
        <v>3075</v>
      </c>
      <c r="D39" s="120">
        <v>-0.40910837817063794</v>
      </c>
      <c r="E39" s="119">
        <v>6546</v>
      </c>
      <c r="F39" s="120">
        <f t="shared" si="6"/>
        <v>1.1287804878048782</v>
      </c>
      <c r="G39" s="119">
        <v>6733</v>
      </c>
      <c r="H39" s="120">
        <f t="shared" si="6"/>
        <v>2.8567063855789776E-2</v>
      </c>
      <c r="I39" s="119">
        <v>6420</v>
      </c>
      <c r="J39" s="120">
        <f t="shared" si="6"/>
        <v>-4.6487449873756082E-2</v>
      </c>
      <c r="K39" s="119">
        <v>7407</v>
      </c>
      <c r="L39" s="120">
        <f t="shared" si="6"/>
        <v>0.1537383177570093</v>
      </c>
      <c r="M39" s="119"/>
      <c r="N39" s="120"/>
    </row>
    <row r="40" spans="2:15" x14ac:dyDescent="0.25">
      <c r="B40" s="118" t="s">
        <v>91</v>
      </c>
      <c r="C40" s="119">
        <v>2778</v>
      </c>
      <c r="D40" s="120">
        <v>-0.53216571236106436</v>
      </c>
      <c r="E40" s="119">
        <v>3923</v>
      </c>
      <c r="F40" s="120">
        <f t="shared" si="6"/>
        <v>0.41216702663786897</v>
      </c>
      <c r="G40" s="119">
        <v>5470</v>
      </c>
      <c r="H40" s="120">
        <f t="shared" si="6"/>
        <v>0.39434106551108838</v>
      </c>
      <c r="I40" s="119">
        <v>5517</v>
      </c>
      <c r="J40" s="120">
        <f t="shared" si="6"/>
        <v>8.5923217550274433E-3</v>
      </c>
      <c r="K40" s="119">
        <v>5734</v>
      </c>
      <c r="L40" s="120">
        <f t="shared" si="6"/>
        <v>3.9332970817473223E-2</v>
      </c>
      <c r="M40" s="119"/>
      <c r="N40" s="120"/>
    </row>
    <row r="41" spans="2:15" x14ac:dyDescent="0.25">
      <c r="B41" s="118" t="s">
        <v>93</v>
      </c>
      <c r="C41" s="119">
        <v>2443</v>
      </c>
      <c r="D41" s="120">
        <v>-0.62945548308812382</v>
      </c>
      <c r="E41" s="119">
        <v>5062</v>
      </c>
      <c r="F41" s="120">
        <f t="shared" si="6"/>
        <v>1.0720425706099057</v>
      </c>
      <c r="G41" s="119">
        <v>5918</v>
      </c>
      <c r="H41" s="120">
        <f t="shared" si="6"/>
        <v>0.16910312129593041</v>
      </c>
      <c r="I41" s="119">
        <v>4448</v>
      </c>
      <c r="J41" s="120">
        <f t="shared" si="6"/>
        <v>-0.24839472794863127</v>
      </c>
      <c r="K41" s="119">
        <v>7338</v>
      </c>
      <c r="L41" s="120">
        <f t="shared" si="6"/>
        <v>0.64973021582733814</v>
      </c>
      <c r="M41" s="119"/>
      <c r="N41" s="120"/>
    </row>
    <row r="42" spans="2:15" x14ac:dyDescent="0.25">
      <c r="B42" s="118" t="s">
        <v>95</v>
      </c>
      <c r="C42" s="119">
        <v>2474</v>
      </c>
      <c r="D42" s="120">
        <v>-0.64176078772082246</v>
      </c>
      <c r="E42" s="119">
        <v>5677</v>
      </c>
      <c r="F42" s="120">
        <f t="shared" si="6"/>
        <v>1.2946645109135004</v>
      </c>
      <c r="G42" s="119">
        <v>6120</v>
      </c>
      <c r="H42" s="120">
        <f t="shared" si="6"/>
        <v>7.8034172978685978E-2</v>
      </c>
      <c r="I42" s="119">
        <v>4800</v>
      </c>
      <c r="J42" s="120">
        <f t="shared" si="6"/>
        <v>-0.21568627450980393</v>
      </c>
      <c r="K42" s="119">
        <v>6283</v>
      </c>
      <c r="L42" s="120">
        <f t="shared" si="6"/>
        <v>0.30895833333333322</v>
      </c>
      <c r="M42" s="119"/>
      <c r="N42" s="120"/>
    </row>
    <row r="43" spans="2:15" ht="15.75" x14ac:dyDescent="0.25">
      <c r="B43" s="121" t="s">
        <v>32</v>
      </c>
      <c r="C43" s="122">
        <v>31800</v>
      </c>
      <c r="D43" s="123">
        <v>-0.56397740360884119</v>
      </c>
      <c r="E43" s="122">
        <v>42063</v>
      </c>
      <c r="F43" s="123">
        <f t="shared" si="6"/>
        <v>0.32273584905660369</v>
      </c>
      <c r="G43" s="122">
        <v>70951</v>
      </c>
      <c r="H43" s="123">
        <f t="shared" si="6"/>
        <v>0.68677935477735774</v>
      </c>
      <c r="I43" s="122">
        <v>72432</v>
      </c>
      <c r="J43" s="123">
        <f t="shared" si="6"/>
        <v>2.0873560626347709E-2</v>
      </c>
      <c r="K43" s="122">
        <v>71061</v>
      </c>
      <c r="L43" s="123">
        <f t="shared" si="6"/>
        <v>-1.8928098078197508E-2</v>
      </c>
      <c r="M43" s="122">
        <v>34589</v>
      </c>
      <c r="N43" s="123">
        <v>5.2521072330584451E-2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5" x14ac:dyDescent="0.25">
      <c r="C46" s="124"/>
      <c r="K46" s="124"/>
      <c r="N46" s="81"/>
    </row>
    <row r="48" spans="2:15" ht="48.75" customHeight="1" thickBot="1" x14ac:dyDescent="0.3">
      <c r="B48" s="278" t="s">
        <v>273</v>
      </c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3" t="s">
        <v>102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1:15" ht="22.5" thickTop="1" thickBot="1" x14ac:dyDescent="0.3">
      <c r="B51" s="111"/>
      <c r="C51" s="305">
        <f>$C$7</f>
        <v>2020</v>
      </c>
      <c r="D51" s="306"/>
      <c r="E51" s="307">
        <f>$E$7</f>
        <v>2021</v>
      </c>
      <c r="F51" s="306"/>
      <c r="G51" s="307">
        <f>$G$7</f>
        <v>2022</v>
      </c>
      <c r="H51" s="306"/>
      <c r="I51" s="307">
        <f>$I$7</f>
        <v>2023</v>
      </c>
      <c r="J51" s="306"/>
      <c r="K51" s="307">
        <f>$K$7</f>
        <v>2024</v>
      </c>
      <c r="L51" s="306"/>
      <c r="M51" s="307">
        <f>$M$7</f>
        <v>2025</v>
      </c>
      <c r="N51" s="308"/>
    </row>
    <row r="52" spans="1:15" ht="16.5" thickTop="1" thickBot="1" x14ac:dyDescent="0.3">
      <c r="B52" s="87"/>
      <c r="C52" s="115" t="s">
        <v>71</v>
      </c>
      <c r="D52" s="116" t="str">
        <f>CONCATENATE("var. ",RIGHT(C51,2),"/",RIGHT(C51-1,2))</f>
        <v>var. 20/19</v>
      </c>
      <c r="E52" s="117" t="s">
        <v>71</v>
      </c>
      <c r="F52" s="116" t="s">
        <v>248</v>
      </c>
      <c r="G52" s="117" t="s">
        <v>71</v>
      </c>
      <c r="H52" s="116" t="s">
        <v>248</v>
      </c>
      <c r="I52" s="117" t="s">
        <v>71</v>
      </c>
      <c r="J52" s="116" t="s">
        <v>248</v>
      </c>
      <c r="K52" s="117" t="s">
        <v>71</v>
      </c>
      <c r="L52" s="116" t="s">
        <v>248</v>
      </c>
      <c r="M52" s="117" t="s">
        <v>71</v>
      </c>
      <c r="N52" s="116" t="s">
        <v>272</v>
      </c>
    </row>
    <row r="53" spans="1:15" x14ac:dyDescent="0.25">
      <c r="A53" s="1">
        <v>1</v>
      </c>
      <c r="B53" s="118" t="s">
        <v>73</v>
      </c>
      <c r="C53" s="119">
        <v>2984</v>
      </c>
      <c r="D53" s="120">
        <v>5.0704225352112609E-2</v>
      </c>
      <c r="E53" s="119">
        <v>572</v>
      </c>
      <c r="F53" s="120">
        <f>IFERROR(E53/C53-1,"-")</f>
        <v>-0.80831099195710454</v>
      </c>
      <c r="G53" s="119">
        <v>2810</v>
      </c>
      <c r="H53" s="120">
        <f>IFERROR(G53/E53-1,"-")</f>
        <v>3.9125874125874125</v>
      </c>
      <c r="I53" s="119">
        <v>3391</v>
      </c>
      <c r="J53" s="120">
        <f>IFERROR(I53/G53-1,"-")</f>
        <v>0.2067615658362989</v>
      </c>
      <c r="K53" s="119">
        <v>2615</v>
      </c>
      <c r="L53" s="120">
        <f>IFERROR(K53/I53-1,"-")</f>
        <v>-0.22884104983780595</v>
      </c>
      <c r="M53" s="119">
        <v>3451</v>
      </c>
      <c r="N53" s="120">
        <f t="shared" ref="N53:N58" si="8">IFERROR(M53/K53-1,"-")</f>
        <v>0.31969407265774374</v>
      </c>
    </row>
    <row r="54" spans="1:15" x14ac:dyDescent="0.25">
      <c r="A54" s="1">
        <v>2</v>
      </c>
      <c r="B54" s="118" t="s">
        <v>75</v>
      </c>
      <c r="C54" s="119">
        <v>2825</v>
      </c>
      <c r="D54" s="120">
        <v>-0.1149749373433584</v>
      </c>
      <c r="E54" s="119">
        <v>604</v>
      </c>
      <c r="F54" s="120">
        <f t="shared" ref="F54:L65" si="9">IFERROR(E54/C54-1,"-")</f>
        <v>-0.78619469026548672</v>
      </c>
      <c r="G54" s="119">
        <v>2634</v>
      </c>
      <c r="H54" s="120">
        <f t="shared" si="9"/>
        <v>3.3609271523178812</v>
      </c>
      <c r="I54" s="119">
        <v>4989</v>
      </c>
      <c r="J54" s="120">
        <f t="shared" si="9"/>
        <v>0.89407744874715256</v>
      </c>
      <c r="K54" s="119">
        <v>3734</v>
      </c>
      <c r="L54" s="120">
        <f t="shared" si="9"/>
        <v>-0.25155341751854077</v>
      </c>
      <c r="M54" s="119">
        <v>2525</v>
      </c>
      <c r="N54" s="120">
        <f t="shared" si="8"/>
        <v>-0.32378146759507231</v>
      </c>
    </row>
    <row r="55" spans="1:15" x14ac:dyDescent="0.25">
      <c r="A55" s="1">
        <v>3</v>
      </c>
      <c r="B55" s="118" t="s">
        <v>77</v>
      </c>
      <c r="C55" s="119">
        <v>1144</v>
      </c>
      <c r="D55" s="120">
        <v>-0.65312310491206793</v>
      </c>
      <c r="E55" s="119">
        <v>907</v>
      </c>
      <c r="F55" s="120">
        <f t="shared" si="9"/>
        <v>-0.20716783216783219</v>
      </c>
      <c r="G55" s="119">
        <v>2645</v>
      </c>
      <c r="H55" s="120">
        <f t="shared" si="9"/>
        <v>1.9162072767364937</v>
      </c>
      <c r="I55" s="119">
        <v>5342</v>
      </c>
      <c r="J55" s="120">
        <f t="shared" si="9"/>
        <v>1.0196597353497165</v>
      </c>
      <c r="K55" s="119">
        <v>3989</v>
      </c>
      <c r="L55" s="120">
        <f t="shared" si="9"/>
        <v>-0.2532759266192437</v>
      </c>
      <c r="M55" s="119">
        <v>3569</v>
      </c>
      <c r="N55" s="120">
        <f t="shared" si="8"/>
        <v>-0.10528954625219356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961</v>
      </c>
      <c r="F56" s="120" t="str">
        <f t="shared" si="9"/>
        <v>-</v>
      </c>
      <c r="G56" s="119">
        <v>3480</v>
      </c>
      <c r="H56" s="120">
        <f t="shared" si="9"/>
        <v>2.6212278876170654</v>
      </c>
      <c r="I56" s="119">
        <v>4282</v>
      </c>
      <c r="J56" s="120">
        <f t="shared" si="9"/>
        <v>0.23045977011494245</v>
      </c>
      <c r="K56" s="119">
        <v>4847</v>
      </c>
      <c r="L56" s="120">
        <f t="shared" si="9"/>
        <v>0.13194768799626333</v>
      </c>
      <c r="M56" s="119">
        <v>4818</v>
      </c>
      <c r="N56" s="120">
        <f t="shared" si="8"/>
        <v>-5.9830823189601645E-3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1298</v>
      </c>
      <c r="F57" s="120" t="str">
        <f t="shared" si="9"/>
        <v>-</v>
      </c>
      <c r="G57" s="119">
        <v>3533</v>
      </c>
      <c r="H57" s="120">
        <f t="shared" si="9"/>
        <v>1.721879815100154</v>
      </c>
      <c r="I57" s="119">
        <v>5072</v>
      </c>
      <c r="J57" s="120">
        <f t="shared" si="9"/>
        <v>0.43560713274837259</v>
      </c>
      <c r="K57" s="119">
        <v>4477</v>
      </c>
      <c r="L57" s="120">
        <f t="shared" si="9"/>
        <v>-0.11731072555205047</v>
      </c>
      <c r="M57" s="119">
        <v>4362</v>
      </c>
      <c r="N57" s="120">
        <f t="shared" si="8"/>
        <v>-2.5686843868662046E-2</v>
      </c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1478</v>
      </c>
      <c r="F58" s="120" t="str">
        <f t="shared" si="9"/>
        <v>-</v>
      </c>
      <c r="G58" s="119">
        <v>3726</v>
      </c>
      <c r="H58" s="120">
        <f t="shared" si="9"/>
        <v>1.5209742895805141</v>
      </c>
      <c r="I58" s="119">
        <v>5380</v>
      </c>
      <c r="J58" s="120">
        <f t="shared" si="9"/>
        <v>0.44390767579173374</v>
      </c>
      <c r="K58" s="119">
        <v>4983</v>
      </c>
      <c r="L58" s="120">
        <f t="shared" si="9"/>
        <v>-7.3791821561338344E-2</v>
      </c>
      <c r="M58" s="119">
        <v>4317</v>
      </c>
      <c r="N58" s="120">
        <f t="shared" si="8"/>
        <v>-0.13365442504515357</v>
      </c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1981</v>
      </c>
      <c r="F59" s="120" t="str">
        <f t="shared" si="9"/>
        <v>-</v>
      </c>
      <c r="G59" s="119">
        <v>3912</v>
      </c>
      <c r="H59" s="120">
        <f t="shared" si="9"/>
        <v>0.97476022211004554</v>
      </c>
      <c r="I59" s="119">
        <v>4305</v>
      </c>
      <c r="J59" s="120">
        <f t="shared" si="9"/>
        <v>0.10046012269938642</v>
      </c>
      <c r="K59" s="119">
        <v>4074</v>
      </c>
      <c r="L59" s="120">
        <f t="shared" si="9"/>
        <v>-5.3658536585365901E-2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2716</v>
      </c>
      <c r="D60" s="120">
        <v>-0.20491803278688525</v>
      </c>
      <c r="E60" s="119">
        <v>3096</v>
      </c>
      <c r="F60" s="120">
        <f t="shared" si="9"/>
        <v>0.13991163475699553</v>
      </c>
      <c r="G60" s="119">
        <v>3999</v>
      </c>
      <c r="H60" s="120">
        <f t="shared" si="9"/>
        <v>0.29166666666666674</v>
      </c>
      <c r="I60" s="119">
        <v>4444</v>
      </c>
      <c r="J60" s="120">
        <f t="shared" si="9"/>
        <v>0.11127781945486381</v>
      </c>
      <c r="K60" s="119">
        <v>3603</v>
      </c>
      <c r="L60" s="120">
        <f t="shared" si="9"/>
        <v>-0.1892439243924392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1767</v>
      </c>
      <c r="D61" s="120">
        <v>-0.38921534739025232</v>
      </c>
      <c r="E61" s="119">
        <v>3457</v>
      </c>
      <c r="F61" s="120">
        <f t="shared" si="9"/>
        <v>0.95642331635540456</v>
      </c>
      <c r="G61" s="119">
        <v>3921</v>
      </c>
      <c r="H61" s="120">
        <f t="shared" si="9"/>
        <v>0.13422042233150133</v>
      </c>
      <c r="I61" s="119">
        <v>4892</v>
      </c>
      <c r="J61" s="120">
        <f t="shared" si="9"/>
        <v>0.24764090793165017</v>
      </c>
      <c r="K61" s="119">
        <v>4736</v>
      </c>
      <c r="L61" s="120">
        <f t="shared" si="9"/>
        <v>-3.1888798037612465E-2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1904</v>
      </c>
      <c r="D62" s="120">
        <v>-0.33888888888888891</v>
      </c>
      <c r="E62" s="119">
        <v>1744</v>
      </c>
      <c r="F62" s="120">
        <f t="shared" si="9"/>
        <v>-8.4033613445378186E-2</v>
      </c>
      <c r="G62" s="119">
        <v>3593</v>
      </c>
      <c r="H62" s="120">
        <f t="shared" si="9"/>
        <v>1.0602064220183487</v>
      </c>
      <c r="I62" s="119">
        <v>4470</v>
      </c>
      <c r="J62" s="120">
        <f t="shared" si="9"/>
        <v>0.24408572223768443</v>
      </c>
      <c r="K62" s="119">
        <v>4427</v>
      </c>
      <c r="L62" s="120">
        <f t="shared" si="9"/>
        <v>-9.6196868008948666E-3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1069</v>
      </c>
      <c r="D63" s="120">
        <v>-0.67438318611026493</v>
      </c>
      <c r="E63" s="119">
        <v>2739</v>
      </c>
      <c r="F63" s="120">
        <f t="shared" si="9"/>
        <v>1.5622076707202992</v>
      </c>
      <c r="G63" s="119">
        <v>3349</v>
      </c>
      <c r="H63" s="120">
        <f t="shared" si="9"/>
        <v>0.22270901788974085</v>
      </c>
      <c r="I63" s="119">
        <v>3373</v>
      </c>
      <c r="J63" s="120">
        <f t="shared" si="9"/>
        <v>7.1663183039714085E-3</v>
      </c>
      <c r="K63" s="119">
        <v>4221</v>
      </c>
      <c r="L63" s="120">
        <f t="shared" si="9"/>
        <v>0.25140824192113853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681</v>
      </c>
      <c r="D64" s="120">
        <v>-0.7561761546723953</v>
      </c>
      <c r="E64" s="119">
        <v>3189</v>
      </c>
      <c r="F64" s="120">
        <f t="shared" si="9"/>
        <v>3.6828193832599121</v>
      </c>
      <c r="G64" s="119">
        <v>3121</v>
      </c>
      <c r="H64" s="120">
        <f t="shared" si="9"/>
        <v>-2.1323298839761695E-2</v>
      </c>
      <c r="I64" s="119">
        <v>2886</v>
      </c>
      <c r="J64" s="120">
        <f t="shared" si="9"/>
        <v>-7.5296379365587973E-2</v>
      </c>
      <c r="K64" s="119">
        <v>3709</v>
      </c>
      <c r="L64" s="120">
        <f t="shared" si="9"/>
        <v>0.28516978516978519</v>
      </c>
      <c r="M64" s="119"/>
      <c r="N64" s="120"/>
    </row>
    <row r="65" spans="1:15" ht="15.75" x14ac:dyDescent="0.25">
      <c r="B65" s="121" t="s">
        <v>32</v>
      </c>
      <c r="C65" s="122">
        <v>16251</v>
      </c>
      <c r="D65" s="123">
        <v>-0.59300257957875235</v>
      </c>
      <c r="E65" s="122">
        <v>22026</v>
      </c>
      <c r="F65" s="123">
        <f t="shared" si="9"/>
        <v>0.35536274690788261</v>
      </c>
      <c r="G65" s="122">
        <v>40723</v>
      </c>
      <c r="H65" s="123">
        <f t="shared" si="9"/>
        <v>0.8488604376645783</v>
      </c>
      <c r="I65" s="122">
        <v>52826</v>
      </c>
      <c r="J65" s="123">
        <f t="shared" si="9"/>
        <v>0.29720305478476527</v>
      </c>
      <c r="K65" s="122">
        <v>49415</v>
      </c>
      <c r="L65" s="123">
        <f t="shared" si="9"/>
        <v>-6.4570476659220888E-2</v>
      </c>
      <c r="M65" s="122">
        <v>23042</v>
      </c>
      <c r="N65" s="123">
        <v>-6.504361939541492E-2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5" x14ac:dyDescent="0.25">
      <c r="C68" s="124"/>
      <c r="K68" s="124"/>
      <c r="N68" s="81"/>
    </row>
    <row r="70" spans="1:15" ht="48.75" customHeight="1" thickBot="1" x14ac:dyDescent="0.3">
      <c r="B70" s="278" t="s">
        <v>274</v>
      </c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3" t="s">
        <v>105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1:15" ht="22.5" thickTop="1" thickBot="1" x14ac:dyDescent="0.3">
      <c r="B73" s="111"/>
      <c r="C73" s="305">
        <f>$C$7</f>
        <v>2020</v>
      </c>
      <c r="D73" s="306"/>
      <c r="E73" s="307">
        <f>$E$7</f>
        <v>2021</v>
      </c>
      <c r="F73" s="306"/>
      <c r="G73" s="307">
        <f>$G$7</f>
        <v>2022</v>
      </c>
      <c r="H73" s="306"/>
      <c r="I73" s="307">
        <f>$I$7</f>
        <v>2023</v>
      </c>
      <c r="J73" s="306"/>
      <c r="K73" s="307">
        <f>$K$7</f>
        <v>2024</v>
      </c>
      <c r="L73" s="306"/>
      <c r="M73" s="307">
        <f>$M$7</f>
        <v>2025</v>
      </c>
      <c r="N73" s="308"/>
    </row>
    <row r="74" spans="1:15" ht="16.5" thickTop="1" thickBot="1" x14ac:dyDescent="0.3">
      <c r="B74" s="87"/>
      <c r="C74" s="115" t="s">
        <v>71</v>
      </c>
      <c r="D74" s="116" t="str">
        <f>CONCATENATE("var. ",RIGHT(C73,2),"/",RIGHT(C73-1,2))</f>
        <v>var. 20/19</v>
      </c>
      <c r="E74" s="117" t="s">
        <v>71</v>
      </c>
      <c r="F74" s="116" t="s">
        <v>248</v>
      </c>
      <c r="G74" s="117" t="s">
        <v>71</v>
      </c>
      <c r="H74" s="116" t="s">
        <v>248</v>
      </c>
      <c r="I74" s="117" t="s">
        <v>71</v>
      </c>
      <c r="J74" s="116" t="s">
        <v>248</v>
      </c>
      <c r="K74" s="117" t="s">
        <v>71</v>
      </c>
      <c r="L74" s="116" t="s">
        <v>248</v>
      </c>
      <c r="M74" s="117" t="s">
        <v>71</v>
      </c>
      <c r="N74" s="116" t="s">
        <v>272</v>
      </c>
    </row>
    <row r="75" spans="1:15" x14ac:dyDescent="0.25">
      <c r="A75" s="1">
        <v>1</v>
      </c>
      <c r="B75" s="118" t="s">
        <v>73</v>
      </c>
      <c r="C75" s="119">
        <v>2841</v>
      </c>
      <c r="D75" s="120">
        <v>0.18572621035058434</v>
      </c>
      <c r="E75" s="119">
        <v>543</v>
      </c>
      <c r="F75" s="120">
        <f>IFERROR(E75/C75-1,"-")</f>
        <v>-0.80887011615628301</v>
      </c>
      <c r="G75" s="119">
        <v>2071</v>
      </c>
      <c r="H75" s="120">
        <f>IFERROR(G75/E75-1,"-")</f>
        <v>2.8139963167587476</v>
      </c>
      <c r="I75" s="119">
        <v>2249</v>
      </c>
      <c r="J75" s="120">
        <f>IFERROR(I75/G75-1,"-")</f>
        <v>8.5948816996620048E-2</v>
      </c>
      <c r="K75" s="119">
        <v>1215</v>
      </c>
      <c r="L75" s="120">
        <f>IFERROR(K75/I75-1,"-")</f>
        <v>-0.45975989328590483</v>
      </c>
      <c r="M75" s="119">
        <v>1366</v>
      </c>
      <c r="N75" s="120">
        <f t="shared" ref="N75:N80" si="10">IFERROR(M75/K75-1,"-")</f>
        <v>0.12427983539094645</v>
      </c>
    </row>
    <row r="76" spans="1:15" x14ac:dyDescent="0.25">
      <c r="A76" s="1">
        <v>2</v>
      </c>
      <c r="B76" s="118" t="s">
        <v>75</v>
      </c>
      <c r="C76" s="119">
        <v>2546</v>
      </c>
      <c r="D76" s="120">
        <v>0.10407632263660016</v>
      </c>
      <c r="E76" s="119">
        <v>721</v>
      </c>
      <c r="F76" s="120">
        <f t="shared" ref="F76:L87" si="11">IFERROR(E76/C76-1,"-")</f>
        <v>-0.71681068342498033</v>
      </c>
      <c r="G76" s="119">
        <v>1841</v>
      </c>
      <c r="H76" s="120">
        <f t="shared" si="11"/>
        <v>1.5533980582524274</v>
      </c>
      <c r="I76" s="119">
        <v>748</v>
      </c>
      <c r="J76" s="120">
        <f t="shared" si="11"/>
        <v>-0.59369907658881038</v>
      </c>
      <c r="K76" s="119">
        <v>1249</v>
      </c>
      <c r="L76" s="120">
        <f t="shared" si="11"/>
        <v>0.66978609625668439</v>
      </c>
      <c r="M76" s="119">
        <v>1322</v>
      </c>
      <c r="N76" s="120">
        <f t="shared" si="10"/>
        <v>5.8446757405924643E-2</v>
      </c>
    </row>
    <row r="77" spans="1:15" x14ac:dyDescent="0.25">
      <c r="A77" s="1">
        <v>3</v>
      </c>
      <c r="B77" s="118" t="s">
        <v>77</v>
      </c>
      <c r="C77" s="119">
        <v>1038</v>
      </c>
      <c r="D77" s="120">
        <v>-0.54908774978279751</v>
      </c>
      <c r="E77" s="119">
        <v>1575</v>
      </c>
      <c r="F77" s="120">
        <f t="shared" si="11"/>
        <v>0.51734104046242768</v>
      </c>
      <c r="G77" s="119">
        <v>2794</v>
      </c>
      <c r="H77" s="120">
        <f t="shared" si="11"/>
        <v>0.77396825396825397</v>
      </c>
      <c r="I77" s="119">
        <v>1106</v>
      </c>
      <c r="J77" s="120">
        <f t="shared" si="11"/>
        <v>-0.60415175375805297</v>
      </c>
      <c r="K77" s="119">
        <v>1224</v>
      </c>
      <c r="L77" s="120">
        <f t="shared" si="11"/>
        <v>0.10669077757685352</v>
      </c>
      <c r="M77" s="119">
        <v>1260</v>
      </c>
      <c r="N77" s="120">
        <f t="shared" si="10"/>
        <v>2.9411764705882248E-2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901</v>
      </c>
      <c r="F78" s="120" t="str">
        <f t="shared" si="11"/>
        <v>-</v>
      </c>
      <c r="G78" s="119">
        <v>2457</v>
      </c>
      <c r="H78" s="120">
        <f t="shared" si="11"/>
        <v>1.7269700332963374</v>
      </c>
      <c r="I78" s="119">
        <v>1949</v>
      </c>
      <c r="J78" s="120">
        <f t="shared" si="11"/>
        <v>-0.20675620675620676</v>
      </c>
      <c r="K78" s="119">
        <v>1108</v>
      </c>
      <c r="L78" s="120">
        <f t="shared" si="11"/>
        <v>-0.43150333504361216</v>
      </c>
      <c r="M78" s="119">
        <v>1331</v>
      </c>
      <c r="N78" s="120">
        <f t="shared" si="10"/>
        <v>0.20126353790613716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1900</v>
      </c>
      <c r="F79" s="120" t="str">
        <f t="shared" si="11"/>
        <v>-</v>
      </c>
      <c r="G79" s="119">
        <v>1685</v>
      </c>
      <c r="H79" s="120">
        <f t="shared" si="11"/>
        <v>-0.11315789473684212</v>
      </c>
      <c r="I79" s="119">
        <v>2115</v>
      </c>
      <c r="J79" s="120">
        <f t="shared" si="11"/>
        <v>0.25519287833827886</v>
      </c>
      <c r="K79" s="119">
        <v>2258</v>
      </c>
      <c r="L79" s="120">
        <f t="shared" si="11"/>
        <v>6.7612293144208024E-2</v>
      </c>
      <c r="M79" s="119">
        <v>3166</v>
      </c>
      <c r="N79" s="120">
        <f t="shared" si="10"/>
        <v>0.40212577502214342</v>
      </c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1771</v>
      </c>
      <c r="F80" s="120" t="str">
        <f t="shared" si="11"/>
        <v>-</v>
      </c>
      <c r="G80" s="119">
        <v>4228</v>
      </c>
      <c r="H80" s="120">
        <f t="shared" si="11"/>
        <v>1.3873517786561265</v>
      </c>
      <c r="I80" s="119">
        <v>1166</v>
      </c>
      <c r="J80" s="120">
        <f t="shared" si="11"/>
        <v>-0.72421948912015144</v>
      </c>
      <c r="K80" s="119">
        <v>1164</v>
      </c>
      <c r="L80" s="120">
        <f t="shared" si="11"/>
        <v>-1.7152658662092923E-3</v>
      </c>
      <c r="M80" s="119">
        <v>3102</v>
      </c>
      <c r="N80" s="120">
        <f t="shared" si="10"/>
        <v>1.6649484536082473</v>
      </c>
    </row>
    <row r="81" spans="1:15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1191</v>
      </c>
      <c r="F81" s="120" t="str">
        <f t="shared" si="11"/>
        <v>-</v>
      </c>
      <c r="G81" s="119">
        <v>2851</v>
      </c>
      <c r="H81" s="120">
        <f t="shared" si="11"/>
        <v>1.3937867338371115</v>
      </c>
      <c r="I81" s="119">
        <v>2003</v>
      </c>
      <c r="J81" s="120">
        <f t="shared" si="11"/>
        <v>-0.29743949491406529</v>
      </c>
      <c r="K81" s="119">
        <v>2667</v>
      </c>
      <c r="L81" s="120">
        <f t="shared" si="11"/>
        <v>0.33150274588117834</v>
      </c>
      <c r="M81" s="119"/>
      <c r="N81" s="120"/>
    </row>
    <row r="82" spans="1:15" x14ac:dyDescent="0.25">
      <c r="A82" s="1">
        <v>8</v>
      </c>
      <c r="B82" s="118" t="s">
        <v>87</v>
      </c>
      <c r="C82" s="119">
        <v>2303</v>
      </c>
      <c r="D82" s="120">
        <v>-0.20200970200970203</v>
      </c>
      <c r="E82" s="119">
        <v>1356</v>
      </c>
      <c r="F82" s="120">
        <f t="shared" si="11"/>
        <v>-0.41120277898393398</v>
      </c>
      <c r="G82" s="119">
        <v>2044</v>
      </c>
      <c r="H82" s="120">
        <f t="shared" si="11"/>
        <v>0.50737463126843663</v>
      </c>
      <c r="I82" s="119">
        <v>2706</v>
      </c>
      <c r="J82" s="120">
        <f t="shared" si="11"/>
        <v>0.3238747553816046</v>
      </c>
      <c r="K82" s="119">
        <v>1092</v>
      </c>
      <c r="L82" s="120">
        <f t="shared" si="11"/>
        <v>-0.59645232815964522</v>
      </c>
      <c r="M82" s="119"/>
      <c r="N82" s="120"/>
    </row>
    <row r="83" spans="1:15" x14ac:dyDescent="0.25">
      <c r="A83" s="1">
        <v>9</v>
      </c>
      <c r="B83" s="118" t="s">
        <v>89</v>
      </c>
      <c r="C83" s="119">
        <v>1308</v>
      </c>
      <c r="D83" s="120">
        <v>-0.4340112505408914</v>
      </c>
      <c r="E83" s="119">
        <v>3089</v>
      </c>
      <c r="F83" s="120">
        <f t="shared" si="11"/>
        <v>1.3616207951070338</v>
      </c>
      <c r="G83" s="119">
        <v>2812</v>
      </c>
      <c r="H83" s="120">
        <f t="shared" si="11"/>
        <v>-8.9673033344124353E-2</v>
      </c>
      <c r="I83" s="119">
        <v>1528</v>
      </c>
      <c r="J83" s="120">
        <f t="shared" si="11"/>
        <v>-0.45661450924608815</v>
      </c>
      <c r="K83" s="119">
        <v>2671</v>
      </c>
      <c r="L83" s="120">
        <f t="shared" si="11"/>
        <v>0.74803664921465973</v>
      </c>
      <c r="M83" s="119"/>
      <c r="N83" s="120"/>
    </row>
    <row r="84" spans="1:15" x14ac:dyDescent="0.25">
      <c r="A84" s="1">
        <v>10</v>
      </c>
      <c r="B84" s="118" t="s">
        <v>91</v>
      </c>
      <c r="C84" s="119">
        <v>874</v>
      </c>
      <c r="D84" s="120">
        <v>-0.71419228253760636</v>
      </c>
      <c r="E84" s="119">
        <v>2179</v>
      </c>
      <c r="F84" s="120">
        <f t="shared" si="11"/>
        <v>1.4931350114416477</v>
      </c>
      <c r="G84" s="119">
        <v>1877</v>
      </c>
      <c r="H84" s="120">
        <f t="shared" si="11"/>
        <v>-0.13859568609453876</v>
      </c>
      <c r="I84" s="119">
        <v>1047</v>
      </c>
      <c r="J84" s="120">
        <f t="shared" si="11"/>
        <v>-0.44219499200852419</v>
      </c>
      <c r="K84" s="119">
        <v>1307</v>
      </c>
      <c r="L84" s="120">
        <f t="shared" si="11"/>
        <v>0.2483285577841452</v>
      </c>
      <c r="M84" s="119"/>
      <c r="N84" s="120"/>
    </row>
    <row r="85" spans="1:15" x14ac:dyDescent="0.25">
      <c r="A85" s="1">
        <v>11</v>
      </c>
      <c r="B85" s="118" t="s">
        <v>93</v>
      </c>
      <c r="C85" s="119">
        <v>1374</v>
      </c>
      <c r="D85" s="120">
        <v>-0.58489425981873111</v>
      </c>
      <c r="E85" s="119">
        <v>2323</v>
      </c>
      <c r="F85" s="120">
        <f t="shared" si="11"/>
        <v>0.69068413391557493</v>
      </c>
      <c r="G85" s="119">
        <v>2569</v>
      </c>
      <c r="H85" s="120">
        <f t="shared" si="11"/>
        <v>0.10589754627636672</v>
      </c>
      <c r="I85" s="119">
        <v>1075</v>
      </c>
      <c r="J85" s="120">
        <f t="shared" si="11"/>
        <v>-0.58154924094978588</v>
      </c>
      <c r="K85" s="119">
        <v>3117</v>
      </c>
      <c r="L85" s="120">
        <f t="shared" si="11"/>
        <v>1.8995348837209303</v>
      </c>
      <c r="M85" s="119"/>
      <c r="N85" s="120"/>
    </row>
    <row r="86" spans="1:15" x14ac:dyDescent="0.25">
      <c r="A86" s="1">
        <v>12</v>
      </c>
      <c r="B86" s="118" t="s">
        <v>95</v>
      </c>
      <c r="C86" s="119">
        <v>1793</v>
      </c>
      <c r="D86" s="120">
        <v>-0.56406515925115486</v>
      </c>
      <c r="E86" s="119">
        <v>2488</v>
      </c>
      <c r="F86" s="120">
        <f t="shared" si="11"/>
        <v>0.38761851645287226</v>
      </c>
      <c r="G86" s="119">
        <v>2999</v>
      </c>
      <c r="H86" s="120">
        <f t="shared" si="11"/>
        <v>0.20538585209003224</v>
      </c>
      <c r="I86" s="119">
        <v>1914</v>
      </c>
      <c r="J86" s="120">
        <f t="shared" si="11"/>
        <v>-0.36178726242080694</v>
      </c>
      <c r="K86" s="119">
        <v>2574</v>
      </c>
      <c r="L86" s="120">
        <f t="shared" si="11"/>
        <v>0.34482758620689657</v>
      </c>
      <c r="M86" s="119"/>
      <c r="N86" s="120"/>
    </row>
    <row r="87" spans="1:15" ht="15.75" x14ac:dyDescent="0.25">
      <c r="B87" s="121" t="s">
        <v>32</v>
      </c>
      <c r="C87" s="122">
        <v>15549</v>
      </c>
      <c r="D87" s="123">
        <v>-0.5288610126352149</v>
      </c>
      <c r="E87" s="122">
        <v>20037</v>
      </c>
      <c r="F87" s="123">
        <f t="shared" si="11"/>
        <v>0.28863592513988046</v>
      </c>
      <c r="G87" s="122">
        <v>30228</v>
      </c>
      <c r="H87" s="123">
        <f t="shared" si="11"/>
        <v>0.50860907321455318</v>
      </c>
      <c r="I87" s="122">
        <v>19606</v>
      </c>
      <c r="J87" s="123">
        <f t="shared" si="11"/>
        <v>-0.3513960566362313</v>
      </c>
      <c r="K87" s="122">
        <v>21646</v>
      </c>
      <c r="L87" s="123">
        <f t="shared" si="11"/>
        <v>0.10404978067938386</v>
      </c>
      <c r="M87" s="122">
        <v>11547</v>
      </c>
      <c r="N87" s="123">
        <v>0.40508639571671945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1:15" x14ac:dyDescent="0.25">
      <c r="C90" s="124"/>
      <c r="K90" s="124"/>
      <c r="N90" s="81"/>
    </row>
    <row r="92" spans="1:15" ht="48.75" customHeight="1" thickBot="1" x14ac:dyDescent="0.3">
      <c r="B92" s="278" t="s">
        <v>275</v>
      </c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3" t="s">
        <v>109</v>
      </c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</row>
    <row r="95" spans="1:15" ht="22.5" thickTop="1" thickBot="1" x14ac:dyDescent="0.3">
      <c r="B95" s="111"/>
      <c r="C95" s="305">
        <f>$C$7</f>
        <v>2020</v>
      </c>
      <c r="D95" s="306"/>
      <c r="E95" s="307">
        <f>$E$7</f>
        <v>2021</v>
      </c>
      <c r="F95" s="306"/>
      <c r="G95" s="307">
        <f>$G$7</f>
        <v>2022</v>
      </c>
      <c r="H95" s="306"/>
      <c r="I95" s="307">
        <f>$I$7</f>
        <v>2023</v>
      </c>
      <c r="J95" s="306"/>
      <c r="K95" s="307">
        <f>$K$7</f>
        <v>2024</v>
      </c>
      <c r="L95" s="306"/>
      <c r="M95" s="307">
        <f>$M$7</f>
        <v>2025</v>
      </c>
      <c r="N95" s="308"/>
    </row>
    <row r="96" spans="1:15" ht="16.5" thickTop="1" thickBot="1" x14ac:dyDescent="0.3">
      <c r="B96" s="87"/>
      <c r="C96" s="115" t="s">
        <v>71</v>
      </c>
      <c r="D96" s="116" t="str">
        <f>CONCATENATE("var. ",RIGHT(C95,2),"/",RIGHT(C95-1,2))</f>
        <v>var. 20/19</v>
      </c>
      <c r="E96" s="117" t="s">
        <v>71</v>
      </c>
      <c r="F96" s="116" t="s">
        <v>248</v>
      </c>
      <c r="G96" s="117" t="s">
        <v>71</v>
      </c>
      <c r="H96" s="116" t="s">
        <v>248</v>
      </c>
      <c r="I96" s="117" t="s">
        <v>71</v>
      </c>
      <c r="J96" s="116" t="s">
        <v>248</v>
      </c>
      <c r="K96" s="117" t="s">
        <v>71</v>
      </c>
      <c r="L96" s="116" t="s">
        <v>248</v>
      </c>
      <c r="M96" s="117" t="s">
        <v>71</v>
      </c>
      <c r="N96" s="116" t="s">
        <v>272</v>
      </c>
    </row>
    <row r="97" spans="2:14" x14ac:dyDescent="0.25">
      <c r="B97" s="118" t="s">
        <v>73</v>
      </c>
      <c r="C97" s="119">
        <v>7778</v>
      </c>
      <c r="D97" s="120">
        <v>8.132906992909783E-2</v>
      </c>
      <c r="E97" s="119">
        <v>1648</v>
      </c>
      <c r="F97" s="120">
        <f t="shared" ref="F97:L109" si="12">IFERROR(E97/C97-1,"-")</f>
        <v>-0.78812033941887372</v>
      </c>
      <c r="G97" s="119">
        <v>6519</v>
      </c>
      <c r="H97" s="120">
        <f t="shared" si="12"/>
        <v>2.9557038834951457</v>
      </c>
      <c r="I97" s="119">
        <v>8713</v>
      </c>
      <c r="J97" s="120">
        <f t="shared" si="12"/>
        <v>0.33655468630158003</v>
      </c>
      <c r="K97" s="119">
        <v>10751</v>
      </c>
      <c r="L97" s="120">
        <f t="shared" si="12"/>
        <v>0.23390336279123147</v>
      </c>
      <c r="M97" s="119">
        <v>9438</v>
      </c>
      <c r="N97" s="120">
        <f t="shared" ref="N97:N102" si="13">IFERROR(M97/K97-1,"-")</f>
        <v>-0.12212817412333732</v>
      </c>
    </row>
    <row r="98" spans="2:14" x14ac:dyDescent="0.25">
      <c r="B98" s="118" t="s">
        <v>75</v>
      </c>
      <c r="C98" s="119">
        <v>8971</v>
      </c>
      <c r="D98" s="120">
        <v>0.12771841609050916</v>
      </c>
      <c r="E98" s="119">
        <v>1772</v>
      </c>
      <c r="F98" s="120">
        <f t="shared" si="12"/>
        <v>-0.80247464050830453</v>
      </c>
      <c r="G98" s="119">
        <v>6908</v>
      </c>
      <c r="H98" s="120">
        <f t="shared" si="12"/>
        <v>2.8984198645598194</v>
      </c>
      <c r="I98" s="119">
        <v>8514</v>
      </c>
      <c r="J98" s="120">
        <f t="shared" si="12"/>
        <v>0.23248407643312108</v>
      </c>
      <c r="K98" s="119">
        <v>10155</v>
      </c>
      <c r="L98" s="120">
        <f t="shared" si="12"/>
        <v>0.19274136715997181</v>
      </c>
      <c r="M98" s="119">
        <v>9264</v>
      </c>
      <c r="N98" s="120">
        <f t="shared" si="13"/>
        <v>-8.7740029542097475E-2</v>
      </c>
    </row>
    <row r="99" spans="2:14" x14ac:dyDescent="0.25">
      <c r="B99" s="118" t="s">
        <v>77</v>
      </c>
      <c r="C99" s="119">
        <v>3532</v>
      </c>
      <c r="D99" s="120">
        <v>-0.57599039615846337</v>
      </c>
      <c r="E99" s="119">
        <v>2477</v>
      </c>
      <c r="F99" s="120">
        <f t="shared" si="12"/>
        <v>-0.29869762174405434</v>
      </c>
      <c r="G99" s="119">
        <v>7271</v>
      </c>
      <c r="H99" s="120">
        <f t="shared" si="12"/>
        <v>1.9354057327412191</v>
      </c>
      <c r="I99" s="119">
        <v>9155</v>
      </c>
      <c r="J99" s="120">
        <f t="shared" si="12"/>
        <v>0.25911153899051032</v>
      </c>
      <c r="K99" s="119">
        <v>10079</v>
      </c>
      <c r="L99" s="120">
        <f t="shared" si="12"/>
        <v>0.10092845439650455</v>
      </c>
      <c r="M99" s="119">
        <v>9265</v>
      </c>
      <c r="N99" s="120">
        <f t="shared" si="13"/>
        <v>-8.0761980355193996E-2</v>
      </c>
    </row>
    <row r="100" spans="2:14" x14ac:dyDescent="0.25">
      <c r="B100" s="118" t="s">
        <v>79</v>
      </c>
      <c r="C100" s="119">
        <v>0</v>
      </c>
      <c r="D100" s="120">
        <v>-1</v>
      </c>
      <c r="E100" s="119">
        <v>2226</v>
      </c>
      <c r="F100" s="120" t="str">
        <f t="shared" si="12"/>
        <v>-</v>
      </c>
      <c r="G100" s="119">
        <v>6256</v>
      </c>
      <c r="H100" s="120">
        <f t="shared" si="12"/>
        <v>1.8104222821203955</v>
      </c>
      <c r="I100" s="119">
        <v>6472</v>
      </c>
      <c r="J100" s="120">
        <f t="shared" si="12"/>
        <v>3.4526854219948833E-2</v>
      </c>
      <c r="K100" s="119">
        <v>7484</v>
      </c>
      <c r="L100" s="120">
        <f t="shared" si="12"/>
        <v>0.15636588380716931</v>
      </c>
      <c r="M100" s="119">
        <v>5830</v>
      </c>
      <c r="N100" s="120">
        <f t="shared" si="13"/>
        <v>-0.221004810261892</v>
      </c>
    </row>
    <row r="101" spans="2:14" x14ac:dyDescent="0.25">
      <c r="B101" s="118" t="s">
        <v>81</v>
      </c>
      <c r="C101" s="119">
        <v>0</v>
      </c>
      <c r="D101" s="120">
        <v>-1</v>
      </c>
      <c r="E101" s="119">
        <v>2446</v>
      </c>
      <c r="F101" s="120" t="str">
        <f t="shared" si="12"/>
        <v>-</v>
      </c>
      <c r="G101" s="119">
        <v>4867</v>
      </c>
      <c r="H101" s="120">
        <f t="shared" si="12"/>
        <v>0.98977923139820123</v>
      </c>
      <c r="I101" s="119">
        <v>5606</v>
      </c>
      <c r="J101" s="120">
        <f t="shared" si="12"/>
        <v>0.15183891514279835</v>
      </c>
      <c r="K101" s="119">
        <v>5778</v>
      </c>
      <c r="L101" s="120">
        <f t="shared" si="12"/>
        <v>3.068141277203007E-2</v>
      </c>
      <c r="M101" s="119">
        <v>5883</v>
      </c>
      <c r="N101" s="120">
        <f t="shared" si="13"/>
        <v>1.8172377985462118E-2</v>
      </c>
    </row>
    <row r="102" spans="2:14" x14ac:dyDescent="0.25">
      <c r="B102" s="118" t="s">
        <v>83</v>
      </c>
      <c r="C102" s="119">
        <v>0</v>
      </c>
      <c r="D102" s="120">
        <v>-1</v>
      </c>
      <c r="E102" s="119">
        <v>2238</v>
      </c>
      <c r="F102" s="120" t="str">
        <f t="shared" si="12"/>
        <v>-</v>
      </c>
      <c r="G102" s="119">
        <v>3323</v>
      </c>
      <c r="H102" s="120">
        <f t="shared" si="12"/>
        <v>0.48480786416443244</v>
      </c>
      <c r="I102" s="119">
        <v>3827</v>
      </c>
      <c r="J102" s="120">
        <f t="shared" si="12"/>
        <v>0.15167017755040635</v>
      </c>
      <c r="K102" s="119">
        <v>3968</v>
      </c>
      <c r="L102" s="120">
        <f t="shared" si="12"/>
        <v>3.684348053305464E-2</v>
      </c>
      <c r="M102" s="119">
        <v>4239</v>
      </c>
      <c r="N102" s="120">
        <f t="shared" si="13"/>
        <v>6.8296370967741993E-2</v>
      </c>
    </row>
    <row r="103" spans="2:14" x14ac:dyDescent="0.25">
      <c r="B103" s="118" t="s">
        <v>85</v>
      </c>
      <c r="C103" s="119">
        <v>0</v>
      </c>
      <c r="D103" s="120">
        <v>-1</v>
      </c>
      <c r="E103" s="119">
        <v>2500</v>
      </c>
      <c r="F103" s="120" t="str">
        <f t="shared" si="12"/>
        <v>-</v>
      </c>
      <c r="G103" s="119">
        <v>3947</v>
      </c>
      <c r="H103" s="120">
        <f t="shared" si="12"/>
        <v>0.57879999999999998</v>
      </c>
      <c r="I103" s="119">
        <v>3286</v>
      </c>
      <c r="J103" s="120">
        <f t="shared" si="12"/>
        <v>-0.16746896376995191</v>
      </c>
      <c r="K103" s="119">
        <v>3399</v>
      </c>
      <c r="L103" s="120">
        <f t="shared" si="12"/>
        <v>3.438831405964704E-2</v>
      </c>
      <c r="M103" s="119"/>
      <c r="N103" s="120"/>
    </row>
    <row r="104" spans="2:14" x14ac:dyDescent="0.25">
      <c r="B104" s="118" t="s">
        <v>87</v>
      </c>
      <c r="C104" s="119">
        <v>1922</v>
      </c>
      <c r="D104" s="120">
        <v>-0.33124565066109957</v>
      </c>
      <c r="E104" s="119">
        <v>4135</v>
      </c>
      <c r="F104" s="120">
        <f t="shared" si="12"/>
        <v>1.151404786680541</v>
      </c>
      <c r="G104" s="119">
        <v>4227</v>
      </c>
      <c r="H104" s="120">
        <f t="shared" si="12"/>
        <v>2.2249093107617801E-2</v>
      </c>
      <c r="I104" s="119">
        <v>4721</v>
      </c>
      <c r="J104" s="120">
        <f t="shared" si="12"/>
        <v>0.11686775490891876</v>
      </c>
      <c r="K104" s="119">
        <v>4564</v>
      </c>
      <c r="L104" s="120">
        <f t="shared" si="12"/>
        <v>-3.325566617242115E-2</v>
      </c>
      <c r="M104" s="119"/>
      <c r="N104" s="120"/>
    </row>
    <row r="105" spans="2:14" x14ac:dyDescent="0.25">
      <c r="B105" s="118" t="s">
        <v>89</v>
      </c>
      <c r="C105" s="119">
        <v>692</v>
      </c>
      <c r="D105" s="120">
        <v>-0.75276884601643446</v>
      </c>
      <c r="E105" s="119">
        <v>3054</v>
      </c>
      <c r="F105" s="120">
        <f t="shared" si="12"/>
        <v>3.4132947976878611</v>
      </c>
      <c r="G105" s="119">
        <v>4234</v>
      </c>
      <c r="H105" s="120">
        <f t="shared" si="12"/>
        <v>0.38637851997380479</v>
      </c>
      <c r="I105" s="119">
        <v>4186</v>
      </c>
      <c r="J105" s="120">
        <f t="shared" si="12"/>
        <v>-1.1336797354747241E-2</v>
      </c>
      <c r="K105" s="119">
        <v>3938</v>
      </c>
      <c r="L105" s="120">
        <f t="shared" si="12"/>
        <v>-5.9245102723363585E-2</v>
      </c>
      <c r="M105" s="119"/>
      <c r="N105" s="120"/>
    </row>
    <row r="106" spans="2:14" x14ac:dyDescent="0.25">
      <c r="B106" s="118" t="s">
        <v>91</v>
      </c>
      <c r="C106" s="119">
        <v>825</v>
      </c>
      <c r="D106" s="120">
        <v>-0.82439335887611753</v>
      </c>
      <c r="E106" s="119">
        <v>6196</v>
      </c>
      <c r="F106" s="120">
        <f t="shared" si="12"/>
        <v>6.5103030303030307</v>
      </c>
      <c r="G106" s="119">
        <v>6125</v>
      </c>
      <c r="H106" s="120">
        <f t="shared" si="12"/>
        <v>-1.1459005810200096E-2</v>
      </c>
      <c r="I106" s="119">
        <v>5590</v>
      </c>
      <c r="J106" s="120">
        <f t="shared" si="12"/>
        <v>-8.7346938775510252E-2</v>
      </c>
      <c r="K106" s="119">
        <v>6453</v>
      </c>
      <c r="L106" s="120">
        <f t="shared" si="12"/>
        <v>0.15438282647584978</v>
      </c>
      <c r="M106" s="119"/>
      <c r="N106" s="120"/>
    </row>
    <row r="107" spans="2:14" x14ac:dyDescent="0.25">
      <c r="B107" s="118" t="s">
        <v>93</v>
      </c>
      <c r="C107" s="119">
        <v>1112</v>
      </c>
      <c r="D107" s="120">
        <v>-0.85308495177698507</v>
      </c>
      <c r="E107" s="119">
        <v>7124</v>
      </c>
      <c r="F107" s="120">
        <f t="shared" si="12"/>
        <v>5.4064748201438846</v>
      </c>
      <c r="G107" s="119">
        <v>7135</v>
      </c>
      <c r="H107" s="120">
        <f t="shared" si="12"/>
        <v>1.5440763615945929E-3</v>
      </c>
      <c r="I107" s="119">
        <v>8768</v>
      </c>
      <c r="J107" s="120">
        <f t="shared" si="12"/>
        <v>0.22887175893482836</v>
      </c>
      <c r="K107" s="119">
        <v>7634</v>
      </c>
      <c r="L107" s="120">
        <f t="shared" si="12"/>
        <v>-0.12933394160583944</v>
      </c>
      <c r="M107" s="119"/>
      <c r="N107" s="120"/>
    </row>
    <row r="108" spans="2:14" x14ac:dyDescent="0.25">
      <c r="B108" s="118" t="s">
        <v>95</v>
      </c>
      <c r="C108" s="119">
        <v>1575</v>
      </c>
      <c r="D108" s="120">
        <v>-0.74239450441609423</v>
      </c>
      <c r="E108" s="119">
        <v>5523</v>
      </c>
      <c r="F108" s="120">
        <f t="shared" si="12"/>
        <v>2.5066666666666668</v>
      </c>
      <c r="G108" s="119">
        <v>5994</v>
      </c>
      <c r="H108" s="120">
        <f t="shared" si="12"/>
        <v>8.5279739272134725E-2</v>
      </c>
      <c r="I108" s="119">
        <v>7064</v>
      </c>
      <c r="J108" s="120">
        <f t="shared" si="12"/>
        <v>0.17851184517851193</v>
      </c>
      <c r="K108" s="119">
        <v>7036</v>
      </c>
      <c r="L108" s="120">
        <f t="shared" si="12"/>
        <v>-3.9637599093997888E-3</v>
      </c>
      <c r="M108" s="119"/>
      <c r="N108" s="120"/>
    </row>
    <row r="109" spans="2:14" ht="15.75" x14ac:dyDescent="0.25">
      <c r="B109" s="121" t="s">
        <v>32</v>
      </c>
      <c r="C109" s="122">
        <v>27247</v>
      </c>
      <c r="D109" s="123">
        <v>-0.56883564895401462</v>
      </c>
      <c r="E109" s="122">
        <v>41339</v>
      </c>
      <c r="F109" s="123">
        <f t="shared" si="12"/>
        <v>0.51719455352882893</v>
      </c>
      <c r="G109" s="122">
        <v>66806</v>
      </c>
      <c r="H109" s="123">
        <f t="shared" si="12"/>
        <v>0.61605263794479792</v>
      </c>
      <c r="I109" s="122">
        <v>75902</v>
      </c>
      <c r="J109" s="123">
        <f t="shared" si="12"/>
        <v>0.13615543514055628</v>
      </c>
      <c r="K109" s="122">
        <v>81239</v>
      </c>
      <c r="L109" s="123">
        <f t="shared" si="12"/>
        <v>7.0314352717978368E-2</v>
      </c>
      <c r="M109" s="122">
        <v>43919</v>
      </c>
      <c r="N109" s="123">
        <v>-8.9100902208856136E-2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 x14ac:dyDescent="0.25">
      <c r="C112" s="124"/>
      <c r="K112" s="124"/>
      <c r="N112" s="81"/>
    </row>
    <row r="114" spans="1:15" ht="48.75" customHeight="1" thickBot="1" x14ac:dyDescent="0.3">
      <c r="B114" s="278" t="s">
        <v>276</v>
      </c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3" t="s">
        <v>112</v>
      </c>
      <c r="D116" s="304"/>
      <c r="E116" s="304"/>
      <c r="F116" s="304"/>
      <c r="G116" s="304"/>
      <c r="H116" s="304"/>
      <c r="I116" s="304"/>
      <c r="J116" s="304"/>
      <c r="K116" s="304"/>
      <c r="L116" s="304"/>
      <c r="M116" s="304"/>
      <c r="N116" s="304"/>
    </row>
    <row r="117" spans="1:15" ht="22.5" thickTop="1" thickBot="1" x14ac:dyDescent="0.3">
      <c r="B117" s="111"/>
      <c r="C117" s="305">
        <f>$C$7</f>
        <v>2020</v>
      </c>
      <c r="D117" s="306"/>
      <c r="E117" s="307">
        <f>$E$7</f>
        <v>2021</v>
      </c>
      <c r="F117" s="306"/>
      <c r="G117" s="307">
        <f>$G$7</f>
        <v>2022</v>
      </c>
      <c r="H117" s="306"/>
      <c r="I117" s="307">
        <f>$I$7</f>
        <v>2023</v>
      </c>
      <c r="J117" s="306"/>
      <c r="K117" s="307">
        <f>$K$7</f>
        <v>2024</v>
      </c>
      <c r="L117" s="306"/>
      <c r="M117" s="307">
        <f>$M$7</f>
        <v>2025</v>
      </c>
      <c r="N117" s="308"/>
    </row>
    <row r="118" spans="1:15" ht="16.5" thickTop="1" thickBot="1" x14ac:dyDescent="0.3">
      <c r="B118" s="87"/>
      <c r="C118" s="115" t="s">
        <v>71</v>
      </c>
      <c r="D118" s="116" t="str">
        <f>CONCATENATE("var. ",RIGHT(C117,2),"/",RIGHT(C117-1,2))</f>
        <v>var. 20/19</v>
      </c>
      <c r="E118" s="117" t="s">
        <v>71</v>
      </c>
      <c r="F118" s="116" t="s">
        <v>248</v>
      </c>
      <c r="G118" s="117" t="s">
        <v>71</v>
      </c>
      <c r="H118" s="116" t="s">
        <v>248</v>
      </c>
      <c r="I118" s="117" t="s">
        <v>71</v>
      </c>
      <c r="J118" s="116" t="s">
        <v>248</v>
      </c>
      <c r="K118" s="117" t="s">
        <v>71</v>
      </c>
      <c r="L118" s="116" t="s">
        <v>248</v>
      </c>
      <c r="M118" s="117" t="s">
        <v>71</v>
      </c>
      <c r="N118" s="116" t="s">
        <v>272</v>
      </c>
    </row>
    <row r="119" spans="1:15" x14ac:dyDescent="0.25">
      <c r="B119" s="118" t="s">
        <v>73</v>
      </c>
      <c r="C119" s="119">
        <v>1433</v>
      </c>
      <c r="D119" s="120">
        <v>5.4451802796173565E-2</v>
      </c>
      <c r="E119" s="119">
        <v>40</v>
      </c>
      <c r="F119" s="120">
        <f t="shared" ref="F119:L131" si="14">IFERROR(E119/C119-1,"-")</f>
        <v>-0.97208653175157012</v>
      </c>
      <c r="G119" s="119">
        <v>1082</v>
      </c>
      <c r="H119" s="120">
        <f t="shared" si="14"/>
        <v>26.05</v>
      </c>
      <c r="I119" s="119">
        <v>1714</v>
      </c>
      <c r="J119" s="120">
        <f t="shared" si="14"/>
        <v>0.5841035120147875</v>
      </c>
      <c r="K119" s="119">
        <v>1480</v>
      </c>
      <c r="L119" s="120">
        <f t="shared" si="14"/>
        <v>-0.13652275379229872</v>
      </c>
      <c r="M119" s="119">
        <v>1352</v>
      </c>
      <c r="N119" s="120">
        <f t="shared" ref="N119:N124" si="15">IFERROR(M119/K119-1,"-")</f>
        <v>-8.6486486486486491E-2</v>
      </c>
    </row>
    <row r="120" spans="1:15" x14ac:dyDescent="0.25">
      <c r="B120" s="118" t="s">
        <v>75</v>
      </c>
      <c r="C120" s="119">
        <v>2393</v>
      </c>
      <c r="D120" s="120">
        <v>0.48357098574085544</v>
      </c>
      <c r="E120" s="119">
        <v>45</v>
      </c>
      <c r="F120" s="120">
        <f t="shared" si="14"/>
        <v>-0.98119515252820722</v>
      </c>
      <c r="G120" s="119">
        <v>1253</v>
      </c>
      <c r="H120" s="120">
        <f t="shared" si="14"/>
        <v>26.844444444444445</v>
      </c>
      <c r="I120" s="119">
        <v>1744</v>
      </c>
      <c r="J120" s="120">
        <f t="shared" si="14"/>
        <v>0.39185953711093369</v>
      </c>
      <c r="K120" s="119">
        <v>2068</v>
      </c>
      <c r="L120" s="120">
        <f t="shared" si="14"/>
        <v>0.18577981651376141</v>
      </c>
      <c r="M120" s="119">
        <v>1741</v>
      </c>
      <c r="N120" s="120">
        <f t="shared" si="15"/>
        <v>-0.15812379110251451</v>
      </c>
    </row>
    <row r="121" spans="1:15" x14ac:dyDescent="0.25">
      <c r="B121" s="118" t="s">
        <v>77</v>
      </c>
      <c r="C121" s="119">
        <v>615</v>
      </c>
      <c r="D121" s="120">
        <v>-0.45138269402319353</v>
      </c>
      <c r="E121" s="119">
        <v>44</v>
      </c>
      <c r="F121" s="120">
        <f t="shared" si="14"/>
        <v>-0.92845528455284554</v>
      </c>
      <c r="G121" s="119">
        <v>1088</v>
      </c>
      <c r="H121" s="120">
        <f t="shared" si="14"/>
        <v>23.727272727272727</v>
      </c>
      <c r="I121" s="119">
        <v>1558</v>
      </c>
      <c r="J121" s="120">
        <f t="shared" si="14"/>
        <v>0.43198529411764697</v>
      </c>
      <c r="K121" s="119">
        <v>1890</v>
      </c>
      <c r="L121" s="120">
        <f t="shared" si="14"/>
        <v>0.21309370988446719</v>
      </c>
      <c r="M121" s="119">
        <v>1246</v>
      </c>
      <c r="N121" s="120">
        <f t="shared" si="15"/>
        <v>-0.34074074074074079</v>
      </c>
    </row>
    <row r="122" spans="1:15" x14ac:dyDescent="0.25">
      <c r="B122" s="118" t="s">
        <v>79</v>
      </c>
      <c r="C122" s="119">
        <v>0</v>
      </c>
      <c r="D122" s="120">
        <v>-1</v>
      </c>
      <c r="E122" s="119">
        <v>55</v>
      </c>
      <c r="F122" s="120" t="str">
        <f t="shared" si="14"/>
        <v>-</v>
      </c>
      <c r="G122" s="119">
        <v>541</v>
      </c>
      <c r="H122" s="120">
        <f t="shared" si="14"/>
        <v>8.836363636363636</v>
      </c>
      <c r="I122" s="119">
        <v>682</v>
      </c>
      <c r="J122" s="120">
        <f t="shared" si="14"/>
        <v>0.26062846580406651</v>
      </c>
      <c r="K122" s="119">
        <v>1379</v>
      </c>
      <c r="L122" s="120">
        <f t="shared" si="14"/>
        <v>1.0219941348973607</v>
      </c>
      <c r="M122" s="119">
        <v>652</v>
      </c>
      <c r="N122" s="120">
        <f t="shared" si="15"/>
        <v>-0.52719361856417701</v>
      </c>
    </row>
    <row r="123" spans="1:15" x14ac:dyDescent="0.25">
      <c r="B123" s="118" t="s">
        <v>81</v>
      </c>
      <c r="C123" s="119">
        <v>0</v>
      </c>
      <c r="D123" s="120">
        <v>-1</v>
      </c>
      <c r="E123" s="119">
        <v>44</v>
      </c>
      <c r="F123" s="120" t="str">
        <f t="shared" si="14"/>
        <v>-</v>
      </c>
      <c r="G123" s="119">
        <v>524</v>
      </c>
      <c r="H123" s="120">
        <f t="shared" si="14"/>
        <v>10.909090909090908</v>
      </c>
      <c r="I123" s="119">
        <v>550</v>
      </c>
      <c r="J123" s="120">
        <f t="shared" si="14"/>
        <v>4.961832061068705E-2</v>
      </c>
      <c r="K123" s="119">
        <v>732</v>
      </c>
      <c r="L123" s="120">
        <f t="shared" si="14"/>
        <v>0.33090909090909082</v>
      </c>
      <c r="M123" s="119">
        <v>482</v>
      </c>
      <c r="N123" s="120">
        <f t="shared" si="15"/>
        <v>-0.34153005464480879</v>
      </c>
    </row>
    <row r="124" spans="1:15" x14ac:dyDescent="0.25">
      <c r="B124" s="118" t="s">
        <v>83</v>
      </c>
      <c r="C124" s="119">
        <v>0</v>
      </c>
      <c r="D124" s="120">
        <v>-1</v>
      </c>
      <c r="E124" s="119">
        <v>121</v>
      </c>
      <c r="F124" s="120" t="str">
        <f t="shared" si="14"/>
        <v>-</v>
      </c>
      <c r="G124" s="119">
        <v>530</v>
      </c>
      <c r="H124" s="120">
        <f t="shared" si="14"/>
        <v>3.3801652892561984</v>
      </c>
      <c r="I124" s="119">
        <v>510</v>
      </c>
      <c r="J124" s="120">
        <f t="shared" si="14"/>
        <v>-3.7735849056603765E-2</v>
      </c>
      <c r="K124" s="119">
        <v>471</v>
      </c>
      <c r="L124" s="120">
        <f t="shared" si="14"/>
        <v>-7.6470588235294068E-2</v>
      </c>
      <c r="M124" s="119">
        <v>452</v>
      </c>
      <c r="N124" s="120">
        <f t="shared" si="15"/>
        <v>-4.0339702760084917E-2</v>
      </c>
    </row>
    <row r="125" spans="1:15" x14ac:dyDescent="0.25">
      <c r="B125" s="118" t="s">
        <v>85</v>
      </c>
      <c r="C125" s="119">
        <v>0</v>
      </c>
      <c r="D125" s="120">
        <v>-1</v>
      </c>
      <c r="E125" s="119">
        <v>184</v>
      </c>
      <c r="F125" s="120" t="str">
        <f t="shared" si="14"/>
        <v>-</v>
      </c>
      <c r="G125" s="119">
        <v>456</v>
      </c>
      <c r="H125" s="120">
        <f t="shared" si="14"/>
        <v>1.4782608695652173</v>
      </c>
      <c r="I125" s="119">
        <v>444</v>
      </c>
      <c r="J125" s="120">
        <f t="shared" si="14"/>
        <v>-2.6315789473684181E-2</v>
      </c>
      <c r="K125" s="119">
        <v>401</v>
      </c>
      <c r="L125" s="120">
        <f t="shared" si="14"/>
        <v>-9.6846846846846857E-2</v>
      </c>
      <c r="M125" s="119"/>
      <c r="N125" s="120"/>
    </row>
    <row r="126" spans="1:15" x14ac:dyDescent="0.25">
      <c r="B126" s="118" t="s">
        <v>87</v>
      </c>
      <c r="C126" s="119">
        <v>66</v>
      </c>
      <c r="D126" s="120">
        <v>-0.70403587443946192</v>
      </c>
      <c r="E126" s="119">
        <v>415</v>
      </c>
      <c r="F126" s="120">
        <f t="shared" si="14"/>
        <v>5.2878787878787881</v>
      </c>
      <c r="G126" s="119">
        <v>482</v>
      </c>
      <c r="H126" s="120">
        <f t="shared" si="14"/>
        <v>0.16144578313253022</v>
      </c>
      <c r="I126" s="119">
        <v>571</v>
      </c>
      <c r="J126" s="120">
        <f t="shared" si="14"/>
        <v>0.18464730290456433</v>
      </c>
      <c r="K126" s="119">
        <v>572</v>
      </c>
      <c r="L126" s="120">
        <f t="shared" si="14"/>
        <v>1.7513134851139256E-3</v>
      </c>
      <c r="M126" s="119"/>
      <c r="N126" s="120"/>
    </row>
    <row r="127" spans="1:15" x14ac:dyDescent="0.25">
      <c r="B127" s="118" t="s">
        <v>89</v>
      </c>
      <c r="C127" s="119">
        <v>42</v>
      </c>
      <c r="D127" s="120">
        <v>-0.88617886178861793</v>
      </c>
      <c r="E127" s="119">
        <v>273</v>
      </c>
      <c r="F127" s="120">
        <f t="shared" si="14"/>
        <v>5.5</v>
      </c>
      <c r="G127" s="119">
        <v>722</v>
      </c>
      <c r="H127" s="120">
        <f t="shared" si="14"/>
        <v>1.6446886446886446</v>
      </c>
      <c r="I127" s="119">
        <v>664</v>
      </c>
      <c r="J127" s="120">
        <f t="shared" si="14"/>
        <v>-8.0332409972299179E-2</v>
      </c>
      <c r="K127" s="119">
        <v>519</v>
      </c>
      <c r="L127" s="120">
        <f t="shared" si="14"/>
        <v>-0.21837349397590367</v>
      </c>
      <c r="M127" s="119"/>
      <c r="N127" s="120"/>
    </row>
    <row r="128" spans="1:15" x14ac:dyDescent="0.25">
      <c r="A128" s="124"/>
      <c r="B128" s="118" t="s">
        <v>91</v>
      </c>
      <c r="C128" s="119">
        <v>90</v>
      </c>
      <c r="D128" s="120">
        <v>-0.71153846153846156</v>
      </c>
      <c r="E128" s="119">
        <v>757</v>
      </c>
      <c r="F128" s="120">
        <f t="shared" si="14"/>
        <v>7.4111111111111114</v>
      </c>
      <c r="G128" s="119">
        <v>676</v>
      </c>
      <c r="H128" s="120">
        <f t="shared" si="14"/>
        <v>-0.10700132100396298</v>
      </c>
      <c r="I128" s="119">
        <v>658</v>
      </c>
      <c r="J128" s="120">
        <f t="shared" si="14"/>
        <v>-2.6627218934911268E-2</v>
      </c>
      <c r="K128" s="119">
        <v>850</v>
      </c>
      <c r="L128" s="120">
        <f t="shared" si="14"/>
        <v>0.29179331306990886</v>
      </c>
      <c r="M128" s="119"/>
      <c r="N128" s="120"/>
    </row>
    <row r="129" spans="2:15" x14ac:dyDescent="0.25">
      <c r="B129" s="118" t="s">
        <v>93</v>
      </c>
      <c r="C129" s="119">
        <v>206</v>
      </c>
      <c r="D129" s="120">
        <v>-0.73071895424836608</v>
      </c>
      <c r="E129" s="119">
        <v>836</v>
      </c>
      <c r="F129" s="120">
        <f t="shared" si="14"/>
        <v>3.058252427184466</v>
      </c>
      <c r="G129" s="119">
        <v>947</v>
      </c>
      <c r="H129" s="120">
        <f t="shared" si="14"/>
        <v>0.13277511961722488</v>
      </c>
      <c r="I129" s="119">
        <v>849</v>
      </c>
      <c r="J129" s="120">
        <f t="shared" si="14"/>
        <v>-0.10348468848996828</v>
      </c>
      <c r="K129" s="119">
        <v>1075</v>
      </c>
      <c r="L129" s="120">
        <f t="shared" si="14"/>
        <v>0.26619552414605407</v>
      </c>
      <c r="M129" s="119"/>
      <c r="N129" s="120"/>
    </row>
    <row r="130" spans="2:15" x14ac:dyDescent="0.25">
      <c r="B130" s="118" t="s">
        <v>95</v>
      </c>
      <c r="C130" s="119">
        <v>136</v>
      </c>
      <c r="D130" s="120">
        <v>-0.82268578878748366</v>
      </c>
      <c r="E130" s="119">
        <v>680</v>
      </c>
      <c r="F130" s="120">
        <f t="shared" si="14"/>
        <v>4</v>
      </c>
      <c r="G130" s="119">
        <v>948</v>
      </c>
      <c r="H130" s="120">
        <f t="shared" si="14"/>
        <v>0.39411764705882346</v>
      </c>
      <c r="I130" s="119">
        <v>1233</v>
      </c>
      <c r="J130" s="120">
        <f t="shared" si="14"/>
        <v>0.30063291139240511</v>
      </c>
      <c r="K130" s="119">
        <v>859</v>
      </c>
      <c r="L130" s="120">
        <f t="shared" si="14"/>
        <v>-0.30332522303325227</v>
      </c>
      <c r="M130" s="119"/>
      <c r="N130" s="120"/>
    </row>
    <row r="131" spans="2:15" ht="15.75" x14ac:dyDescent="0.25">
      <c r="B131" s="121" t="s">
        <v>32</v>
      </c>
      <c r="C131" s="122">
        <v>5019</v>
      </c>
      <c r="D131" s="123">
        <v>-0.37899034892353378</v>
      </c>
      <c r="E131" s="122">
        <v>3494</v>
      </c>
      <c r="F131" s="123">
        <f t="shared" si="14"/>
        <v>-0.30384538752739587</v>
      </c>
      <c r="G131" s="122">
        <v>9249</v>
      </c>
      <c r="H131" s="123">
        <f t="shared" si="14"/>
        <v>1.6471093302804807</v>
      </c>
      <c r="I131" s="122">
        <v>11177</v>
      </c>
      <c r="J131" s="123">
        <f t="shared" si="14"/>
        <v>0.20845496810465991</v>
      </c>
      <c r="K131" s="122">
        <v>12296</v>
      </c>
      <c r="L131" s="123">
        <f t="shared" si="14"/>
        <v>0.10011631028003931</v>
      </c>
      <c r="M131" s="122">
        <v>5925</v>
      </c>
      <c r="N131" s="123">
        <v>-0.26122194513715713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C134" s="124"/>
      <c r="K134" s="124"/>
      <c r="N134" s="81"/>
    </row>
    <row r="136" spans="2:15" ht="48.75" customHeight="1" thickBot="1" x14ac:dyDescent="0.3">
      <c r="B136" s="278" t="s">
        <v>277</v>
      </c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3" t="s">
        <v>115</v>
      </c>
      <c r="D138" s="304"/>
      <c r="E138" s="304"/>
      <c r="F138" s="304"/>
      <c r="G138" s="304"/>
      <c r="H138" s="304"/>
      <c r="I138" s="304"/>
      <c r="J138" s="304"/>
      <c r="K138" s="304"/>
      <c r="L138" s="304"/>
      <c r="M138" s="304"/>
      <c r="N138" s="304"/>
    </row>
    <row r="139" spans="2:15" ht="22.5" thickTop="1" thickBot="1" x14ac:dyDescent="0.3">
      <c r="B139" s="111"/>
      <c r="C139" s="305">
        <f>$C$7</f>
        <v>2020</v>
      </c>
      <c r="D139" s="306"/>
      <c r="E139" s="307">
        <f>$E$7</f>
        <v>2021</v>
      </c>
      <c r="F139" s="306"/>
      <c r="G139" s="307">
        <f>$G$7</f>
        <v>2022</v>
      </c>
      <c r="H139" s="306"/>
      <c r="I139" s="307">
        <f>$I$7</f>
        <v>2023</v>
      </c>
      <c r="J139" s="306"/>
      <c r="K139" s="307">
        <f>$K$7</f>
        <v>2024</v>
      </c>
      <c r="L139" s="306"/>
      <c r="M139" s="307">
        <f>$M$7</f>
        <v>2025</v>
      </c>
      <c r="N139" s="308"/>
    </row>
    <row r="140" spans="2:15" ht="16.5" thickTop="1" thickBot="1" x14ac:dyDescent="0.3">
      <c r="B140" s="87"/>
      <c r="C140" s="115" t="s">
        <v>71</v>
      </c>
      <c r="D140" s="116" t="str">
        <f>CONCATENATE("var. ",RIGHT(C139,2),"/",RIGHT(C139-1,2))</f>
        <v>var. 20/19</v>
      </c>
      <c r="E140" s="117" t="s">
        <v>71</v>
      </c>
      <c r="F140" s="116" t="s">
        <v>248</v>
      </c>
      <c r="G140" s="117" t="s">
        <v>71</v>
      </c>
      <c r="H140" s="116" t="s">
        <v>248</v>
      </c>
      <c r="I140" s="117" t="s">
        <v>71</v>
      </c>
      <c r="J140" s="116" t="s">
        <v>248</v>
      </c>
      <c r="K140" s="117" t="s">
        <v>71</v>
      </c>
      <c r="L140" s="116" t="s">
        <v>248</v>
      </c>
      <c r="M140" s="117" t="s">
        <v>71</v>
      </c>
      <c r="N140" s="116" t="s">
        <v>272</v>
      </c>
    </row>
    <row r="141" spans="2:15" x14ac:dyDescent="0.25">
      <c r="B141" s="118" t="s">
        <v>73</v>
      </c>
      <c r="C141" s="119">
        <v>2551</v>
      </c>
      <c r="D141" s="120">
        <v>2.9459241323648078E-2</v>
      </c>
      <c r="E141" s="119">
        <v>513</v>
      </c>
      <c r="F141" s="120">
        <f t="shared" ref="F141:L153" si="16">IFERROR(E141/C141-1,"-")</f>
        <v>-0.79890239121912976</v>
      </c>
      <c r="G141" s="119">
        <v>1768</v>
      </c>
      <c r="H141" s="120">
        <f t="shared" si="16"/>
        <v>2.4463937621832357</v>
      </c>
      <c r="I141" s="119">
        <v>2687</v>
      </c>
      <c r="J141" s="120">
        <f t="shared" si="16"/>
        <v>0.51979638009049767</v>
      </c>
      <c r="K141" s="119">
        <v>3551</v>
      </c>
      <c r="L141" s="120">
        <f t="shared" si="16"/>
        <v>0.32154819501302567</v>
      </c>
      <c r="M141" s="119">
        <v>2661</v>
      </c>
      <c r="N141" s="120">
        <f t="shared" ref="N141:N146" si="17">IFERROR(M141/K141-1,"-")</f>
        <v>-0.25063362433117431</v>
      </c>
    </row>
    <row r="142" spans="2:15" x14ac:dyDescent="0.25">
      <c r="B142" s="118" t="s">
        <v>75</v>
      </c>
      <c r="C142" s="119">
        <v>2540</v>
      </c>
      <c r="D142" s="120">
        <v>-0.11374738311235166</v>
      </c>
      <c r="E142" s="119">
        <v>554</v>
      </c>
      <c r="F142" s="120">
        <f t="shared" si="16"/>
        <v>-0.78188976377952757</v>
      </c>
      <c r="G142" s="119">
        <v>2351</v>
      </c>
      <c r="H142" s="120">
        <f t="shared" si="16"/>
        <v>3.243682310469314</v>
      </c>
      <c r="I142" s="119">
        <v>2836</v>
      </c>
      <c r="J142" s="120">
        <f t="shared" si="16"/>
        <v>0.20629519353466619</v>
      </c>
      <c r="K142" s="119">
        <v>3116</v>
      </c>
      <c r="L142" s="120">
        <f t="shared" si="16"/>
        <v>9.8730606488011352E-2</v>
      </c>
      <c r="M142" s="119">
        <v>3261</v>
      </c>
      <c r="N142" s="120">
        <f t="shared" si="17"/>
        <v>4.6534017971758601E-2</v>
      </c>
    </row>
    <row r="143" spans="2:15" x14ac:dyDescent="0.25">
      <c r="B143" s="118" t="s">
        <v>77</v>
      </c>
      <c r="C143" s="119">
        <v>1376</v>
      </c>
      <c r="D143" s="120">
        <v>-0.55826645264847508</v>
      </c>
      <c r="E143" s="119">
        <v>832</v>
      </c>
      <c r="F143" s="120">
        <f t="shared" si="16"/>
        <v>-0.39534883720930236</v>
      </c>
      <c r="G143" s="119">
        <v>2524</v>
      </c>
      <c r="H143" s="120">
        <f t="shared" si="16"/>
        <v>2.0336538461538463</v>
      </c>
      <c r="I143" s="119">
        <v>2988</v>
      </c>
      <c r="J143" s="120">
        <f t="shared" si="16"/>
        <v>0.1838351822503963</v>
      </c>
      <c r="K143" s="119">
        <v>3366</v>
      </c>
      <c r="L143" s="120">
        <f t="shared" si="16"/>
        <v>0.12650602409638556</v>
      </c>
      <c r="M143" s="119">
        <v>3312</v>
      </c>
      <c r="N143" s="120">
        <f t="shared" si="17"/>
        <v>-1.6042780748663055E-2</v>
      </c>
    </row>
    <row r="144" spans="2:15" x14ac:dyDescent="0.25">
      <c r="B144" s="118" t="s">
        <v>79</v>
      </c>
      <c r="C144" s="119">
        <v>0</v>
      </c>
      <c r="D144" s="120">
        <v>-1</v>
      </c>
      <c r="E144" s="119">
        <v>529</v>
      </c>
      <c r="F144" s="120" t="str">
        <f t="shared" si="16"/>
        <v>-</v>
      </c>
      <c r="G144" s="119">
        <v>2322</v>
      </c>
      <c r="H144" s="120">
        <f t="shared" si="16"/>
        <v>3.3894139886578447</v>
      </c>
      <c r="I144" s="119">
        <v>2380</v>
      </c>
      <c r="J144" s="120">
        <f t="shared" si="16"/>
        <v>2.4978466838931901E-2</v>
      </c>
      <c r="K144" s="119">
        <v>2313</v>
      </c>
      <c r="L144" s="120">
        <f t="shared" si="16"/>
        <v>-2.8151260504201692E-2</v>
      </c>
      <c r="M144" s="119">
        <v>1873</v>
      </c>
      <c r="N144" s="120">
        <f t="shared" si="17"/>
        <v>-0.19022913964548205</v>
      </c>
    </row>
    <row r="145" spans="1:15" x14ac:dyDescent="0.25">
      <c r="B145" s="118" t="s">
        <v>81</v>
      </c>
      <c r="C145" s="119">
        <v>0</v>
      </c>
      <c r="D145" s="120">
        <v>-1</v>
      </c>
      <c r="E145" s="119">
        <v>579</v>
      </c>
      <c r="F145" s="120" t="str">
        <f t="shared" si="16"/>
        <v>-</v>
      </c>
      <c r="G145" s="119">
        <v>1417</v>
      </c>
      <c r="H145" s="120">
        <f t="shared" si="16"/>
        <v>1.4473229706390329</v>
      </c>
      <c r="I145" s="119">
        <v>1273</v>
      </c>
      <c r="J145" s="120">
        <f t="shared" si="16"/>
        <v>-0.10162314749470713</v>
      </c>
      <c r="K145" s="119">
        <v>1592</v>
      </c>
      <c r="L145" s="120">
        <f t="shared" si="16"/>
        <v>0.25058915946582871</v>
      </c>
      <c r="M145" s="119">
        <v>1415</v>
      </c>
      <c r="N145" s="120">
        <f t="shared" si="17"/>
        <v>-0.11118090452261309</v>
      </c>
    </row>
    <row r="146" spans="1:15" x14ac:dyDescent="0.25">
      <c r="B146" s="118" t="s">
        <v>83</v>
      </c>
      <c r="C146" s="119">
        <v>0</v>
      </c>
      <c r="D146" s="120">
        <v>-1</v>
      </c>
      <c r="E146" s="119">
        <v>885</v>
      </c>
      <c r="F146" s="120" t="str">
        <f t="shared" si="16"/>
        <v>-</v>
      </c>
      <c r="G146" s="119">
        <v>894</v>
      </c>
      <c r="H146" s="120">
        <f t="shared" si="16"/>
        <v>1.0169491525423791E-2</v>
      </c>
      <c r="I146" s="119">
        <v>831</v>
      </c>
      <c r="J146" s="120">
        <f t="shared" si="16"/>
        <v>-7.0469798657718075E-2</v>
      </c>
      <c r="K146" s="119">
        <v>1011</v>
      </c>
      <c r="L146" s="120">
        <f t="shared" si="16"/>
        <v>0.21660649819494582</v>
      </c>
      <c r="M146" s="119">
        <v>965</v>
      </c>
      <c r="N146" s="120">
        <f t="shared" si="17"/>
        <v>-4.5499505440158239E-2</v>
      </c>
    </row>
    <row r="147" spans="1:15" x14ac:dyDescent="0.25">
      <c r="B147" s="118" t="s">
        <v>85</v>
      </c>
      <c r="C147" s="119">
        <v>0</v>
      </c>
      <c r="D147" s="120">
        <v>-1</v>
      </c>
      <c r="E147" s="119">
        <v>856</v>
      </c>
      <c r="F147" s="120" t="str">
        <f t="shared" si="16"/>
        <v>-</v>
      </c>
      <c r="G147" s="119">
        <v>945</v>
      </c>
      <c r="H147" s="120">
        <f t="shared" si="16"/>
        <v>0.10397196261682251</v>
      </c>
      <c r="I147" s="119">
        <v>427</v>
      </c>
      <c r="J147" s="120">
        <f t="shared" si="16"/>
        <v>-0.54814814814814816</v>
      </c>
      <c r="K147" s="119">
        <v>454</v>
      </c>
      <c r="L147" s="120">
        <f t="shared" si="16"/>
        <v>6.3231850117096089E-2</v>
      </c>
      <c r="M147" s="119"/>
      <c r="N147" s="120"/>
    </row>
    <row r="148" spans="1:15" x14ac:dyDescent="0.25">
      <c r="B148" s="118" t="s">
        <v>87</v>
      </c>
      <c r="C148" s="119">
        <v>307</v>
      </c>
      <c r="D148" s="120">
        <v>-0.44080145719489983</v>
      </c>
      <c r="E148" s="119">
        <v>1325</v>
      </c>
      <c r="F148" s="120">
        <f t="shared" si="16"/>
        <v>3.315960912052117</v>
      </c>
      <c r="G148" s="119">
        <v>1073</v>
      </c>
      <c r="H148" s="120">
        <f t="shared" si="16"/>
        <v>-0.19018867924528304</v>
      </c>
      <c r="I148" s="119">
        <v>1227</v>
      </c>
      <c r="J148" s="120">
        <f t="shared" si="16"/>
        <v>0.14352283317800563</v>
      </c>
      <c r="K148" s="119">
        <v>1129</v>
      </c>
      <c r="L148" s="120">
        <f t="shared" si="16"/>
        <v>-7.9869600651996775E-2</v>
      </c>
      <c r="M148" s="119"/>
      <c r="N148" s="120"/>
    </row>
    <row r="149" spans="1:15" x14ac:dyDescent="0.25">
      <c r="B149" s="118" t="s">
        <v>89</v>
      </c>
      <c r="C149" s="119">
        <v>72</v>
      </c>
      <c r="D149" s="120">
        <v>-0.8783783783783784</v>
      </c>
      <c r="E149" s="119">
        <v>1236</v>
      </c>
      <c r="F149" s="120">
        <f t="shared" si="16"/>
        <v>16.166666666666668</v>
      </c>
      <c r="G149" s="119">
        <v>1386</v>
      </c>
      <c r="H149" s="120">
        <f t="shared" si="16"/>
        <v>0.12135922330097082</v>
      </c>
      <c r="I149" s="119">
        <v>1288</v>
      </c>
      <c r="J149" s="120">
        <f t="shared" si="16"/>
        <v>-7.0707070707070718E-2</v>
      </c>
      <c r="K149" s="119">
        <v>1311</v>
      </c>
      <c r="L149" s="120">
        <f t="shared" si="16"/>
        <v>1.7857142857142794E-2</v>
      </c>
      <c r="M149" s="119"/>
      <c r="N149" s="120"/>
    </row>
    <row r="150" spans="1:15" x14ac:dyDescent="0.25">
      <c r="A150" s="124"/>
      <c r="B150" s="118" t="s">
        <v>91</v>
      </c>
      <c r="C150" s="119">
        <v>122</v>
      </c>
      <c r="D150" s="120">
        <v>-0.92742415229030339</v>
      </c>
      <c r="E150" s="119">
        <v>3442</v>
      </c>
      <c r="F150" s="120">
        <f t="shared" si="16"/>
        <v>27.21311475409836</v>
      </c>
      <c r="G150" s="119">
        <v>2114</v>
      </c>
      <c r="H150" s="120">
        <f t="shared" si="16"/>
        <v>-0.38582219639744331</v>
      </c>
      <c r="I150" s="119">
        <v>1758</v>
      </c>
      <c r="J150" s="120">
        <f t="shared" si="16"/>
        <v>-0.16840113528855249</v>
      </c>
      <c r="K150" s="119">
        <v>1824</v>
      </c>
      <c r="L150" s="120">
        <f t="shared" si="16"/>
        <v>3.7542662116040848E-2</v>
      </c>
      <c r="M150" s="119"/>
      <c r="N150" s="120"/>
    </row>
    <row r="151" spans="1:15" x14ac:dyDescent="0.25">
      <c r="B151" s="118" t="s">
        <v>93</v>
      </c>
      <c r="C151" s="119">
        <v>210</v>
      </c>
      <c r="D151" s="120">
        <v>-0.93445692883895126</v>
      </c>
      <c r="E151" s="119">
        <v>2718</v>
      </c>
      <c r="F151" s="120">
        <f t="shared" si="16"/>
        <v>11.942857142857143</v>
      </c>
      <c r="G151" s="119">
        <v>2423</v>
      </c>
      <c r="H151" s="120">
        <f t="shared" si="16"/>
        <v>-0.10853568800588664</v>
      </c>
      <c r="I151" s="119">
        <v>2908</v>
      </c>
      <c r="J151" s="120">
        <f t="shared" si="16"/>
        <v>0.20016508460586047</v>
      </c>
      <c r="K151" s="119">
        <v>2912</v>
      </c>
      <c r="L151" s="120">
        <f t="shared" si="16"/>
        <v>1.3755158184318717E-3</v>
      </c>
      <c r="M151" s="119"/>
      <c r="N151" s="120"/>
    </row>
    <row r="152" spans="1:15" x14ac:dyDescent="0.25">
      <c r="B152" s="118" t="s">
        <v>95</v>
      </c>
      <c r="C152" s="119">
        <v>199</v>
      </c>
      <c r="D152" s="120">
        <v>-0.91182986264953481</v>
      </c>
      <c r="E152" s="119">
        <v>1924</v>
      </c>
      <c r="F152" s="120">
        <f t="shared" si="16"/>
        <v>8.6683417085427141</v>
      </c>
      <c r="G152" s="119">
        <v>1833</v>
      </c>
      <c r="H152" s="120">
        <f t="shared" si="16"/>
        <v>-4.7297297297297258E-2</v>
      </c>
      <c r="I152" s="119">
        <v>2036</v>
      </c>
      <c r="J152" s="120">
        <f t="shared" si="16"/>
        <v>0.11074740861974908</v>
      </c>
      <c r="K152" s="119">
        <v>2476</v>
      </c>
      <c r="L152" s="120">
        <f t="shared" si="16"/>
        <v>0.21611001964636545</v>
      </c>
      <c r="M152" s="119"/>
      <c r="N152" s="120"/>
    </row>
    <row r="153" spans="1:15" ht="15.75" x14ac:dyDescent="0.25">
      <c r="B153" s="121" t="s">
        <v>32</v>
      </c>
      <c r="C153" s="122">
        <v>7473</v>
      </c>
      <c r="D153" s="123">
        <v>-0.65023869699522607</v>
      </c>
      <c r="E153" s="122">
        <v>15393</v>
      </c>
      <c r="F153" s="123">
        <f t="shared" si="16"/>
        <v>1.0598153352067441</v>
      </c>
      <c r="G153" s="122">
        <v>21050</v>
      </c>
      <c r="H153" s="123">
        <f t="shared" si="16"/>
        <v>0.36750470993308637</v>
      </c>
      <c r="I153" s="122">
        <v>22639</v>
      </c>
      <c r="J153" s="123">
        <f t="shared" si="16"/>
        <v>7.5486935866983407E-2</v>
      </c>
      <c r="K153" s="122">
        <v>25055</v>
      </c>
      <c r="L153" s="123">
        <f t="shared" si="16"/>
        <v>0.10671849463315519</v>
      </c>
      <c r="M153" s="122">
        <v>13487</v>
      </c>
      <c r="N153" s="123">
        <v>-9.7799183891899122E-2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C156" s="124"/>
      <c r="K156" s="124"/>
      <c r="N156" s="81"/>
    </row>
    <row r="158" spans="1:15" ht="48.75" customHeight="1" thickBot="1" x14ac:dyDescent="0.3">
      <c r="B158" s="278" t="s">
        <v>278</v>
      </c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3" t="s">
        <v>118</v>
      </c>
      <c r="D160" s="304"/>
      <c r="E160" s="304"/>
      <c r="F160" s="304"/>
      <c r="G160" s="304"/>
      <c r="H160" s="304"/>
      <c r="I160" s="304"/>
      <c r="J160" s="304"/>
      <c r="K160" s="304"/>
      <c r="L160" s="304"/>
      <c r="M160" s="304"/>
      <c r="N160" s="304"/>
    </row>
    <row r="161" spans="2:14" ht="22.5" thickTop="1" thickBot="1" x14ac:dyDescent="0.3">
      <c r="B161" s="111"/>
      <c r="C161" s="305">
        <f>$C$7</f>
        <v>2020</v>
      </c>
      <c r="D161" s="306"/>
      <c r="E161" s="307">
        <f>$E$7</f>
        <v>2021</v>
      </c>
      <c r="F161" s="306"/>
      <c r="G161" s="307">
        <f>$G$7</f>
        <v>2022</v>
      </c>
      <c r="H161" s="306"/>
      <c r="I161" s="307">
        <f>$I$7</f>
        <v>2023</v>
      </c>
      <c r="J161" s="306"/>
      <c r="K161" s="307">
        <f>$K$7</f>
        <v>2024</v>
      </c>
      <c r="L161" s="306"/>
      <c r="M161" s="307">
        <f>$M$7</f>
        <v>2025</v>
      </c>
      <c r="N161" s="308"/>
    </row>
    <row r="162" spans="2:14" ht="16.5" thickTop="1" thickBot="1" x14ac:dyDescent="0.3">
      <c r="B162" s="87"/>
      <c r="C162" s="115" t="s">
        <v>71</v>
      </c>
      <c r="D162" s="116" t="str">
        <f>CONCATENATE("var. ",RIGHT(C161,2),"/",RIGHT(C161-1,2))</f>
        <v>var. 20/19</v>
      </c>
      <c r="E162" s="117" t="s">
        <v>71</v>
      </c>
      <c r="F162" s="116" t="s">
        <v>248</v>
      </c>
      <c r="G162" s="117" t="s">
        <v>71</v>
      </c>
      <c r="H162" s="116" t="s">
        <v>248</v>
      </c>
      <c r="I162" s="117" t="s">
        <v>71</v>
      </c>
      <c r="J162" s="116" t="s">
        <v>248</v>
      </c>
      <c r="K162" s="117" t="s">
        <v>71</v>
      </c>
      <c r="L162" s="116" t="s">
        <v>248</v>
      </c>
      <c r="M162" s="117" t="s">
        <v>71</v>
      </c>
      <c r="N162" s="116" t="s">
        <v>272</v>
      </c>
    </row>
    <row r="163" spans="2:14" x14ac:dyDescent="0.25">
      <c r="B163" s="118" t="s">
        <v>73</v>
      </c>
      <c r="C163" s="119">
        <v>944</v>
      </c>
      <c r="D163" s="120">
        <v>0.31111111111111112</v>
      </c>
      <c r="E163" s="119">
        <v>372</v>
      </c>
      <c r="F163" s="120">
        <f t="shared" ref="F163:L175" si="18">IFERROR(E163/C163-1,"-")</f>
        <v>-0.60593220338983045</v>
      </c>
      <c r="G163" s="119">
        <v>771</v>
      </c>
      <c r="H163" s="120">
        <f t="shared" si="18"/>
        <v>1.0725806451612905</v>
      </c>
      <c r="I163" s="119">
        <v>1006</v>
      </c>
      <c r="J163" s="120">
        <f t="shared" si="18"/>
        <v>0.30479896238651105</v>
      </c>
      <c r="K163" s="119">
        <v>991</v>
      </c>
      <c r="L163" s="120">
        <f t="shared" si="18"/>
        <v>-1.491053677932408E-2</v>
      </c>
      <c r="M163" s="119">
        <v>1041</v>
      </c>
      <c r="N163" s="120">
        <f t="shared" ref="N163:N168" si="19">IFERROR(M163/K163-1,"-")</f>
        <v>5.045408678102925E-2</v>
      </c>
    </row>
    <row r="164" spans="2:14" x14ac:dyDescent="0.25">
      <c r="B164" s="118" t="s">
        <v>75</v>
      </c>
      <c r="C164" s="119">
        <v>1207</v>
      </c>
      <c r="D164" s="120">
        <v>0.27320675105485237</v>
      </c>
      <c r="E164" s="119">
        <v>546</v>
      </c>
      <c r="F164" s="120">
        <f t="shared" si="18"/>
        <v>-0.54763877381938686</v>
      </c>
      <c r="G164" s="119">
        <v>863</v>
      </c>
      <c r="H164" s="120">
        <f t="shared" si="18"/>
        <v>0.58058608058608052</v>
      </c>
      <c r="I164" s="119">
        <v>1019</v>
      </c>
      <c r="J164" s="120">
        <f t="shared" si="18"/>
        <v>0.18076477404403235</v>
      </c>
      <c r="K164" s="119">
        <v>1220</v>
      </c>
      <c r="L164" s="120">
        <f t="shared" si="18"/>
        <v>0.19725220804710508</v>
      </c>
      <c r="M164" s="119">
        <v>1002</v>
      </c>
      <c r="N164" s="120">
        <f t="shared" si="19"/>
        <v>-0.17868852459016393</v>
      </c>
    </row>
    <row r="165" spans="2:14" x14ac:dyDescent="0.25">
      <c r="B165" s="118" t="s">
        <v>77</v>
      </c>
      <c r="C165" s="119">
        <v>505</v>
      </c>
      <c r="D165" s="120">
        <v>-0.51628352490421459</v>
      </c>
      <c r="E165" s="119">
        <v>843</v>
      </c>
      <c r="F165" s="120">
        <f t="shared" si="18"/>
        <v>0.66930693069306924</v>
      </c>
      <c r="G165" s="119">
        <v>945</v>
      </c>
      <c r="H165" s="120">
        <f t="shared" si="18"/>
        <v>0.12099644128113884</v>
      </c>
      <c r="I165" s="119">
        <v>1138</v>
      </c>
      <c r="J165" s="120">
        <f t="shared" si="18"/>
        <v>0.20423280423280432</v>
      </c>
      <c r="K165" s="119">
        <v>1305</v>
      </c>
      <c r="L165" s="120">
        <f t="shared" si="18"/>
        <v>0.14674868189806678</v>
      </c>
      <c r="M165" s="119">
        <v>1267</v>
      </c>
      <c r="N165" s="120">
        <f t="shared" si="19"/>
        <v>-2.9118773946360199E-2</v>
      </c>
    </row>
    <row r="166" spans="2:14" x14ac:dyDescent="0.25">
      <c r="B166" s="118" t="s">
        <v>79</v>
      </c>
      <c r="C166" s="119">
        <v>0</v>
      </c>
      <c r="D166" s="120">
        <v>-1</v>
      </c>
      <c r="E166" s="119">
        <v>695</v>
      </c>
      <c r="F166" s="120" t="str">
        <f t="shared" si="18"/>
        <v>-</v>
      </c>
      <c r="G166" s="119">
        <v>745</v>
      </c>
      <c r="H166" s="120">
        <f t="shared" si="18"/>
        <v>7.1942446043165464E-2</v>
      </c>
      <c r="I166" s="119">
        <v>650</v>
      </c>
      <c r="J166" s="120">
        <f t="shared" si="18"/>
        <v>-0.12751677852348997</v>
      </c>
      <c r="K166" s="119">
        <v>832</v>
      </c>
      <c r="L166" s="120">
        <f t="shared" si="18"/>
        <v>0.28000000000000003</v>
      </c>
      <c r="M166" s="119">
        <v>686</v>
      </c>
      <c r="N166" s="120">
        <f t="shared" si="19"/>
        <v>-0.17548076923076927</v>
      </c>
    </row>
    <row r="167" spans="2:14" x14ac:dyDescent="0.25">
      <c r="B167" s="118" t="s">
        <v>81</v>
      </c>
      <c r="C167" s="119">
        <v>0</v>
      </c>
      <c r="D167" s="120">
        <v>-1</v>
      </c>
      <c r="E167" s="119">
        <v>723</v>
      </c>
      <c r="F167" s="120" t="str">
        <f t="shared" si="18"/>
        <v>-</v>
      </c>
      <c r="G167" s="119">
        <v>572</v>
      </c>
      <c r="H167" s="120">
        <f t="shared" si="18"/>
        <v>-0.20885200553250349</v>
      </c>
      <c r="I167" s="119">
        <v>732</v>
      </c>
      <c r="J167" s="120">
        <f t="shared" si="18"/>
        <v>0.2797202797202798</v>
      </c>
      <c r="K167" s="119">
        <v>862</v>
      </c>
      <c r="L167" s="120">
        <f t="shared" si="18"/>
        <v>0.17759562841530063</v>
      </c>
      <c r="M167" s="119">
        <v>787</v>
      </c>
      <c r="N167" s="120">
        <f t="shared" si="19"/>
        <v>-8.7006960556844537E-2</v>
      </c>
    </row>
    <row r="168" spans="2:14" x14ac:dyDescent="0.25">
      <c r="B168" s="118" t="s">
        <v>83</v>
      </c>
      <c r="C168" s="119">
        <v>0</v>
      </c>
      <c r="D168" s="120">
        <v>-1</v>
      </c>
      <c r="E168" s="119">
        <v>357</v>
      </c>
      <c r="F168" s="120" t="str">
        <f t="shared" si="18"/>
        <v>-</v>
      </c>
      <c r="G168" s="119">
        <v>278</v>
      </c>
      <c r="H168" s="120">
        <f t="shared" si="18"/>
        <v>-0.22128851540616246</v>
      </c>
      <c r="I168" s="119">
        <v>374</v>
      </c>
      <c r="J168" s="120">
        <f t="shared" si="18"/>
        <v>0.34532374100719432</v>
      </c>
      <c r="K168" s="119">
        <v>426</v>
      </c>
      <c r="L168" s="120">
        <f t="shared" si="18"/>
        <v>0.1390374331550801</v>
      </c>
      <c r="M168" s="119">
        <v>397</v>
      </c>
      <c r="N168" s="120">
        <f t="shared" si="19"/>
        <v>-6.8075117370892002E-2</v>
      </c>
    </row>
    <row r="169" spans="2:14" x14ac:dyDescent="0.25">
      <c r="B169" s="118" t="s">
        <v>85</v>
      </c>
      <c r="C169" s="119">
        <v>0</v>
      </c>
      <c r="D169" s="120">
        <v>-1</v>
      </c>
      <c r="E169" s="119">
        <v>421</v>
      </c>
      <c r="F169" s="120" t="str">
        <f t="shared" si="18"/>
        <v>-</v>
      </c>
      <c r="G169" s="119">
        <v>580</v>
      </c>
      <c r="H169" s="120">
        <f t="shared" si="18"/>
        <v>0.37767220902612819</v>
      </c>
      <c r="I169" s="119">
        <v>379</v>
      </c>
      <c r="J169" s="120">
        <f t="shared" si="18"/>
        <v>-0.34655172413793101</v>
      </c>
      <c r="K169" s="119">
        <v>596</v>
      </c>
      <c r="L169" s="120">
        <f t="shared" si="18"/>
        <v>0.57255936675461738</v>
      </c>
      <c r="M169" s="119"/>
      <c r="N169" s="120"/>
    </row>
    <row r="170" spans="2:14" x14ac:dyDescent="0.25">
      <c r="B170" s="118" t="s">
        <v>87</v>
      </c>
      <c r="C170" s="119">
        <v>912</v>
      </c>
      <c r="D170" s="120">
        <v>0.2614107883817427</v>
      </c>
      <c r="E170" s="119">
        <v>932</v>
      </c>
      <c r="F170" s="120">
        <f t="shared" si="18"/>
        <v>2.1929824561403466E-2</v>
      </c>
      <c r="G170" s="119">
        <v>860</v>
      </c>
      <c r="H170" s="120">
        <f t="shared" si="18"/>
        <v>-7.7253218884120178E-2</v>
      </c>
      <c r="I170" s="119">
        <v>734</v>
      </c>
      <c r="J170" s="120">
        <f t="shared" si="18"/>
        <v>-0.14651162790697669</v>
      </c>
      <c r="K170" s="119">
        <v>989</v>
      </c>
      <c r="L170" s="120">
        <f t="shared" si="18"/>
        <v>0.34741144414168934</v>
      </c>
      <c r="M170" s="119"/>
      <c r="N170" s="120"/>
    </row>
    <row r="171" spans="2:14" x14ac:dyDescent="0.25">
      <c r="B171" s="118" t="s">
        <v>89</v>
      </c>
      <c r="C171" s="119">
        <v>104</v>
      </c>
      <c r="D171" s="120">
        <v>-0.79365079365079372</v>
      </c>
      <c r="E171" s="119">
        <v>357</v>
      </c>
      <c r="F171" s="120">
        <f t="shared" si="18"/>
        <v>2.4326923076923075</v>
      </c>
      <c r="G171" s="119">
        <v>390</v>
      </c>
      <c r="H171" s="120">
        <f t="shared" si="18"/>
        <v>9.243697478991586E-2</v>
      </c>
      <c r="I171" s="119">
        <v>486</v>
      </c>
      <c r="J171" s="120">
        <f t="shared" si="18"/>
        <v>0.24615384615384617</v>
      </c>
      <c r="K171" s="119">
        <v>421</v>
      </c>
      <c r="L171" s="120">
        <f t="shared" si="18"/>
        <v>-0.13374485596707819</v>
      </c>
      <c r="M171" s="119"/>
      <c r="N171" s="120"/>
    </row>
    <row r="172" spans="2:14" x14ac:dyDescent="0.25">
      <c r="B172" s="118" t="s">
        <v>91</v>
      </c>
      <c r="C172" s="119">
        <v>266</v>
      </c>
      <c r="D172" s="120">
        <v>-0.58307210031347956</v>
      </c>
      <c r="E172" s="119">
        <v>399</v>
      </c>
      <c r="F172" s="120">
        <f t="shared" si="18"/>
        <v>0.5</v>
      </c>
      <c r="G172" s="119">
        <v>484</v>
      </c>
      <c r="H172" s="120">
        <f t="shared" si="18"/>
        <v>0.21303258145363402</v>
      </c>
      <c r="I172" s="119">
        <v>565</v>
      </c>
      <c r="J172" s="120">
        <f t="shared" si="18"/>
        <v>0.1673553719008265</v>
      </c>
      <c r="K172" s="119">
        <v>622</v>
      </c>
      <c r="L172" s="120">
        <f t="shared" si="18"/>
        <v>0.10088495575221246</v>
      </c>
      <c r="M172" s="119"/>
      <c r="N172" s="120"/>
    </row>
    <row r="173" spans="2:14" x14ac:dyDescent="0.25">
      <c r="B173" s="118" t="s">
        <v>93</v>
      </c>
      <c r="C173" s="119">
        <v>143</v>
      </c>
      <c r="D173" s="120">
        <v>-0.80330123796423658</v>
      </c>
      <c r="E173" s="119">
        <v>704</v>
      </c>
      <c r="F173" s="120">
        <f t="shared" si="18"/>
        <v>3.9230769230769234</v>
      </c>
      <c r="G173" s="119">
        <v>676</v>
      </c>
      <c r="H173" s="120">
        <f t="shared" si="18"/>
        <v>-3.9772727272727293E-2</v>
      </c>
      <c r="I173" s="119">
        <v>1140</v>
      </c>
      <c r="J173" s="120">
        <f t="shared" si="18"/>
        <v>0.68639053254437865</v>
      </c>
      <c r="K173" s="119">
        <v>772</v>
      </c>
      <c r="L173" s="120">
        <f t="shared" si="18"/>
        <v>-0.32280701754385965</v>
      </c>
      <c r="M173" s="119"/>
      <c r="N173" s="120"/>
    </row>
    <row r="174" spans="2:14" x14ac:dyDescent="0.25">
      <c r="B174" s="118" t="s">
        <v>95</v>
      </c>
      <c r="C174" s="119">
        <v>445</v>
      </c>
      <c r="D174" s="120">
        <v>-0.46706586826347307</v>
      </c>
      <c r="E174" s="119">
        <v>799</v>
      </c>
      <c r="F174" s="120">
        <f t="shared" si="18"/>
        <v>0.79550561797752817</v>
      </c>
      <c r="G174" s="119">
        <v>717</v>
      </c>
      <c r="H174" s="120">
        <f t="shared" si="18"/>
        <v>-0.10262828535669588</v>
      </c>
      <c r="I174" s="119">
        <v>679</v>
      </c>
      <c r="J174" s="120">
        <f t="shared" si="18"/>
        <v>-5.2998605299860557E-2</v>
      </c>
      <c r="K174" s="119">
        <v>714</v>
      </c>
      <c r="L174" s="120">
        <f t="shared" si="18"/>
        <v>5.1546391752577359E-2</v>
      </c>
      <c r="M174" s="119"/>
      <c r="N174" s="120"/>
    </row>
    <row r="175" spans="2:14" ht="15.75" x14ac:dyDescent="0.25">
      <c r="B175" s="121" t="s">
        <v>32</v>
      </c>
      <c r="C175" s="122">
        <v>4658</v>
      </c>
      <c r="D175" s="123">
        <v>-0.4619383158137923</v>
      </c>
      <c r="E175" s="122">
        <v>7148</v>
      </c>
      <c r="F175" s="123">
        <f t="shared" si="18"/>
        <v>0.53456419063975957</v>
      </c>
      <c r="G175" s="122">
        <v>7881</v>
      </c>
      <c r="H175" s="123">
        <f t="shared" si="18"/>
        <v>0.10254616675993278</v>
      </c>
      <c r="I175" s="122">
        <v>8902</v>
      </c>
      <c r="J175" s="123">
        <f t="shared" si="18"/>
        <v>0.12955208729856627</v>
      </c>
      <c r="K175" s="122">
        <v>9750</v>
      </c>
      <c r="L175" s="123">
        <f t="shared" si="18"/>
        <v>9.5259492248932931E-2</v>
      </c>
      <c r="M175" s="122">
        <v>5180</v>
      </c>
      <c r="N175" s="123">
        <v>-8.0908445706174614E-2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1:15" x14ac:dyDescent="0.25">
      <c r="C178" s="124"/>
      <c r="K178" s="124"/>
      <c r="N178" s="81"/>
    </row>
    <row r="180" spans="1:15" ht="48.75" customHeight="1" thickBot="1" x14ac:dyDescent="0.3">
      <c r="B180" s="278" t="s">
        <v>279</v>
      </c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3" t="s">
        <v>121</v>
      </c>
      <c r="D182" s="304"/>
      <c r="E182" s="304"/>
      <c r="F182" s="304"/>
      <c r="G182" s="304"/>
      <c r="H182" s="304"/>
      <c r="I182" s="304"/>
      <c r="J182" s="304"/>
      <c r="K182" s="304"/>
      <c r="L182" s="304"/>
      <c r="M182" s="304"/>
      <c r="N182" s="304"/>
    </row>
    <row r="183" spans="1:15" ht="22.5" thickTop="1" thickBot="1" x14ac:dyDescent="0.3">
      <c r="B183" s="111"/>
      <c r="C183" s="305">
        <f>$C$7</f>
        <v>2020</v>
      </c>
      <c r="D183" s="306"/>
      <c r="E183" s="307">
        <f>$E$7</f>
        <v>2021</v>
      </c>
      <c r="F183" s="306"/>
      <c r="G183" s="307">
        <f>$G$7</f>
        <v>2022</v>
      </c>
      <c r="H183" s="306"/>
      <c r="I183" s="307">
        <f>$I$7</f>
        <v>2023</v>
      </c>
      <c r="J183" s="306"/>
      <c r="K183" s="307">
        <f>$K$7</f>
        <v>2024</v>
      </c>
      <c r="L183" s="306"/>
      <c r="M183" s="307">
        <f>$M$7</f>
        <v>2025</v>
      </c>
      <c r="N183" s="308"/>
    </row>
    <row r="184" spans="1:15" ht="16.5" thickTop="1" thickBot="1" x14ac:dyDescent="0.3">
      <c r="B184" s="87"/>
      <c r="C184" s="115" t="s">
        <v>71</v>
      </c>
      <c r="D184" s="116" t="str">
        <f>CONCATENATE("var. ",RIGHT(C183,2),"/",RIGHT(C183-1,2))</f>
        <v>var. 20/19</v>
      </c>
      <c r="E184" s="117" t="s">
        <v>71</v>
      </c>
      <c r="F184" s="116" t="s">
        <v>248</v>
      </c>
      <c r="G184" s="117" t="s">
        <v>71</v>
      </c>
      <c r="H184" s="116" t="s">
        <v>248</v>
      </c>
      <c r="I184" s="117" t="s">
        <v>71</v>
      </c>
      <c r="J184" s="116" t="s">
        <v>248</v>
      </c>
      <c r="K184" s="117" t="s">
        <v>71</v>
      </c>
      <c r="L184" s="116" t="s">
        <v>248</v>
      </c>
      <c r="M184" s="117" t="s">
        <v>71</v>
      </c>
      <c r="N184" s="116" t="s">
        <v>272</v>
      </c>
    </row>
    <row r="185" spans="1:15" x14ac:dyDescent="0.25">
      <c r="A185" s="124"/>
      <c r="B185" s="118" t="s">
        <v>73</v>
      </c>
      <c r="C185" s="119">
        <v>171</v>
      </c>
      <c r="D185" s="120">
        <v>-0.10471204188481675</v>
      </c>
      <c r="E185" s="119">
        <v>81</v>
      </c>
      <c r="F185" s="120">
        <f t="shared" ref="F185:L197" si="20">IFERROR(E185/C185-1,"-")</f>
        <v>-0.52631578947368429</v>
      </c>
      <c r="G185" s="119">
        <v>235</v>
      </c>
      <c r="H185" s="120">
        <f t="shared" si="20"/>
        <v>1.9012345679012346</v>
      </c>
      <c r="I185" s="119">
        <v>204</v>
      </c>
      <c r="J185" s="120">
        <f t="shared" si="20"/>
        <v>-0.13191489361702124</v>
      </c>
      <c r="K185" s="119">
        <v>391</v>
      </c>
      <c r="L185" s="120">
        <f t="shared" si="20"/>
        <v>0.91666666666666674</v>
      </c>
      <c r="M185" s="119">
        <v>363</v>
      </c>
      <c r="N185" s="120">
        <f t="shared" ref="N185:N190" si="21">IFERROR(M185/K185-1,"-")</f>
        <v>-7.1611253196930957E-2</v>
      </c>
    </row>
    <row r="186" spans="1:15" x14ac:dyDescent="0.25">
      <c r="B186" s="118" t="s">
        <v>75</v>
      </c>
      <c r="C186" s="119">
        <v>80</v>
      </c>
      <c r="D186" s="120">
        <v>-0.58333333333333326</v>
      </c>
      <c r="E186" s="119">
        <v>56</v>
      </c>
      <c r="F186" s="120">
        <f t="shared" si="20"/>
        <v>-0.30000000000000004</v>
      </c>
      <c r="G186" s="119">
        <v>237</v>
      </c>
      <c r="H186" s="120">
        <f t="shared" si="20"/>
        <v>3.2321428571428568</v>
      </c>
      <c r="I186" s="119">
        <v>99</v>
      </c>
      <c r="J186" s="120">
        <f t="shared" si="20"/>
        <v>-0.58227848101265822</v>
      </c>
      <c r="K186" s="119">
        <v>311</v>
      </c>
      <c r="L186" s="120">
        <f t="shared" si="20"/>
        <v>2.1414141414141414</v>
      </c>
      <c r="M186" s="119">
        <v>340</v>
      </c>
      <c r="N186" s="120">
        <f t="shared" si="21"/>
        <v>9.3247588424437255E-2</v>
      </c>
    </row>
    <row r="187" spans="1:15" x14ac:dyDescent="0.25">
      <c r="B187" s="118" t="s">
        <v>77</v>
      </c>
      <c r="C187" s="119">
        <v>43</v>
      </c>
      <c r="D187" s="120">
        <v>-0.81623931623931623</v>
      </c>
      <c r="E187" s="119">
        <v>49</v>
      </c>
      <c r="F187" s="120">
        <f t="shared" si="20"/>
        <v>0.13953488372093026</v>
      </c>
      <c r="G187" s="119">
        <v>269</v>
      </c>
      <c r="H187" s="120">
        <f t="shared" si="20"/>
        <v>4.4897959183673466</v>
      </c>
      <c r="I187" s="119">
        <v>302</v>
      </c>
      <c r="J187" s="120">
        <f t="shared" si="20"/>
        <v>0.12267657992565062</v>
      </c>
      <c r="K187" s="119">
        <v>283</v>
      </c>
      <c r="L187" s="120">
        <f t="shared" si="20"/>
        <v>-6.29139072847682E-2</v>
      </c>
      <c r="M187" s="119">
        <v>336</v>
      </c>
      <c r="N187" s="120">
        <f t="shared" si="21"/>
        <v>0.1872791519434629</v>
      </c>
    </row>
    <row r="188" spans="1:15" x14ac:dyDescent="0.25">
      <c r="B188" s="118" t="s">
        <v>79</v>
      </c>
      <c r="C188" s="119">
        <v>0</v>
      </c>
      <c r="D188" s="120">
        <v>-1</v>
      </c>
      <c r="E188" s="119">
        <v>73</v>
      </c>
      <c r="F188" s="120" t="str">
        <f t="shared" si="20"/>
        <v>-</v>
      </c>
      <c r="G188" s="119">
        <v>157</v>
      </c>
      <c r="H188" s="120">
        <f t="shared" si="20"/>
        <v>1.1506849315068495</v>
      </c>
      <c r="I188" s="119">
        <v>114</v>
      </c>
      <c r="J188" s="120">
        <f t="shared" si="20"/>
        <v>-0.27388535031847139</v>
      </c>
      <c r="K188" s="119">
        <v>234</v>
      </c>
      <c r="L188" s="120">
        <f t="shared" si="20"/>
        <v>1.0526315789473686</v>
      </c>
      <c r="M188" s="119">
        <v>313</v>
      </c>
      <c r="N188" s="120">
        <f t="shared" si="21"/>
        <v>0.33760683760683752</v>
      </c>
    </row>
    <row r="189" spans="1:15" x14ac:dyDescent="0.25">
      <c r="B189" s="118" t="s">
        <v>81</v>
      </c>
      <c r="C189" s="119">
        <v>0</v>
      </c>
      <c r="D189" s="120">
        <v>-1</v>
      </c>
      <c r="E189" s="119">
        <v>68</v>
      </c>
      <c r="F189" s="120" t="str">
        <f t="shared" si="20"/>
        <v>-</v>
      </c>
      <c r="G189" s="119">
        <v>104</v>
      </c>
      <c r="H189" s="120">
        <f t="shared" si="20"/>
        <v>0.52941176470588225</v>
      </c>
      <c r="I189" s="119">
        <v>83</v>
      </c>
      <c r="J189" s="120">
        <f t="shared" si="20"/>
        <v>-0.20192307692307687</v>
      </c>
      <c r="K189" s="119">
        <v>66</v>
      </c>
      <c r="L189" s="120">
        <f t="shared" si="20"/>
        <v>-0.20481927710843373</v>
      </c>
      <c r="M189" s="119">
        <v>152</v>
      </c>
      <c r="N189" s="120">
        <f t="shared" si="21"/>
        <v>1.3030303030303032</v>
      </c>
    </row>
    <row r="190" spans="1:15" x14ac:dyDescent="0.25">
      <c r="B190" s="118" t="s">
        <v>122</v>
      </c>
      <c r="C190" s="119">
        <v>0</v>
      </c>
      <c r="D190" s="120">
        <v>-1</v>
      </c>
      <c r="E190" s="119">
        <v>84</v>
      </c>
      <c r="F190" s="120" t="str">
        <f t="shared" si="20"/>
        <v>-</v>
      </c>
      <c r="G190" s="119">
        <v>70</v>
      </c>
      <c r="H190" s="120">
        <f t="shared" si="20"/>
        <v>-0.16666666666666663</v>
      </c>
      <c r="I190" s="119">
        <v>73</v>
      </c>
      <c r="J190" s="120">
        <f t="shared" si="20"/>
        <v>4.2857142857142927E-2</v>
      </c>
      <c r="K190" s="119">
        <v>55</v>
      </c>
      <c r="L190" s="120">
        <f t="shared" si="20"/>
        <v>-0.24657534246575341</v>
      </c>
      <c r="M190" s="119">
        <v>105</v>
      </c>
      <c r="N190" s="120">
        <f t="shared" si="21"/>
        <v>0.90909090909090917</v>
      </c>
    </row>
    <row r="191" spans="1:15" x14ac:dyDescent="0.25">
      <c r="B191" s="118" t="s">
        <v>85</v>
      </c>
      <c r="C191" s="119">
        <v>0</v>
      </c>
      <c r="D191" s="120">
        <v>-1</v>
      </c>
      <c r="E191" s="119">
        <v>108</v>
      </c>
      <c r="F191" s="120" t="str">
        <f t="shared" si="20"/>
        <v>-</v>
      </c>
      <c r="G191" s="119">
        <v>209</v>
      </c>
      <c r="H191" s="120">
        <f t="shared" si="20"/>
        <v>0.93518518518518512</v>
      </c>
      <c r="I191" s="119">
        <v>111</v>
      </c>
      <c r="J191" s="120">
        <f t="shared" si="20"/>
        <v>-0.46889952153110048</v>
      </c>
      <c r="K191" s="119">
        <v>59</v>
      </c>
      <c r="L191" s="120">
        <f t="shared" si="20"/>
        <v>-0.46846846846846846</v>
      </c>
      <c r="M191" s="119"/>
      <c r="N191" s="120"/>
    </row>
    <row r="192" spans="1:15" x14ac:dyDescent="0.25">
      <c r="B192" s="118" t="s">
        <v>87</v>
      </c>
      <c r="C192" s="119">
        <v>120</v>
      </c>
      <c r="D192" s="120">
        <v>2</v>
      </c>
      <c r="E192" s="119">
        <v>67</v>
      </c>
      <c r="F192" s="120">
        <f t="shared" si="20"/>
        <v>-0.44166666666666665</v>
      </c>
      <c r="G192" s="119">
        <v>142</v>
      </c>
      <c r="H192" s="120">
        <f t="shared" si="20"/>
        <v>1.1194029850746268</v>
      </c>
      <c r="I192" s="119">
        <v>117</v>
      </c>
      <c r="J192" s="120">
        <f t="shared" si="20"/>
        <v>-0.176056338028169</v>
      </c>
      <c r="K192" s="119">
        <v>136</v>
      </c>
      <c r="L192" s="120">
        <f t="shared" si="20"/>
        <v>0.16239316239316248</v>
      </c>
      <c r="M192" s="119"/>
      <c r="N192" s="120"/>
    </row>
    <row r="193" spans="2:15" x14ac:dyDescent="0.25">
      <c r="B193" s="118" t="s">
        <v>89</v>
      </c>
      <c r="C193" s="119">
        <v>86</v>
      </c>
      <c r="D193" s="120">
        <v>2.5833333333333335</v>
      </c>
      <c r="E193" s="119">
        <v>72</v>
      </c>
      <c r="F193" s="120">
        <f t="shared" si="20"/>
        <v>-0.16279069767441856</v>
      </c>
      <c r="G193" s="119">
        <v>117</v>
      </c>
      <c r="H193" s="120">
        <f t="shared" si="20"/>
        <v>0.625</v>
      </c>
      <c r="I193" s="119">
        <v>120</v>
      </c>
      <c r="J193" s="120">
        <f t="shared" si="20"/>
        <v>2.564102564102555E-2</v>
      </c>
      <c r="K193" s="119">
        <v>158</v>
      </c>
      <c r="L193" s="120">
        <f t="shared" si="20"/>
        <v>0.31666666666666665</v>
      </c>
      <c r="M193" s="119"/>
      <c r="N193" s="120"/>
    </row>
    <row r="194" spans="2:15" x14ac:dyDescent="0.25">
      <c r="B194" s="118" t="s">
        <v>91</v>
      </c>
      <c r="C194" s="119">
        <v>74</v>
      </c>
      <c r="D194" s="120">
        <v>0.3214285714285714</v>
      </c>
      <c r="E194" s="119">
        <v>171</v>
      </c>
      <c r="F194" s="120">
        <f t="shared" si="20"/>
        <v>1.310810810810811</v>
      </c>
      <c r="G194" s="119">
        <v>83</v>
      </c>
      <c r="H194" s="120">
        <f t="shared" si="20"/>
        <v>-0.51461988304093564</v>
      </c>
      <c r="I194" s="119">
        <v>116</v>
      </c>
      <c r="J194" s="120">
        <f t="shared" si="20"/>
        <v>0.39759036144578319</v>
      </c>
      <c r="K194" s="119">
        <v>156</v>
      </c>
      <c r="L194" s="120">
        <f t="shared" si="20"/>
        <v>0.34482758620689657</v>
      </c>
      <c r="M194" s="119"/>
      <c r="N194" s="120"/>
    </row>
    <row r="195" spans="2:15" x14ac:dyDescent="0.25">
      <c r="B195" s="118" t="s">
        <v>93</v>
      </c>
      <c r="C195" s="119">
        <v>125</v>
      </c>
      <c r="D195" s="120">
        <v>3.3057851239669311E-2</v>
      </c>
      <c r="E195" s="119">
        <v>319</v>
      </c>
      <c r="F195" s="120">
        <f t="shared" si="20"/>
        <v>1.552</v>
      </c>
      <c r="G195" s="119">
        <v>157</v>
      </c>
      <c r="H195" s="120">
        <f t="shared" si="20"/>
        <v>-0.50783699059561127</v>
      </c>
      <c r="I195" s="119">
        <v>311</v>
      </c>
      <c r="J195" s="120">
        <f t="shared" si="20"/>
        <v>0.98089171974522293</v>
      </c>
      <c r="K195" s="119">
        <v>161</v>
      </c>
      <c r="L195" s="120">
        <f t="shared" si="20"/>
        <v>-0.48231511254019288</v>
      </c>
      <c r="M195" s="119"/>
      <c r="N195" s="120"/>
    </row>
    <row r="196" spans="2:15" x14ac:dyDescent="0.25">
      <c r="B196" s="118" t="s">
        <v>95</v>
      </c>
      <c r="C196" s="119">
        <v>36</v>
      </c>
      <c r="D196" s="120">
        <v>-0.68421052631578949</v>
      </c>
      <c r="E196" s="119">
        <v>167</v>
      </c>
      <c r="F196" s="120">
        <f t="shared" si="20"/>
        <v>3.6388888888888893</v>
      </c>
      <c r="G196" s="119">
        <v>112</v>
      </c>
      <c r="H196" s="120">
        <f t="shared" si="20"/>
        <v>-0.3293413173652695</v>
      </c>
      <c r="I196" s="119">
        <v>162</v>
      </c>
      <c r="J196" s="120">
        <f t="shared" si="20"/>
        <v>0.4464285714285714</v>
      </c>
      <c r="K196" s="119">
        <v>348</v>
      </c>
      <c r="L196" s="120">
        <f t="shared" si="20"/>
        <v>1.1481481481481484</v>
      </c>
      <c r="M196" s="119"/>
      <c r="N196" s="120"/>
    </row>
    <row r="197" spans="2:15" ht="15.75" x14ac:dyDescent="0.25">
      <c r="B197" s="121" t="s">
        <v>32</v>
      </c>
      <c r="C197" s="122">
        <v>788</v>
      </c>
      <c r="D197" s="123">
        <v>-0.39291217257318956</v>
      </c>
      <c r="E197" s="122">
        <v>1315</v>
      </c>
      <c r="F197" s="123">
        <f t="shared" si="20"/>
        <v>0.66878172588832485</v>
      </c>
      <c r="G197" s="122">
        <v>1892</v>
      </c>
      <c r="H197" s="123">
        <f t="shared" si="20"/>
        <v>0.43878326996197714</v>
      </c>
      <c r="I197" s="122">
        <v>1812</v>
      </c>
      <c r="J197" s="123">
        <f t="shared" si="20"/>
        <v>-4.228329809725162E-2</v>
      </c>
      <c r="K197" s="122">
        <v>2358</v>
      </c>
      <c r="L197" s="123">
        <f t="shared" si="20"/>
        <v>0.30132450331125837</v>
      </c>
      <c r="M197" s="122">
        <v>1609</v>
      </c>
      <c r="N197" s="123">
        <v>0.20074626865671652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C200" s="124"/>
      <c r="K200" s="124"/>
      <c r="N200" s="81"/>
    </row>
    <row r="202" spans="2:15" ht="48.75" customHeight="1" thickBot="1" x14ac:dyDescent="0.3">
      <c r="B202" s="278" t="s">
        <v>280</v>
      </c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3" t="s">
        <v>125</v>
      </c>
      <c r="D204" s="304"/>
      <c r="E204" s="304"/>
      <c r="F204" s="304"/>
      <c r="G204" s="304"/>
      <c r="H204" s="304"/>
      <c r="I204" s="304"/>
      <c r="J204" s="304"/>
      <c r="K204" s="304"/>
      <c r="L204" s="304"/>
      <c r="M204" s="304"/>
      <c r="N204" s="304"/>
    </row>
    <row r="205" spans="2:15" ht="22.5" thickTop="1" thickBot="1" x14ac:dyDescent="0.3">
      <c r="B205" s="111"/>
      <c r="C205" s="305">
        <f>$C$7</f>
        <v>2020</v>
      </c>
      <c r="D205" s="306"/>
      <c r="E205" s="307">
        <f>$E$7</f>
        <v>2021</v>
      </c>
      <c r="F205" s="306"/>
      <c r="G205" s="307">
        <f>$G$7</f>
        <v>2022</v>
      </c>
      <c r="H205" s="306"/>
      <c r="I205" s="307">
        <f>$I$7</f>
        <v>2023</v>
      </c>
      <c r="J205" s="306"/>
      <c r="K205" s="307">
        <f>$K$7</f>
        <v>2024</v>
      </c>
      <c r="L205" s="306"/>
      <c r="M205" s="307">
        <f>$M$7</f>
        <v>2025</v>
      </c>
      <c r="N205" s="308"/>
    </row>
    <row r="206" spans="2:15" ht="16.5" thickTop="1" thickBot="1" x14ac:dyDescent="0.3">
      <c r="B206" s="87"/>
      <c r="C206" s="115" t="s">
        <v>71</v>
      </c>
      <c r="D206" s="116" t="str">
        <f>CONCATENATE("var. ",RIGHT(C205,2),"/",RIGHT(C205-1,2))</f>
        <v>var. 20/19</v>
      </c>
      <c r="E206" s="117" t="s">
        <v>71</v>
      </c>
      <c r="F206" s="116" t="s">
        <v>248</v>
      </c>
      <c r="G206" s="117" t="s">
        <v>71</v>
      </c>
      <c r="H206" s="116" t="s">
        <v>248</v>
      </c>
      <c r="I206" s="117" t="s">
        <v>71</v>
      </c>
      <c r="J206" s="116" t="s">
        <v>248</v>
      </c>
      <c r="K206" s="117" t="s">
        <v>71</v>
      </c>
      <c r="L206" s="116" t="s">
        <v>248</v>
      </c>
      <c r="M206" s="117" t="s">
        <v>71</v>
      </c>
      <c r="N206" s="116" t="s">
        <v>272</v>
      </c>
    </row>
    <row r="207" spans="2:15" x14ac:dyDescent="0.25">
      <c r="B207" s="118" t="s">
        <v>73</v>
      </c>
      <c r="C207" s="119">
        <v>207</v>
      </c>
      <c r="D207" s="120">
        <v>-0.24175824175824179</v>
      </c>
      <c r="E207" s="119">
        <v>8</v>
      </c>
      <c r="F207" s="120">
        <f t="shared" ref="F207:L219" si="22">IFERROR(E207/C207-1,"-")</f>
        <v>-0.96135265700483097</v>
      </c>
      <c r="G207" s="119">
        <v>500</v>
      </c>
      <c r="H207" s="120">
        <f t="shared" si="22"/>
        <v>61.5</v>
      </c>
      <c r="I207" s="119">
        <v>587</v>
      </c>
      <c r="J207" s="120">
        <f t="shared" si="22"/>
        <v>0.17399999999999993</v>
      </c>
      <c r="K207" s="119">
        <v>618</v>
      </c>
      <c r="L207" s="120">
        <f t="shared" si="22"/>
        <v>5.2810902896081702E-2</v>
      </c>
      <c r="M207" s="119">
        <v>486</v>
      </c>
      <c r="N207" s="120">
        <f t="shared" ref="N207:N212" si="23">IFERROR(M207/K207-1,"-")</f>
        <v>-0.21359223300970875</v>
      </c>
    </row>
    <row r="208" spans="2:15" x14ac:dyDescent="0.25">
      <c r="B208" s="118" t="s">
        <v>75</v>
      </c>
      <c r="C208" s="119">
        <v>537</v>
      </c>
      <c r="D208" s="120">
        <v>1.5450236966824646</v>
      </c>
      <c r="E208" s="119">
        <v>17</v>
      </c>
      <c r="F208" s="120">
        <f t="shared" si="22"/>
        <v>-0.96834264432029793</v>
      </c>
      <c r="G208" s="119">
        <v>376</v>
      </c>
      <c r="H208" s="120">
        <f t="shared" si="22"/>
        <v>21.117647058823529</v>
      </c>
      <c r="I208" s="119">
        <v>398</v>
      </c>
      <c r="J208" s="120">
        <f t="shared" si="22"/>
        <v>5.8510638297872397E-2</v>
      </c>
      <c r="K208" s="119">
        <v>524</v>
      </c>
      <c r="L208" s="120">
        <f t="shared" si="22"/>
        <v>0.31658291457286425</v>
      </c>
      <c r="M208" s="119">
        <v>402</v>
      </c>
      <c r="N208" s="120">
        <f t="shared" si="23"/>
        <v>-0.23282442748091603</v>
      </c>
    </row>
    <row r="209" spans="2:15" x14ac:dyDescent="0.25">
      <c r="B209" s="118" t="s">
        <v>77</v>
      </c>
      <c r="C209" s="119">
        <v>95</v>
      </c>
      <c r="D209" s="120">
        <v>-0.65073529411764708</v>
      </c>
      <c r="E209" s="119">
        <v>49</v>
      </c>
      <c r="F209" s="120">
        <f t="shared" si="22"/>
        <v>-0.48421052631578942</v>
      </c>
      <c r="G209" s="119">
        <v>467</v>
      </c>
      <c r="H209" s="120">
        <f t="shared" si="22"/>
        <v>8.5306122448979593</v>
      </c>
      <c r="I209" s="119">
        <v>596</v>
      </c>
      <c r="J209" s="120">
        <f t="shared" si="22"/>
        <v>0.27623126338329773</v>
      </c>
      <c r="K209" s="119">
        <v>525</v>
      </c>
      <c r="L209" s="120">
        <f t="shared" si="22"/>
        <v>-0.11912751677852351</v>
      </c>
      <c r="M209" s="119">
        <v>329</v>
      </c>
      <c r="N209" s="120">
        <f t="shared" si="23"/>
        <v>-0.37333333333333329</v>
      </c>
    </row>
    <row r="210" spans="2:15" x14ac:dyDescent="0.25">
      <c r="B210" s="118" t="s">
        <v>79</v>
      </c>
      <c r="C210" s="119">
        <v>0</v>
      </c>
      <c r="D210" s="120">
        <v>-1</v>
      </c>
      <c r="E210" s="119">
        <v>45</v>
      </c>
      <c r="F210" s="120" t="str">
        <f t="shared" si="22"/>
        <v>-</v>
      </c>
      <c r="G210" s="119">
        <v>402</v>
      </c>
      <c r="H210" s="120">
        <f t="shared" si="22"/>
        <v>7.9333333333333336</v>
      </c>
      <c r="I210" s="119">
        <v>239</v>
      </c>
      <c r="J210" s="120">
        <f t="shared" si="22"/>
        <v>-0.40547263681592038</v>
      </c>
      <c r="K210" s="119">
        <v>478</v>
      </c>
      <c r="L210" s="120">
        <f t="shared" si="22"/>
        <v>1</v>
      </c>
      <c r="M210" s="119">
        <v>141</v>
      </c>
      <c r="N210" s="120">
        <f t="shared" si="23"/>
        <v>-0.70502092050209209</v>
      </c>
    </row>
    <row r="211" spans="2:15" x14ac:dyDescent="0.25">
      <c r="B211" s="118" t="s">
        <v>81</v>
      </c>
      <c r="C211" s="119">
        <v>0</v>
      </c>
      <c r="D211" s="120">
        <v>-1</v>
      </c>
      <c r="E211" s="119">
        <v>57</v>
      </c>
      <c r="F211" s="120" t="str">
        <f t="shared" si="22"/>
        <v>-</v>
      </c>
      <c r="G211" s="119">
        <v>372</v>
      </c>
      <c r="H211" s="120">
        <f t="shared" si="22"/>
        <v>5.5263157894736841</v>
      </c>
      <c r="I211" s="119">
        <v>200</v>
      </c>
      <c r="J211" s="120">
        <f t="shared" si="22"/>
        <v>-0.4623655913978495</v>
      </c>
      <c r="K211" s="119">
        <v>229</v>
      </c>
      <c r="L211" s="120">
        <f t="shared" si="22"/>
        <v>0.14500000000000002</v>
      </c>
      <c r="M211" s="119">
        <v>274</v>
      </c>
      <c r="N211" s="120">
        <f t="shared" si="23"/>
        <v>0.19650655021834051</v>
      </c>
    </row>
    <row r="212" spans="2:15" x14ac:dyDescent="0.25">
      <c r="B212" s="118" t="s">
        <v>83</v>
      </c>
      <c r="C212" s="119">
        <v>0</v>
      </c>
      <c r="D212" s="120">
        <v>-1</v>
      </c>
      <c r="E212" s="119">
        <v>52</v>
      </c>
      <c r="F212" s="120" t="str">
        <f t="shared" si="22"/>
        <v>-</v>
      </c>
      <c r="G212" s="119">
        <v>448</v>
      </c>
      <c r="H212" s="120">
        <f t="shared" si="22"/>
        <v>7.615384615384615</v>
      </c>
      <c r="I212" s="119">
        <v>127</v>
      </c>
      <c r="J212" s="120">
        <f t="shared" si="22"/>
        <v>-0.71651785714285721</v>
      </c>
      <c r="K212" s="119">
        <v>314</v>
      </c>
      <c r="L212" s="120">
        <f t="shared" si="22"/>
        <v>1.4724409448818898</v>
      </c>
      <c r="M212" s="119">
        <v>155</v>
      </c>
      <c r="N212" s="120">
        <f t="shared" si="23"/>
        <v>-0.50636942675159236</v>
      </c>
    </row>
    <row r="213" spans="2:15" x14ac:dyDescent="0.25">
      <c r="B213" s="118" t="s">
        <v>85</v>
      </c>
      <c r="C213" s="119">
        <v>0</v>
      </c>
      <c r="D213" s="120">
        <v>-1</v>
      </c>
      <c r="E213" s="119">
        <v>37</v>
      </c>
      <c r="F213" s="120" t="str">
        <f t="shared" si="22"/>
        <v>-</v>
      </c>
      <c r="G213" s="119">
        <v>155</v>
      </c>
      <c r="H213" s="120">
        <f t="shared" si="22"/>
        <v>3.1891891891891895</v>
      </c>
      <c r="I213" s="119">
        <v>176</v>
      </c>
      <c r="J213" s="120">
        <f t="shared" si="22"/>
        <v>0.13548387096774195</v>
      </c>
      <c r="K213" s="119">
        <v>134</v>
      </c>
      <c r="L213" s="120">
        <f t="shared" si="22"/>
        <v>-0.23863636363636365</v>
      </c>
      <c r="M213" s="119"/>
      <c r="N213" s="120"/>
    </row>
    <row r="214" spans="2:15" x14ac:dyDescent="0.25">
      <c r="B214" s="118" t="s">
        <v>87</v>
      </c>
      <c r="C214" s="119">
        <v>19</v>
      </c>
      <c r="D214" s="120">
        <v>-0.93470790378006874</v>
      </c>
      <c r="E214" s="119">
        <v>76</v>
      </c>
      <c r="F214" s="120">
        <f t="shared" si="22"/>
        <v>3</v>
      </c>
      <c r="G214" s="119">
        <v>383</v>
      </c>
      <c r="H214" s="120">
        <f t="shared" si="22"/>
        <v>4.0394736842105265</v>
      </c>
      <c r="I214" s="119">
        <v>153</v>
      </c>
      <c r="J214" s="120">
        <f t="shared" si="22"/>
        <v>-0.60052219321148825</v>
      </c>
      <c r="K214" s="119">
        <v>219</v>
      </c>
      <c r="L214" s="120">
        <f t="shared" si="22"/>
        <v>0.43137254901960786</v>
      </c>
      <c r="M214" s="119"/>
      <c r="N214" s="120"/>
    </row>
    <row r="215" spans="2:15" x14ac:dyDescent="0.25">
      <c r="B215" s="118" t="s">
        <v>89</v>
      </c>
      <c r="C215" s="119">
        <v>6</v>
      </c>
      <c r="D215" s="120">
        <v>-0.94827586206896552</v>
      </c>
      <c r="E215" s="119">
        <v>243</v>
      </c>
      <c r="F215" s="120">
        <f t="shared" si="22"/>
        <v>39.5</v>
      </c>
      <c r="G215" s="119">
        <v>333</v>
      </c>
      <c r="H215" s="120">
        <f t="shared" si="22"/>
        <v>0.37037037037037046</v>
      </c>
      <c r="I215" s="119">
        <v>194</v>
      </c>
      <c r="J215" s="120">
        <f t="shared" si="22"/>
        <v>-0.41741741741741745</v>
      </c>
      <c r="K215" s="119">
        <v>121</v>
      </c>
      <c r="L215" s="120">
        <f t="shared" si="22"/>
        <v>-0.37628865979381443</v>
      </c>
      <c r="M215" s="119"/>
      <c r="N215" s="120"/>
    </row>
    <row r="216" spans="2:15" x14ac:dyDescent="0.25">
      <c r="B216" s="118" t="s">
        <v>91</v>
      </c>
      <c r="C216" s="119">
        <v>5</v>
      </c>
      <c r="D216" s="120">
        <v>-0.97942386831275718</v>
      </c>
      <c r="E216" s="119">
        <v>136</v>
      </c>
      <c r="F216" s="120">
        <f t="shared" si="22"/>
        <v>26.2</v>
      </c>
      <c r="G216" s="119">
        <v>458</v>
      </c>
      <c r="H216" s="120">
        <f t="shared" si="22"/>
        <v>2.3676470588235294</v>
      </c>
      <c r="I216" s="119">
        <v>266</v>
      </c>
      <c r="J216" s="120">
        <f t="shared" si="22"/>
        <v>-0.41921397379912662</v>
      </c>
      <c r="K216" s="119">
        <v>155</v>
      </c>
      <c r="L216" s="120">
        <f t="shared" si="22"/>
        <v>-0.41729323308270672</v>
      </c>
      <c r="M216" s="119"/>
      <c r="N216" s="120"/>
    </row>
    <row r="217" spans="2:15" x14ac:dyDescent="0.25">
      <c r="B217" s="118" t="s">
        <v>93</v>
      </c>
      <c r="C217" s="119">
        <v>24</v>
      </c>
      <c r="D217" s="120">
        <v>-0.89090909090909087</v>
      </c>
      <c r="E217" s="119">
        <v>317</v>
      </c>
      <c r="F217" s="120">
        <f t="shared" si="22"/>
        <v>12.208333333333334</v>
      </c>
      <c r="G217" s="119">
        <v>713</v>
      </c>
      <c r="H217" s="120">
        <f t="shared" si="22"/>
        <v>1.2492113564668768</v>
      </c>
      <c r="I217" s="119">
        <v>322</v>
      </c>
      <c r="J217" s="120">
        <f t="shared" si="22"/>
        <v>-0.54838709677419351</v>
      </c>
      <c r="K217" s="119">
        <v>268</v>
      </c>
      <c r="L217" s="120">
        <f t="shared" si="22"/>
        <v>-0.16770186335403725</v>
      </c>
      <c r="M217" s="119"/>
      <c r="N217" s="120"/>
    </row>
    <row r="218" spans="2:15" x14ac:dyDescent="0.25">
      <c r="B218" s="118" t="s">
        <v>95</v>
      </c>
      <c r="C218" s="119">
        <v>14</v>
      </c>
      <c r="D218" s="120">
        <v>-0.92893401015228427</v>
      </c>
      <c r="E218" s="119">
        <v>348</v>
      </c>
      <c r="F218" s="120">
        <f t="shared" si="22"/>
        <v>23.857142857142858</v>
      </c>
      <c r="G218" s="119">
        <v>374</v>
      </c>
      <c r="H218" s="120">
        <f t="shared" si="22"/>
        <v>7.4712643678160884E-2</v>
      </c>
      <c r="I218" s="119">
        <v>365</v>
      </c>
      <c r="J218" s="120">
        <f t="shared" si="22"/>
        <v>-2.4064171122994638E-2</v>
      </c>
      <c r="K218" s="119">
        <v>215</v>
      </c>
      <c r="L218" s="120">
        <f t="shared" si="22"/>
        <v>-0.41095890410958902</v>
      </c>
      <c r="M218" s="119"/>
      <c r="N218" s="120"/>
    </row>
    <row r="219" spans="2:15" ht="15.75" x14ac:dyDescent="0.25">
      <c r="B219" s="121" t="s">
        <v>32</v>
      </c>
      <c r="C219" s="122">
        <v>940</v>
      </c>
      <c r="D219" s="123">
        <v>-0.60669456066945604</v>
      </c>
      <c r="E219" s="122">
        <v>1385</v>
      </c>
      <c r="F219" s="123">
        <f t="shared" si="22"/>
        <v>0.47340425531914887</v>
      </c>
      <c r="G219" s="122">
        <v>4981</v>
      </c>
      <c r="H219" s="123">
        <f t="shared" si="22"/>
        <v>2.5963898916967509</v>
      </c>
      <c r="I219" s="122">
        <v>3623</v>
      </c>
      <c r="J219" s="123">
        <f t="shared" si="22"/>
        <v>-0.27263601686408356</v>
      </c>
      <c r="K219" s="122">
        <v>3800</v>
      </c>
      <c r="L219" s="123">
        <f t="shared" si="22"/>
        <v>4.8854540436102711E-2</v>
      </c>
      <c r="M219" s="122">
        <v>1787</v>
      </c>
      <c r="N219" s="123">
        <v>-0.33519345238095233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C222" s="124"/>
      <c r="K222" s="124"/>
      <c r="N222" s="81"/>
    </row>
    <row r="224" spans="2:15" ht="48.75" customHeight="1" thickBot="1" x14ac:dyDescent="0.3">
      <c r="B224" s="278" t="s">
        <v>281</v>
      </c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1" t="s">
        <v>149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150</v>
      </c>
    </row>
    <row r="226" spans="2:15" ht="22.5" thickTop="1" thickBot="1" x14ac:dyDescent="0.3">
      <c r="B226" s="125" t="str">
        <f>C226</f>
        <v>Dinamarca</v>
      </c>
      <c r="C226" s="303" t="s">
        <v>130</v>
      </c>
      <c r="D226" s="304"/>
      <c r="E226" s="304"/>
      <c r="F226" s="304"/>
      <c r="G226" s="304"/>
      <c r="H226" s="304"/>
      <c r="I226" s="304"/>
      <c r="J226" s="304"/>
      <c r="K226" s="304"/>
      <c r="L226" s="304"/>
      <c r="M226" s="304"/>
      <c r="N226" s="304"/>
    </row>
    <row r="227" spans="2:15" ht="22.5" thickTop="1" thickBot="1" x14ac:dyDescent="0.3">
      <c r="B227" s="111"/>
      <c r="C227" s="305">
        <f>$C$7</f>
        <v>2020</v>
      </c>
      <c r="D227" s="306"/>
      <c r="E227" s="307">
        <f>$E$7</f>
        <v>2021</v>
      </c>
      <c r="F227" s="306"/>
      <c r="G227" s="307">
        <f>$G$7</f>
        <v>2022</v>
      </c>
      <c r="H227" s="306"/>
      <c r="I227" s="307">
        <f>$I$7</f>
        <v>2023</v>
      </c>
      <c r="J227" s="306"/>
      <c r="K227" s="307">
        <f>$K$7</f>
        <v>2024</v>
      </c>
      <c r="L227" s="306"/>
      <c r="M227" s="307">
        <f>$M$7</f>
        <v>2025</v>
      </c>
      <c r="N227" s="308"/>
    </row>
    <row r="228" spans="2:15" ht="16.5" thickTop="1" thickBot="1" x14ac:dyDescent="0.3">
      <c r="B228" s="87"/>
      <c r="C228" s="115" t="s">
        <v>71</v>
      </c>
      <c r="D228" s="116" t="str">
        <f>CONCATENATE("var. ",RIGHT(C227,2),"/",RIGHT(C227-1,2))</f>
        <v>var. 20/19</v>
      </c>
      <c r="E228" s="117" t="s">
        <v>71</v>
      </c>
      <c r="F228" s="116" t="s">
        <v>248</v>
      </c>
      <c r="G228" s="117" t="s">
        <v>71</v>
      </c>
      <c r="H228" s="116" t="s">
        <v>248</v>
      </c>
      <c r="I228" s="117" t="s">
        <v>71</v>
      </c>
      <c r="J228" s="116" t="s">
        <v>248</v>
      </c>
      <c r="K228" s="117" t="s">
        <v>71</v>
      </c>
      <c r="L228" s="116" t="s">
        <v>248</v>
      </c>
      <c r="M228" s="117" t="s">
        <v>71</v>
      </c>
      <c r="N228" s="116" t="s">
        <v>272</v>
      </c>
    </row>
    <row r="229" spans="2:15" x14ac:dyDescent="0.25">
      <c r="B229" s="118" t="s">
        <v>73</v>
      </c>
      <c r="C229" s="119">
        <v>324</v>
      </c>
      <c r="D229" s="120">
        <v>1.7457627118644066</v>
      </c>
      <c r="E229" s="119">
        <v>5</v>
      </c>
      <c r="F229" s="120">
        <f t="shared" ref="F229:L241" si="24">IFERROR(E229/C229-1,"-")</f>
        <v>-0.98456790123456794</v>
      </c>
      <c r="G229" s="119">
        <v>202</v>
      </c>
      <c r="H229" s="120">
        <f t="shared" si="24"/>
        <v>39.4</v>
      </c>
      <c r="I229" s="119">
        <v>130</v>
      </c>
      <c r="J229" s="120">
        <f t="shared" si="24"/>
        <v>-0.35643564356435642</v>
      </c>
      <c r="K229" s="119">
        <v>167</v>
      </c>
      <c r="L229" s="120">
        <f t="shared" si="24"/>
        <v>0.28461538461538471</v>
      </c>
      <c r="M229" s="119">
        <v>68</v>
      </c>
      <c r="N229" s="120">
        <f t="shared" ref="N229:N234" si="25">IFERROR(M229/K229-1,"-")</f>
        <v>-0.59281437125748504</v>
      </c>
    </row>
    <row r="230" spans="2:15" x14ac:dyDescent="0.25">
      <c r="B230" s="118" t="s">
        <v>75</v>
      </c>
      <c r="C230" s="119">
        <v>73</v>
      </c>
      <c r="D230" s="120">
        <v>-7.5949367088607556E-2</v>
      </c>
      <c r="E230" s="119">
        <v>5</v>
      </c>
      <c r="F230" s="120">
        <f t="shared" si="24"/>
        <v>-0.93150684931506844</v>
      </c>
      <c r="G230" s="119">
        <v>191</v>
      </c>
      <c r="H230" s="120">
        <f t="shared" si="24"/>
        <v>37.200000000000003</v>
      </c>
      <c r="I230" s="119">
        <v>31</v>
      </c>
      <c r="J230" s="120">
        <f t="shared" si="24"/>
        <v>-0.83769633507853403</v>
      </c>
      <c r="K230" s="119">
        <v>140</v>
      </c>
      <c r="L230" s="120">
        <f t="shared" si="24"/>
        <v>3.5161290322580649</v>
      </c>
      <c r="M230" s="119">
        <v>144</v>
      </c>
      <c r="N230" s="120">
        <f t="shared" si="25"/>
        <v>2.857142857142847E-2</v>
      </c>
    </row>
    <row r="231" spans="2:15" x14ac:dyDescent="0.25">
      <c r="B231" s="118" t="s">
        <v>77</v>
      </c>
      <c r="C231" s="119">
        <v>168</v>
      </c>
      <c r="D231" s="120">
        <v>1.9473684210526314</v>
      </c>
      <c r="E231" s="119">
        <v>7</v>
      </c>
      <c r="F231" s="120">
        <f t="shared" si="24"/>
        <v>-0.95833333333333337</v>
      </c>
      <c r="G231" s="119">
        <v>85</v>
      </c>
      <c r="H231" s="120">
        <f t="shared" si="24"/>
        <v>11.142857142857142</v>
      </c>
      <c r="I231" s="119">
        <v>28</v>
      </c>
      <c r="J231" s="120">
        <f t="shared" si="24"/>
        <v>-0.67058823529411771</v>
      </c>
      <c r="K231" s="119">
        <v>62</v>
      </c>
      <c r="L231" s="120">
        <f t="shared" si="24"/>
        <v>1.2142857142857144</v>
      </c>
      <c r="M231" s="119">
        <v>26</v>
      </c>
      <c r="N231" s="120">
        <f t="shared" si="25"/>
        <v>-0.58064516129032251</v>
      </c>
    </row>
    <row r="232" spans="2:15" x14ac:dyDescent="0.25">
      <c r="B232" s="118" t="s">
        <v>79</v>
      </c>
      <c r="C232" s="119">
        <v>0</v>
      </c>
      <c r="D232" s="120">
        <v>-1</v>
      </c>
      <c r="E232" s="119">
        <v>9</v>
      </c>
      <c r="F232" s="120" t="str">
        <f t="shared" si="24"/>
        <v>-</v>
      </c>
      <c r="G232" s="119">
        <v>17</v>
      </c>
      <c r="H232" s="120">
        <f t="shared" si="24"/>
        <v>0.88888888888888884</v>
      </c>
      <c r="I232" s="119">
        <v>42</v>
      </c>
      <c r="J232" s="120">
        <f t="shared" si="24"/>
        <v>1.4705882352941178</v>
      </c>
      <c r="K232" s="119">
        <v>2</v>
      </c>
      <c r="L232" s="120">
        <f t="shared" si="24"/>
        <v>-0.95238095238095233</v>
      </c>
      <c r="M232" s="119">
        <v>44</v>
      </c>
      <c r="N232" s="120">
        <f t="shared" si="25"/>
        <v>21</v>
      </c>
    </row>
    <row r="233" spans="2:15" x14ac:dyDescent="0.25">
      <c r="B233" s="118" t="s">
        <v>81</v>
      </c>
      <c r="C233" s="119">
        <v>0</v>
      </c>
      <c r="D233" s="120">
        <v>-1</v>
      </c>
      <c r="E233" s="119">
        <v>12</v>
      </c>
      <c r="F233" s="120" t="str">
        <f t="shared" si="24"/>
        <v>-</v>
      </c>
      <c r="G233" s="119">
        <v>21</v>
      </c>
      <c r="H233" s="120">
        <f t="shared" si="24"/>
        <v>0.75</v>
      </c>
      <c r="I233" s="119">
        <v>10</v>
      </c>
      <c r="J233" s="120">
        <f t="shared" si="24"/>
        <v>-0.52380952380952384</v>
      </c>
      <c r="K233" s="119">
        <v>0</v>
      </c>
      <c r="L233" s="120">
        <f t="shared" si="24"/>
        <v>-1</v>
      </c>
      <c r="M233" s="119">
        <v>24</v>
      </c>
      <c r="N233" s="120" t="str">
        <f t="shared" si="25"/>
        <v>-</v>
      </c>
    </row>
    <row r="234" spans="2:15" x14ac:dyDescent="0.25">
      <c r="B234" s="118" t="s">
        <v>83</v>
      </c>
      <c r="C234" s="119">
        <v>0</v>
      </c>
      <c r="D234" s="120">
        <v>-1</v>
      </c>
      <c r="E234" s="119">
        <v>0</v>
      </c>
      <c r="F234" s="120" t="str">
        <f t="shared" si="24"/>
        <v>-</v>
      </c>
      <c r="G234" s="119">
        <v>7</v>
      </c>
      <c r="H234" s="120" t="str">
        <f t="shared" si="24"/>
        <v>-</v>
      </c>
      <c r="I234" s="119">
        <v>2</v>
      </c>
      <c r="J234" s="120">
        <f t="shared" si="24"/>
        <v>-0.7142857142857143</v>
      </c>
      <c r="K234" s="119">
        <v>176</v>
      </c>
      <c r="L234" s="120">
        <f t="shared" si="24"/>
        <v>87</v>
      </c>
      <c r="M234" s="119">
        <v>4</v>
      </c>
      <c r="N234" s="120">
        <f t="shared" si="25"/>
        <v>-0.97727272727272729</v>
      </c>
    </row>
    <row r="235" spans="2:15" x14ac:dyDescent="0.25">
      <c r="B235" s="118" t="s">
        <v>85</v>
      </c>
      <c r="C235" s="119">
        <v>0</v>
      </c>
      <c r="D235" s="120">
        <v>-1</v>
      </c>
      <c r="E235" s="119">
        <v>2</v>
      </c>
      <c r="F235" s="120" t="str">
        <f t="shared" si="24"/>
        <v>-</v>
      </c>
      <c r="G235" s="119">
        <v>17</v>
      </c>
      <c r="H235" s="120">
        <f t="shared" si="24"/>
        <v>7.5</v>
      </c>
      <c r="I235" s="119">
        <v>35</v>
      </c>
      <c r="J235" s="120">
        <f t="shared" si="24"/>
        <v>1.0588235294117645</v>
      </c>
      <c r="K235" s="119">
        <v>45</v>
      </c>
      <c r="L235" s="120">
        <f t="shared" si="24"/>
        <v>0.28571428571428581</v>
      </c>
      <c r="M235" s="119"/>
      <c r="N235" s="120"/>
    </row>
    <row r="236" spans="2:15" x14ac:dyDescent="0.25">
      <c r="B236" s="118" t="s">
        <v>87</v>
      </c>
      <c r="C236" s="119">
        <v>1</v>
      </c>
      <c r="D236" s="120">
        <v>0</v>
      </c>
      <c r="E236" s="119">
        <v>0</v>
      </c>
      <c r="F236" s="120">
        <f t="shared" si="24"/>
        <v>-1</v>
      </c>
      <c r="G236" s="119">
        <v>63</v>
      </c>
      <c r="H236" s="120" t="str">
        <f t="shared" si="24"/>
        <v>-</v>
      </c>
      <c r="I236" s="119">
        <v>6</v>
      </c>
      <c r="J236" s="120">
        <f t="shared" si="24"/>
        <v>-0.90476190476190477</v>
      </c>
      <c r="K236" s="119">
        <v>4</v>
      </c>
      <c r="L236" s="120">
        <f t="shared" si="24"/>
        <v>-0.33333333333333337</v>
      </c>
      <c r="M236" s="119"/>
      <c r="N236" s="120"/>
    </row>
    <row r="237" spans="2:15" x14ac:dyDescent="0.25">
      <c r="B237" s="118" t="s">
        <v>89</v>
      </c>
      <c r="C237" s="119">
        <v>2</v>
      </c>
      <c r="D237" s="120">
        <v>0</v>
      </c>
      <c r="E237" s="119">
        <v>1</v>
      </c>
      <c r="F237" s="120">
        <f t="shared" si="24"/>
        <v>-0.5</v>
      </c>
      <c r="G237" s="119">
        <v>27</v>
      </c>
      <c r="H237" s="120">
        <f t="shared" si="24"/>
        <v>26</v>
      </c>
      <c r="I237" s="119">
        <v>14</v>
      </c>
      <c r="J237" s="120">
        <f t="shared" si="24"/>
        <v>-0.48148148148148151</v>
      </c>
      <c r="K237" s="119">
        <v>36</v>
      </c>
      <c r="L237" s="120">
        <f t="shared" si="24"/>
        <v>1.5714285714285716</v>
      </c>
      <c r="M237" s="119"/>
      <c r="N237" s="120"/>
    </row>
    <row r="238" spans="2:15" x14ac:dyDescent="0.25">
      <c r="B238" s="118" t="s">
        <v>91</v>
      </c>
      <c r="C238" s="119">
        <v>0</v>
      </c>
      <c r="D238" s="120">
        <v>-1</v>
      </c>
      <c r="E238" s="119">
        <v>100</v>
      </c>
      <c r="F238" s="120" t="str">
        <f t="shared" si="24"/>
        <v>-</v>
      </c>
      <c r="G238" s="119">
        <v>46</v>
      </c>
      <c r="H238" s="120">
        <f t="shared" si="24"/>
        <v>-0.54</v>
      </c>
      <c r="I238" s="119">
        <v>6</v>
      </c>
      <c r="J238" s="120">
        <f t="shared" si="24"/>
        <v>-0.86956521739130432</v>
      </c>
      <c r="K238" s="119">
        <v>24</v>
      </c>
      <c r="L238" s="120">
        <f t="shared" si="24"/>
        <v>3</v>
      </c>
      <c r="M238" s="119"/>
      <c r="N238" s="120"/>
    </row>
    <row r="239" spans="2:15" x14ac:dyDescent="0.25">
      <c r="B239" s="118" t="s">
        <v>93</v>
      </c>
      <c r="C239" s="119">
        <v>18</v>
      </c>
      <c r="D239" s="120">
        <v>-0.53846153846153844</v>
      </c>
      <c r="E239" s="119">
        <v>57</v>
      </c>
      <c r="F239" s="120">
        <f t="shared" si="24"/>
        <v>2.1666666666666665</v>
      </c>
      <c r="G239" s="119">
        <v>40</v>
      </c>
      <c r="H239" s="120">
        <f t="shared" si="24"/>
        <v>-0.29824561403508776</v>
      </c>
      <c r="I239" s="119">
        <v>82</v>
      </c>
      <c r="J239" s="120">
        <f t="shared" si="24"/>
        <v>1.0499999999999998</v>
      </c>
      <c r="K239" s="119">
        <v>116</v>
      </c>
      <c r="L239" s="120">
        <f t="shared" si="24"/>
        <v>0.41463414634146334</v>
      </c>
      <c r="M239" s="119"/>
      <c r="N239" s="120"/>
    </row>
    <row r="240" spans="2:15" x14ac:dyDescent="0.25">
      <c r="B240" s="118" t="s">
        <v>95</v>
      </c>
      <c r="C240" s="119">
        <v>2</v>
      </c>
      <c r="D240" s="120">
        <v>-0.97297297297297303</v>
      </c>
      <c r="E240" s="119">
        <v>77</v>
      </c>
      <c r="F240" s="120">
        <f t="shared" si="24"/>
        <v>37.5</v>
      </c>
      <c r="G240" s="119">
        <v>101</v>
      </c>
      <c r="H240" s="120">
        <f t="shared" si="24"/>
        <v>0.31168831168831179</v>
      </c>
      <c r="I240" s="119">
        <v>34</v>
      </c>
      <c r="J240" s="120">
        <f t="shared" si="24"/>
        <v>-0.66336633663366329</v>
      </c>
      <c r="K240" s="119">
        <v>10</v>
      </c>
      <c r="L240" s="120">
        <f t="shared" si="24"/>
        <v>-0.70588235294117641</v>
      </c>
      <c r="M240" s="119"/>
      <c r="N240" s="120"/>
    </row>
    <row r="241" spans="2:15" ht="15.75" x14ac:dyDescent="0.25">
      <c r="B241" s="121" t="s">
        <v>32</v>
      </c>
      <c r="C241" s="122">
        <v>599</v>
      </c>
      <c r="D241" s="123">
        <v>0.3490990990990992</v>
      </c>
      <c r="E241" s="122">
        <v>275</v>
      </c>
      <c r="F241" s="123">
        <f t="shared" si="24"/>
        <v>-0.54090150250417368</v>
      </c>
      <c r="G241" s="122">
        <v>817</v>
      </c>
      <c r="H241" s="123">
        <f t="shared" si="24"/>
        <v>1.9709090909090907</v>
      </c>
      <c r="I241" s="122">
        <v>420</v>
      </c>
      <c r="J241" s="123">
        <f t="shared" si="24"/>
        <v>-0.48592411260709911</v>
      </c>
      <c r="K241" s="122">
        <v>782</v>
      </c>
      <c r="L241" s="123">
        <f t="shared" si="24"/>
        <v>0.86190476190476195</v>
      </c>
      <c r="M241" s="122">
        <v>310</v>
      </c>
      <c r="N241" s="123">
        <v>-0.43327239488116998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N244" s="81"/>
    </row>
    <row r="250" spans="2:15" ht="48.75" customHeight="1" thickBot="1" x14ac:dyDescent="0.3">
      <c r="B250" s="278" t="s">
        <v>282</v>
      </c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78"/>
      <c r="N250" s="278"/>
      <c r="O250" s="1" t="s">
        <v>149</v>
      </c>
    </row>
    <row r="251" spans="2:15" ht="10.5" customHeight="1" thickBot="1" x14ac:dyDescent="0.3">
      <c r="B251" s="108"/>
      <c r="C251" s="109"/>
      <c r="D251" s="108"/>
      <c r="E251" s="108"/>
      <c r="F251" s="108"/>
      <c r="G251" s="108"/>
      <c r="H251" s="108"/>
      <c r="I251" s="108"/>
      <c r="J251" s="108"/>
      <c r="K251" s="108"/>
      <c r="L251" s="108"/>
      <c r="M251" s="4"/>
      <c r="N251" s="4"/>
      <c r="O251" s="1" t="s">
        <v>150</v>
      </c>
    </row>
    <row r="252" spans="2:15" ht="22.5" thickTop="1" thickBot="1" x14ac:dyDescent="0.3">
      <c r="B252" s="125" t="str">
        <f>C252</f>
        <v>Suecia</v>
      </c>
      <c r="C252" s="303" t="s">
        <v>133</v>
      </c>
      <c r="D252" s="304"/>
      <c r="E252" s="304"/>
      <c r="F252" s="304"/>
      <c r="G252" s="304"/>
      <c r="H252" s="304"/>
      <c r="I252" s="304"/>
      <c r="J252" s="304"/>
      <c r="K252" s="304"/>
      <c r="L252" s="304"/>
      <c r="M252" s="304"/>
      <c r="N252" s="304"/>
    </row>
    <row r="253" spans="2:15" ht="22.5" thickTop="1" thickBot="1" x14ac:dyDescent="0.3">
      <c r="B253" s="111"/>
      <c r="C253" s="305">
        <f>$C$7</f>
        <v>2020</v>
      </c>
      <c r="D253" s="306"/>
      <c r="E253" s="307">
        <f>$E$7</f>
        <v>2021</v>
      </c>
      <c r="F253" s="306"/>
      <c r="G253" s="307">
        <f>$G$7</f>
        <v>2022</v>
      </c>
      <c r="H253" s="306"/>
      <c r="I253" s="307">
        <f>$I$7</f>
        <v>2023</v>
      </c>
      <c r="J253" s="306"/>
      <c r="K253" s="307">
        <f>$K$7</f>
        <v>2024</v>
      </c>
      <c r="L253" s="306"/>
      <c r="M253" s="307">
        <f>$M$7</f>
        <v>2025</v>
      </c>
      <c r="N253" s="308"/>
    </row>
    <row r="254" spans="2:15" ht="16.5" thickTop="1" thickBot="1" x14ac:dyDescent="0.3">
      <c r="B254" s="87"/>
      <c r="C254" s="115" t="s">
        <v>71</v>
      </c>
      <c r="D254" s="116" t="str">
        <f>CONCATENATE("var. ",RIGHT(C253,2),"/",RIGHT(C253-1,2))</f>
        <v>var. 20/19</v>
      </c>
      <c r="E254" s="117" t="s">
        <v>71</v>
      </c>
      <c r="F254" s="116" t="s">
        <v>248</v>
      </c>
      <c r="G254" s="117" t="s">
        <v>71</v>
      </c>
      <c r="H254" s="116" t="s">
        <v>248</v>
      </c>
      <c r="I254" s="117" t="s">
        <v>71</v>
      </c>
      <c r="J254" s="116" t="s">
        <v>248</v>
      </c>
      <c r="K254" s="117" t="s">
        <v>71</v>
      </c>
      <c r="L254" s="116" t="s">
        <v>248</v>
      </c>
      <c r="M254" s="117" t="s">
        <v>71</v>
      </c>
      <c r="N254" s="116" t="s">
        <v>272</v>
      </c>
    </row>
    <row r="255" spans="2:15" x14ac:dyDescent="0.25">
      <c r="B255" s="118" t="s">
        <v>73</v>
      </c>
      <c r="C255" s="119">
        <v>93</v>
      </c>
      <c r="D255" s="120">
        <v>0.66071428571428581</v>
      </c>
      <c r="E255" s="119">
        <v>23</v>
      </c>
      <c r="F255" s="120">
        <f t="shared" ref="F255:L267" si="26">IFERROR(E255/C255-1,"-")</f>
        <v>-0.75268817204301075</v>
      </c>
      <c r="G255" s="119">
        <v>107</v>
      </c>
      <c r="H255" s="120">
        <f t="shared" si="26"/>
        <v>3.6521739130434785</v>
      </c>
      <c r="I255" s="119">
        <v>236</v>
      </c>
      <c r="J255" s="120">
        <f t="shared" si="26"/>
        <v>1.2056074766355138</v>
      </c>
      <c r="K255" s="119">
        <v>448</v>
      </c>
      <c r="L255" s="120">
        <f t="shared" si="26"/>
        <v>0.89830508474576276</v>
      </c>
      <c r="M255" s="119">
        <v>203</v>
      </c>
      <c r="N255" s="120">
        <f t="shared" ref="N255:N260" si="27">IFERROR(M255/K255-1,"-")</f>
        <v>-0.546875</v>
      </c>
    </row>
    <row r="256" spans="2:15" x14ac:dyDescent="0.25">
      <c r="B256" s="118" t="s">
        <v>75</v>
      </c>
      <c r="C256" s="119">
        <v>98</v>
      </c>
      <c r="D256" s="120">
        <v>-0.24615384615384617</v>
      </c>
      <c r="E256" s="119">
        <v>14</v>
      </c>
      <c r="F256" s="120">
        <f t="shared" si="26"/>
        <v>-0.85714285714285721</v>
      </c>
      <c r="G256" s="119">
        <v>44</v>
      </c>
      <c r="H256" s="120">
        <f t="shared" si="26"/>
        <v>2.1428571428571428</v>
      </c>
      <c r="I256" s="119">
        <v>59</v>
      </c>
      <c r="J256" s="120">
        <f t="shared" si="26"/>
        <v>0.34090909090909083</v>
      </c>
      <c r="K256" s="119">
        <v>189</v>
      </c>
      <c r="L256" s="120">
        <f t="shared" si="26"/>
        <v>2.2033898305084745</v>
      </c>
      <c r="M256" s="119">
        <v>21</v>
      </c>
      <c r="N256" s="120">
        <f t="shared" si="27"/>
        <v>-0.88888888888888884</v>
      </c>
    </row>
    <row r="257" spans="2:14" x14ac:dyDescent="0.25">
      <c r="B257" s="118" t="s">
        <v>77</v>
      </c>
      <c r="C257" s="119">
        <v>19</v>
      </c>
      <c r="D257" s="120">
        <v>-0.80808080808080807</v>
      </c>
      <c r="E257" s="119">
        <v>33</v>
      </c>
      <c r="F257" s="120">
        <f t="shared" si="26"/>
        <v>0.73684210526315796</v>
      </c>
      <c r="G257" s="119">
        <v>23</v>
      </c>
      <c r="H257" s="120">
        <f t="shared" si="26"/>
        <v>-0.30303030303030298</v>
      </c>
      <c r="I257" s="119">
        <v>105</v>
      </c>
      <c r="J257" s="120">
        <f t="shared" si="26"/>
        <v>3.5652173913043477</v>
      </c>
      <c r="K257" s="119">
        <v>115</v>
      </c>
      <c r="L257" s="120">
        <f t="shared" si="26"/>
        <v>9.5238095238095344E-2</v>
      </c>
      <c r="M257" s="119">
        <v>104</v>
      </c>
      <c r="N257" s="120">
        <f t="shared" si="27"/>
        <v>-9.5652173913043481E-2</v>
      </c>
    </row>
    <row r="258" spans="2:14" x14ac:dyDescent="0.25">
      <c r="B258" s="118" t="s">
        <v>79</v>
      </c>
      <c r="C258" s="119">
        <v>0</v>
      </c>
      <c r="D258" s="120">
        <v>-1</v>
      </c>
      <c r="E258" s="119">
        <v>16</v>
      </c>
      <c r="F258" s="120" t="str">
        <f t="shared" si="26"/>
        <v>-</v>
      </c>
      <c r="G258" s="119">
        <v>4</v>
      </c>
      <c r="H258" s="120">
        <f t="shared" si="26"/>
        <v>-0.75</v>
      </c>
      <c r="I258" s="119">
        <v>66</v>
      </c>
      <c r="J258" s="120">
        <f t="shared" si="26"/>
        <v>15.5</v>
      </c>
      <c r="K258" s="119">
        <v>64</v>
      </c>
      <c r="L258" s="120">
        <f t="shared" si="26"/>
        <v>-3.0303030303030276E-2</v>
      </c>
      <c r="M258" s="119">
        <v>23</v>
      </c>
      <c r="N258" s="120">
        <f t="shared" si="27"/>
        <v>-0.640625</v>
      </c>
    </row>
    <row r="259" spans="2:14" x14ac:dyDescent="0.25">
      <c r="B259" s="118" t="s">
        <v>81</v>
      </c>
      <c r="C259" s="119">
        <v>0</v>
      </c>
      <c r="D259" s="120">
        <v>-1</v>
      </c>
      <c r="E259" s="119">
        <v>15</v>
      </c>
      <c r="F259" s="120" t="str">
        <f t="shared" si="26"/>
        <v>-</v>
      </c>
      <c r="G259" s="119">
        <v>10</v>
      </c>
      <c r="H259" s="120">
        <f t="shared" si="26"/>
        <v>-0.33333333333333337</v>
      </c>
      <c r="I259" s="119">
        <v>63</v>
      </c>
      <c r="J259" s="120">
        <f t="shared" si="26"/>
        <v>5.3</v>
      </c>
      <c r="K259" s="119">
        <v>6</v>
      </c>
      <c r="L259" s="120">
        <f t="shared" si="26"/>
        <v>-0.90476190476190477</v>
      </c>
      <c r="M259" s="119">
        <v>52</v>
      </c>
      <c r="N259" s="120">
        <f t="shared" si="27"/>
        <v>7.6666666666666661</v>
      </c>
    </row>
    <row r="260" spans="2:14" x14ac:dyDescent="0.25">
      <c r="B260" s="118" t="s">
        <v>83</v>
      </c>
      <c r="C260" s="119">
        <v>0</v>
      </c>
      <c r="D260" s="120">
        <v>-1</v>
      </c>
      <c r="E260" s="119">
        <v>10</v>
      </c>
      <c r="F260" s="120" t="str">
        <f t="shared" si="26"/>
        <v>-</v>
      </c>
      <c r="G260" s="119">
        <v>29</v>
      </c>
      <c r="H260" s="120">
        <f t="shared" si="26"/>
        <v>1.9</v>
      </c>
      <c r="I260" s="119">
        <v>48</v>
      </c>
      <c r="J260" s="120">
        <f t="shared" si="26"/>
        <v>0.65517241379310343</v>
      </c>
      <c r="K260" s="119">
        <v>0</v>
      </c>
      <c r="L260" s="120">
        <f t="shared" si="26"/>
        <v>-1</v>
      </c>
      <c r="M260" s="119">
        <v>30</v>
      </c>
      <c r="N260" s="120" t="str">
        <f t="shared" si="27"/>
        <v>-</v>
      </c>
    </row>
    <row r="261" spans="2:14" x14ac:dyDescent="0.25">
      <c r="B261" s="118" t="s">
        <v>85</v>
      </c>
      <c r="C261" s="119">
        <v>0</v>
      </c>
      <c r="D261" s="120">
        <v>-1</v>
      </c>
      <c r="E261" s="119">
        <v>7</v>
      </c>
      <c r="F261" s="120" t="str">
        <f t="shared" si="26"/>
        <v>-</v>
      </c>
      <c r="G261" s="119">
        <v>10</v>
      </c>
      <c r="H261" s="120">
        <f t="shared" si="26"/>
        <v>0.4285714285714286</v>
      </c>
      <c r="I261" s="119">
        <v>29</v>
      </c>
      <c r="J261" s="120">
        <f t="shared" si="26"/>
        <v>1.9</v>
      </c>
      <c r="K261" s="119">
        <v>2</v>
      </c>
      <c r="L261" s="120">
        <f t="shared" si="26"/>
        <v>-0.93103448275862066</v>
      </c>
      <c r="M261" s="119"/>
      <c r="N261" s="120"/>
    </row>
    <row r="262" spans="2:14" x14ac:dyDescent="0.25">
      <c r="B262" s="118" t="s">
        <v>87</v>
      </c>
      <c r="C262" s="119">
        <v>3</v>
      </c>
      <c r="D262" s="120">
        <v>-0.88888888888888884</v>
      </c>
      <c r="E262" s="119">
        <v>30</v>
      </c>
      <c r="F262" s="120">
        <f t="shared" si="26"/>
        <v>9</v>
      </c>
      <c r="G262" s="119">
        <v>12</v>
      </c>
      <c r="H262" s="120">
        <f t="shared" si="26"/>
        <v>-0.6</v>
      </c>
      <c r="I262" s="119">
        <v>34</v>
      </c>
      <c r="J262" s="120">
        <f t="shared" si="26"/>
        <v>1.8333333333333335</v>
      </c>
      <c r="K262" s="119">
        <v>23</v>
      </c>
      <c r="L262" s="120">
        <f t="shared" si="26"/>
        <v>-0.32352941176470584</v>
      </c>
      <c r="M262" s="119"/>
      <c r="N262" s="120"/>
    </row>
    <row r="263" spans="2:14" x14ac:dyDescent="0.25">
      <c r="B263" s="118" t="s">
        <v>89</v>
      </c>
      <c r="C263" s="119">
        <v>6</v>
      </c>
      <c r="D263" s="120" t="s">
        <v>229</v>
      </c>
      <c r="E263" s="119">
        <v>17</v>
      </c>
      <c r="F263" s="120">
        <f t="shared" si="26"/>
        <v>1.8333333333333335</v>
      </c>
      <c r="G263" s="119">
        <v>8</v>
      </c>
      <c r="H263" s="120">
        <f t="shared" si="26"/>
        <v>-0.52941176470588236</v>
      </c>
      <c r="I263" s="119">
        <v>40</v>
      </c>
      <c r="J263" s="120">
        <f t="shared" si="26"/>
        <v>4</v>
      </c>
      <c r="K263" s="119">
        <v>24</v>
      </c>
      <c r="L263" s="120">
        <f t="shared" si="26"/>
        <v>-0.4</v>
      </c>
      <c r="M263" s="119"/>
      <c r="N263" s="120"/>
    </row>
    <row r="264" spans="2:14" x14ac:dyDescent="0.25">
      <c r="B264" s="118" t="s">
        <v>91</v>
      </c>
      <c r="C264" s="119">
        <v>6</v>
      </c>
      <c r="D264" s="120">
        <v>-0.875</v>
      </c>
      <c r="E264" s="119">
        <v>7</v>
      </c>
      <c r="F264" s="120">
        <f t="shared" si="26"/>
        <v>0.16666666666666674</v>
      </c>
      <c r="G264" s="119">
        <v>20</v>
      </c>
      <c r="H264" s="120">
        <f t="shared" si="26"/>
        <v>1.8571428571428572</v>
      </c>
      <c r="I264" s="119">
        <v>26</v>
      </c>
      <c r="J264" s="120">
        <f t="shared" si="26"/>
        <v>0.30000000000000004</v>
      </c>
      <c r="K264" s="119">
        <v>122</v>
      </c>
      <c r="L264" s="120">
        <f t="shared" si="26"/>
        <v>3.6923076923076925</v>
      </c>
      <c r="M264" s="119"/>
      <c r="N264" s="120"/>
    </row>
    <row r="265" spans="2:14" x14ac:dyDescent="0.25">
      <c r="B265" s="118" t="s">
        <v>93</v>
      </c>
      <c r="C265" s="119">
        <v>20</v>
      </c>
      <c r="D265" s="120">
        <v>-0.87341772151898733</v>
      </c>
      <c r="E265" s="119">
        <v>45</v>
      </c>
      <c r="F265" s="120">
        <f t="shared" si="26"/>
        <v>1.25</v>
      </c>
      <c r="G265" s="119">
        <v>24</v>
      </c>
      <c r="H265" s="120">
        <f t="shared" si="26"/>
        <v>-0.46666666666666667</v>
      </c>
      <c r="I265" s="119">
        <v>97</v>
      </c>
      <c r="J265" s="120">
        <f t="shared" si="26"/>
        <v>3.041666666666667</v>
      </c>
      <c r="K265" s="119">
        <v>91</v>
      </c>
      <c r="L265" s="120">
        <f t="shared" si="26"/>
        <v>-6.1855670103092786E-2</v>
      </c>
      <c r="M265" s="119"/>
      <c r="N265" s="120"/>
    </row>
    <row r="266" spans="2:14" x14ac:dyDescent="0.25">
      <c r="B266" s="118" t="s">
        <v>95</v>
      </c>
      <c r="C266" s="119">
        <v>10</v>
      </c>
      <c r="D266" s="120">
        <v>-0.90909090909090906</v>
      </c>
      <c r="E266" s="119">
        <v>42</v>
      </c>
      <c r="F266" s="120">
        <f t="shared" si="26"/>
        <v>3.2</v>
      </c>
      <c r="G266" s="119">
        <v>94</v>
      </c>
      <c r="H266" s="120">
        <f t="shared" si="26"/>
        <v>1.2380952380952381</v>
      </c>
      <c r="I266" s="119">
        <v>147</v>
      </c>
      <c r="J266" s="120">
        <f t="shared" si="26"/>
        <v>0.56382978723404253</v>
      </c>
      <c r="K266" s="119">
        <v>160</v>
      </c>
      <c r="L266" s="120">
        <f t="shared" si="26"/>
        <v>8.8435374149659962E-2</v>
      </c>
      <c r="M266" s="119"/>
      <c r="N266" s="120"/>
    </row>
    <row r="267" spans="2:14" ht="15.75" x14ac:dyDescent="0.25">
      <c r="B267" s="121" t="s">
        <v>32</v>
      </c>
      <c r="C267" s="122">
        <v>259</v>
      </c>
      <c r="D267" s="123">
        <v>-0.62947067238912735</v>
      </c>
      <c r="E267" s="122">
        <v>259</v>
      </c>
      <c r="F267" s="123">
        <f t="shared" si="26"/>
        <v>0</v>
      </c>
      <c r="G267" s="122">
        <v>385</v>
      </c>
      <c r="H267" s="123">
        <f t="shared" si="26"/>
        <v>0.4864864864864864</v>
      </c>
      <c r="I267" s="122">
        <v>950</v>
      </c>
      <c r="J267" s="123">
        <f t="shared" si="26"/>
        <v>1.4675324675324677</v>
      </c>
      <c r="K267" s="122">
        <v>1244</v>
      </c>
      <c r="L267" s="123">
        <f t="shared" si="26"/>
        <v>0.30947368421052635</v>
      </c>
      <c r="M267" s="122">
        <v>433</v>
      </c>
      <c r="N267" s="123">
        <v>-0.47323600973236013</v>
      </c>
    </row>
    <row r="268" spans="2:14" ht="6" customHeight="1" x14ac:dyDescent="0.25"/>
    <row r="269" spans="2:14" x14ac:dyDescent="0.25">
      <c r="B269" s="107" t="s">
        <v>57</v>
      </c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</row>
    <row r="270" spans="2:14" x14ac:dyDescent="0.25">
      <c r="C270" s="124"/>
      <c r="K270" s="124"/>
      <c r="N270" s="81"/>
    </row>
  </sheetData>
  <mergeCells count="96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  <mergeCell ref="B92:N92"/>
    <mergeCell ref="C94:N94"/>
    <mergeCell ref="C95:D95"/>
    <mergeCell ref="E95:F95"/>
    <mergeCell ref="G95:H95"/>
    <mergeCell ref="I95:J95"/>
    <mergeCell ref="K95:L95"/>
    <mergeCell ref="M95:N95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50:N250"/>
    <mergeCell ref="C252:N252"/>
    <mergeCell ref="C253:D253"/>
    <mergeCell ref="E253:F253"/>
    <mergeCell ref="G253:H253"/>
    <mergeCell ref="I253:J253"/>
    <mergeCell ref="K253:L253"/>
    <mergeCell ref="M253:N253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FED8F-E3B5-438A-8467-F1873CF7C0DF}">
  <sheetPr>
    <tabColor rgb="FFF29140"/>
  </sheetPr>
  <dimension ref="A4:O93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4" max="4" width="12.140625" bestFit="1" customWidth="1"/>
    <col min="14" max="14" width="13.5703125" bestFit="1" customWidth="1"/>
  </cols>
  <sheetData>
    <row r="4" spans="1:15" ht="48.75" customHeight="1" thickBot="1" x14ac:dyDescent="0.3">
      <c r="B4" s="278" t="s">
        <v>270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3" t="s">
        <v>134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5" ht="22.5" thickTop="1" thickBot="1" x14ac:dyDescent="0.3">
      <c r="B7" s="111"/>
      <c r="C7" s="307">
        <f>E7-1</f>
        <v>2020</v>
      </c>
      <c r="D7" s="306"/>
      <c r="E7" s="307">
        <f>G7-1</f>
        <v>2021</v>
      </c>
      <c r="F7" s="306"/>
      <c r="G7" s="307">
        <f>I7-1</f>
        <v>2022</v>
      </c>
      <c r="H7" s="306"/>
      <c r="I7" s="307">
        <f>K7-1</f>
        <v>2023</v>
      </c>
      <c r="J7" s="306"/>
      <c r="K7" s="307">
        <f>M7-1</f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CONCATENATE("var ",RIGHT(C7,2),"/",RIGHT(C7-1,2))</f>
        <v>var 20/19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5" x14ac:dyDescent="0.25">
      <c r="A9" s="1" t="s">
        <v>72</v>
      </c>
      <c r="B9" s="118" t="s">
        <v>73</v>
      </c>
      <c r="C9" s="119">
        <v>13603</v>
      </c>
      <c r="D9" s="120">
        <v>9.4456512993804864E-2</v>
      </c>
      <c r="E9" s="119">
        <v>2763</v>
      </c>
      <c r="F9" s="120">
        <f t="shared" ref="F9:L21" si="0">IFERROR(E9/C9-1,"-")</f>
        <v>-0.79688304050577075</v>
      </c>
      <c r="G9" s="119">
        <v>11400</v>
      </c>
      <c r="H9" s="120">
        <f t="shared" si="0"/>
        <v>3.1259500542888166</v>
      </c>
      <c r="I9" s="119">
        <v>14353</v>
      </c>
      <c r="J9" s="120">
        <f t="shared" si="0"/>
        <v>0.25903508771929817</v>
      </c>
      <c r="K9" s="119">
        <v>14581</v>
      </c>
      <c r="L9" s="120">
        <f t="shared" si="0"/>
        <v>1.5885180798439258E-2</v>
      </c>
      <c r="M9" s="119">
        <v>14255</v>
      </c>
      <c r="N9" s="120">
        <f t="shared" ref="N9:N14" si="1">IFERROR(M9/K9-1,"-")</f>
        <v>-2.2357862972361309E-2</v>
      </c>
    </row>
    <row r="10" spans="1:15" x14ac:dyDescent="0.25">
      <c r="A10" s="1" t="s">
        <v>74</v>
      </c>
      <c r="B10" s="118" t="s">
        <v>75</v>
      </c>
      <c r="C10" s="119">
        <v>14342</v>
      </c>
      <c r="D10" s="120">
        <v>6.6081914814539511E-2</v>
      </c>
      <c r="E10" s="119">
        <v>3097</v>
      </c>
      <c r="F10" s="120">
        <f t="shared" si="0"/>
        <v>-0.78406080044624182</v>
      </c>
      <c r="G10" s="119">
        <v>11383</v>
      </c>
      <c r="H10" s="120">
        <f t="shared" si="0"/>
        <v>2.6754924120116241</v>
      </c>
      <c r="I10" s="119">
        <v>14251</v>
      </c>
      <c r="J10" s="120">
        <f t="shared" si="0"/>
        <v>0.25195466924360899</v>
      </c>
      <c r="K10" s="119">
        <v>15138</v>
      </c>
      <c r="L10" s="120">
        <f t="shared" si="0"/>
        <v>6.2241246228334823E-2</v>
      </c>
      <c r="M10" s="119">
        <v>13111</v>
      </c>
      <c r="N10" s="120">
        <f t="shared" si="1"/>
        <v>-0.1339014400845554</v>
      </c>
    </row>
    <row r="11" spans="1:15" x14ac:dyDescent="0.25">
      <c r="A11" s="1" t="s">
        <v>76</v>
      </c>
      <c r="B11" s="118" t="s">
        <v>77</v>
      </c>
      <c r="C11" s="119">
        <v>5714</v>
      </c>
      <c r="D11" s="120">
        <v>-0.58980617372577171</v>
      </c>
      <c r="E11" s="119">
        <v>4959</v>
      </c>
      <c r="F11" s="120">
        <f t="shared" si="0"/>
        <v>-0.13213160658032896</v>
      </c>
      <c r="G11" s="119">
        <v>12710</v>
      </c>
      <c r="H11" s="120">
        <f t="shared" si="0"/>
        <v>1.5630167372454125</v>
      </c>
      <c r="I11" s="119">
        <v>15603</v>
      </c>
      <c r="J11" s="120">
        <f t="shared" si="0"/>
        <v>0.22761605035405186</v>
      </c>
      <c r="K11" s="119">
        <v>15292</v>
      </c>
      <c r="L11" s="120">
        <f t="shared" si="0"/>
        <v>-1.9932064346599998E-2</v>
      </c>
      <c r="M11" s="119">
        <v>14094</v>
      </c>
      <c r="N11" s="120">
        <f t="shared" si="1"/>
        <v>-7.834161653151972E-2</v>
      </c>
    </row>
    <row r="12" spans="1:15" x14ac:dyDescent="0.25">
      <c r="A12" s="1" t="s">
        <v>78</v>
      </c>
      <c r="B12" s="118" t="s">
        <v>79</v>
      </c>
      <c r="C12" s="119">
        <v>0</v>
      </c>
      <c r="D12" s="120">
        <v>-1</v>
      </c>
      <c r="E12" s="119">
        <v>4088</v>
      </c>
      <c r="F12" s="120" t="str">
        <f t="shared" si="0"/>
        <v>-</v>
      </c>
      <c r="G12" s="119">
        <v>12193</v>
      </c>
      <c r="H12" s="120">
        <f t="shared" si="0"/>
        <v>1.9826320939334638</v>
      </c>
      <c r="I12" s="119">
        <v>12703</v>
      </c>
      <c r="J12" s="120">
        <f t="shared" si="0"/>
        <v>4.1827277946362651E-2</v>
      </c>
      <c r="K12" s="119">
        <v>13439</v>
      </c>
      <c r="L12" s="120">
        <f t="shared" si="0"/>
        <v>5.793906951113903E-2</v>
      </c>
      <c r="M12" s="119">
        <v>11979</v>
      </c>
      <c r="N12" s="120">
        <f t="shared" si="1"/>
        <v>-0.10863903564253297</v>
      </c>
    </row>
    <row r="13" spans="1:15" x14ac:dyDescent="0.25">
      <c r="A13" s="1" t="s">
        <v>80</v>
      </c>
      <c r="B13" s="118" t="s">
        <v>81</v>
      </c>
      <c r="C13" s="119">
        <v>0</v>
      </c>
      <c r="D13" s="120">
        <v>-1</v>
      </c>
      <c r="E13" s="119">
        <v>5644</v>
      </c>
      <c r="F13" s="120" t="str">
        <f t="shared" si="0"/>
        <v>-</v>
      </c>
      <c r="G13" s="119">
        <v>10085</v>
      </c>
      <c r="H13" s="120">
        <f t="shared" si="0"/>
        <v>0.78685329553508154</v>
      </c>
      <c r="I13" s="119">
        <v>12793</v>
      </c>
      <c r="J13" s="120">
        <f t="shared" si="0"/>
        <v>0.26851760039662875</v>
      </c>
      <c r="K13" s="119">
        <v>12513</v>
      </c>
      <c r="L13" s="120">
        <f t="shared" si="0"/>
        <v>-2.1886969436410553E-2</v>
      </c>
      <c r="M13" s="119">
        <v>13411</v>
      </c>
      <c r="N13" s="120">
        <f t="shared" si="1"/>
        <v>7.1765364021417755E-2</v>
      </c>
    </row>
    <row r="14" spans="1:15" x14ac:dyDescent="0.25">
      <c r="A14" s="1" t="s">
        <v>82</v>
      </c>
      <c r="B14" s="118" t="s">
        <v>83</v>
      </c>
      <c r="C14" s="119">
        <v>0</v>
      </c>
      <c r="D14" s="120">
        <v>-1</v>
      </c>
      <c r="E14" s="119">
        <v>5487</v>
      </c>
      <c r="F14" s="120" t="str">
        <f t="shared" si="0"/>
        <v>-</v>
      </c>
      <c r="G14" s="119">
        <v>11277</v>
      </c>
      <c r="H14" s="120">
        <f t="shared" si="0"/>
        <v>1.0552214324767633</v>
      </c>
      <c r="I14" s="119">
        <v>10373</v>
      </c>
      <c r="J14" s="120">
        <f t="shared" si="0"/>
        <v>-8.0163163962046591E-2</v>
      </c>
      <c r="K14" s="119">
        <v>10115</v>
      </c>
      <c r="L14" s="120">
        <f t="shared" si="0"/>
        <v>-2.4872264532922017E-2</v>
      </c>
      <c r="M14" s="119">
        <v>11658</v>
      </c>
      <c r="N14" s="120">
        <f t="shared" si="1"/>
        <v>0.15254572417202183</v>
      </c>
    </row>
    <row r="15" spans="1:15" x14ac:dyDescent="0.25">
      <c r="A15" s="1" t="s">
        <v>84</v>
      </c>
      <c r="B15" s="118" t="s">
        <v>85</v>
      </c>
      <c r="C15" s="119">
        <v>0</v>
      </c>
      <c r="D15" s="120">
        <v>-1</v>
      </c>
      <c r="E15" s="119">
        <v>5672</v>
      </c>
      <c r="F15" s="120" t="str">
        <f t="shared" si="0"/>
        <v>-</v>
      </c>
      <c r="G15" s="119">
        <v>10710</v>
      </c>
      <c r="H15" s="120">
        <f t="shared" si="0"/>
        <v>0.8882228490832158</v>
      </c>
      <c r="I15" s="119">
        <v>9594</v>
      </c>
      <c r="J15" s="120">
        <f t="shared" si="0"/>
        <v>-0.10420168067226887</v>
      </c>
      <c r="K15" s="119">
        <v>10140</v>
      </c>
      <c r="L15" s="120">
        <f t="shared" si="0"/>
        <v>5.6910569105691033E-2</v>
      </c>
      <c r="M15" s="119"/>
      <c r="N15" s="120"/>
    </row>
    <row r="16" spans="1:15" x14ac:dyDescent="0.25">
      <c r="A16" s="1" t="s">
        <v>86</v>
      </c>
      <c r="B16" s="118" t="s">
        <v>87</v>
      </c>
      <c r="C16" s="119">
        <v>6941</v>
      </c>
      <c r="D16" s="120">
        <v>-0.24357018308631206</v>
      </c>
      <c r="E16" s="119">
        <v>8587</v>
      </c>
      <c r="F16" s="120">
        <f t="shared" si="0"/>
        <v>0.23714162224463342</v>
      </c>
      <c r="G16" s="119">
        <v>10270</v>
      </c>
      <c r="H16" s="120">
        <f t="shared" si="0"/>
        <v>0.19599394433445916</v>
      </c>
      <c r="I16" s="119">
        <v>11871</v>
      </c>
      <c r="J16" s="120">
        <f t="shared" si="0"/>
        <v>0.15589094449853946</v>
      </c>
      <c r="K16" s="119">
        <v>9259</v>
      </c>
      <c r="L16" s="120">
        <f t="shared" si="0"/>
        <v>-0.22003201078257939</v>
      </c>
      <c r="M16" s="119"/>
      <c r="N16" s="120"/>
    </row>
    <row r="17" spans="1:15" x14ac:dyDescent="0.25">
      <c r="A17" s="1" t="s">
        <v>88</v>
      </c>
      <c r="B17" s="118" t="s">
        <v>89</v>
      </c>
      <c r="C17" s="119">
        <v>3767</v>
      </c>
      <c r="D17" s="120">
        <v>-0.5293015119330251</v>
      </c>
      <c r="E17" s="119">
        <v>9600</v>
      </c>
      <c r="F17" s="120">
        <f t="shared" si="0"/>
        <v>1.5484470400849482</v>
      </c>
      <c r="G17" s="119">
        <v>10967</v>
      </c>
      <c r="H17" s="120">
        <f t="shared" si="0"/>
        <v>0.14239583333333328</v>
      </c>
      <c r="I17" s="119">
        <v>10606</v>
      </c>
      <c r="J17" s="120">
        <f t="shared" si="0"/>
        <v>-3.2916932616029904E-2</v>
      </c>
      <c r="K17" s="119">
        <v>11345</v>
      </c>
      <c r="L17" s="120">
        <f t="shared" si="0"/>
        <v>6.9677541014520061E-2</v>
      </c>
      <c r="M17" s="119"/>
      <c r="N17" s="120"/>
    </row>
    <row r="18" spans="1:15" x14ac:dyDescent="0.25">
      <c r="A18" s="1" t="s">
        <v>90</v>
      </c>
      <c r="B18" s="118" t="s">
        <v>91</v>
      </c>
      <c r="C18" s="119">
        <v>3603</v>
      </c>
      <c r="D18" s="120">
        <v>-0.66124482888303882</v>
      </c>
      <c r="E18" s="119">
        <v>10119</v>
      </c>
      <c r="F18" s="120">
        <f t="shared" si="0"/>
        <v>1.8084929225645294</v>
      </c>
      <c r="G18" s="119">
        <v>11595</v>
      </c>
      <c r="H18" s="120">
        <f t="shared" si="0"/>
        <v>0.14586421583160392</v>
      </c>
      <c r="I18" s="119">
        <v>11107</v>
      </c>
      <c r="J18" s="120">
        <f t="shared" si="0"/>
        <v>-4.208710651142733E-2</v>
      </c>
      <c r="K18" s="119">
        <v>12187</v>
      </c>
      <c r="L18" s="120">
        <f t="shared" si="0"/>
        <v>9.7235977311605382E-2</v>
      </c>
      <c r="M18" s="119"/>
      <c r="N18" s="120"/>
    </row>
    <row r="19" spans="1:15" x14ac:dyDescent="0.25">
      <c r="A19" s="1" t="s">
        <v>92</v>
      </c>
      <c r="B19" s="118" t="s">
        <v>93</v>
      </c>
      <c r="C19" s="119">
        <v>3555</v>
      </c>
      <c r="D19" s="120">
        <v>-0.74897613331450352</v>
      </c>
      <c r="E19" s="119">
        <v>12186</v>
      </c>
      <c r="F19" s="120">
        <f t="shared" si="0"/>
        <v>2.4278481012658228</v>
      </c>
      <c r="G19" s="119">
        <v>13053</v>
      </c>
      <c r="H19" s="120">
        <f t="shared" si="0"/>
        <v>7.1147218119153033E-2</v>
      </c>
      <c r="I19" s="119">
        <v>13216</v>
      </c>
      <c r="J19" s="120">
        <f t="shared" si="0"/>
        <v>1.2487550754615828E-2</v>
      </c>
      <c r="K19" s="119">
        <v>14972</v>
      </c>
      <c r="L19" s="120">
        <f t="shared" si="0"/>
        <v>0.13286924939467304</v>
      </c>
      <c r="M19" s="119"/>
      <c r="N19" s="120"/>
    </row>
    <row r="20" spans="1:15" x14ac:dyDescent="0.25">
      <c r="A20" s="1" t="s">
        <v>94</v>
      </c>
      <c r="B20" s="118" t="s">
        <v>95</v>
      </c>
      <c r="C20" s="119">
        <v>4049</v>
      </c>
      <c r="D20" s="120">
        <v>-0.68901689708141323</v>
      </c>
      <c r="E20" s="119">
        <v>11200</v>
      </c>
      <c r="F20" s="120">
        <f t="shared" si="0"/>
        <v>1.766115090145715</v>
      </c>
      <c r="G20" s="119">
        <v>12114</v>
      </c>
      <c r="H20" s="120">
        <f t="shared" si="0"/>
        <v>8.1607142857142767E-2</v>
      </c>
      <c r="I20" s="119">
        <v>11864</v>
      </c>
      <c r="J20" s="120">
        <f t="shared" si="0"/>
        <v>-2.06372791811128E-2</v>
      </c>
      <c r="K20" s="119">
        <v>13319</v>
      </c>
      <c r="L20" s="120">
        <f t="shared" si="0"/>
        <v>0.12263991908293992</v>
      </c>
      <c r="M20" s="119"/>
      <c r="N20" s="120"/>
    </row>
    <row r="21" spans="1:15" ht="15.75" x14ac:dyDescent="0.25">
      <c r="A21" s="1"/>
      <c r="B21" s="121" t="s">
        <v>32</v>
      </c>
      <c r="C21" s="122">
        <v>59047</v>
      </c>
      <c r="D21" s="123">
        <v>-0.56623275494762204</v>
      </c>
      <c r="E21" s="122">
        <v>83402</v>
      </c>
      <c r="F21" s="123">
        <f t="shared" si="0"/>
        <v>0.41246803393906539</v>
      </c>
      <c r="G21" s="122">
        <v>137757</v>
      </c>
      <c r="H21" s="123">
        <f t="shared" si="0"/>
        <v>0.65172298026426234</v>
      </c>
      <c r="I21" s="122">
        <v>148334</v>
      </c>
      <c r="J21" s="123">
        <f t="shared" si="0"/>
        <v>7.6780127325653202E-2</v>
      </c>
      <c r="K21" s="122">
        <v>152300</v>
      </c>
      <c r="L21" s="123">
        <f t="shared" si="0"/>
        <v>2.6736958485579887E-2</v>
      </c>
      <c r="M21" s="122">
        <v>78508</v>
      </c>
      <c r="N21" s="123">
        <v>-3.169787118577172E-2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K24" s="124"/>
      <c r="N24" s="81"/>
    </row>
    <row r="26" spans="1:15" ht="48.75" customHeight="1" thickBot="1" x14ac:dyDescent="0.3">
      <c r="B26" s="278" t="s">
        <v>283</v>
      </c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3" t="s">
        <v>139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5" ht="22.5" thickTop="1" thickBot="1" x14ac:dyDescent="0.3">
      <c r="B29" s="111"/>
      <c r="C29" s="305">
        <f>C$7</f>
        <v>2020</v>
      </c>
      <c r="D29" s="306"/>
      <c r="E29" s="305">
        <f>E$7</f>
        <v>2021</v>
      </c>
      <c r="F29" s="306"/>
      <c r="G29" s="305">
        <f>G$7</f>
        <v>2022</v>
      </c>
      <c r="H29" s="306"/>
      <c r="I29" s="305">
        <f>I$7</f>
        <v>2023</v>
      </c>
      <c r="J29" s="306"/>
      <c r="K29" s="305">
        <f>K$7</f>
        <v>2024</v>
      </c>
      <c r="L29" s="306"/>
      <c r="M29" s="307">
        <f>M$7</f>
        <v>2025</v>
      </c>
      <c r="N29" s="308"/>
    </row>
    <row r="30" spans="1:15" ht="16.5" thickTop="1" thickBot="1" x14ac:dyDescent="0.3">
      <c r="B30" s="87"/>
      <c r="C30" s="115" t="s">
        <v>71</v>
      </c>
      <c r="D30" s="116" t="str">
        <f>CONCATENATE("var ",RIGHT(C29,2),"/",RIGHT(C29-1,2))</f>
        <v>var 20/19</v>
      </c>
      <c r="E30" s="117" t="s">
        <v>71</v>
      </c>
      <c r="F30" s="116" t="str">
        <f>CONCATENATE("var ",RIGHT(E29,2),"/",RIGHT(C29,2))</f>
        <v>var 21/20</v>
      </c>
      <c r="G30" s="117" t="s">
        <v>71</v>
      </c>
      <c r="H30" s="116" t="str">
        <f>CONCATENATE("var ",RIGHT(G29,2),"/",RIGHT(E29,2))</f>
        <v>var 22/21</v>
      </c>
      <c r="I30" s="117" t="s">
        <v>71</v>
      </c>
      <c r="J30" s="116" t="str">
        <f>CONCATENATE("var ",RIGHT(I29,2),"/",RIGHT(G29,2))</f>
        <v>var 23/22</v>
      </c>
      <c r="K30" s="117" t="s">
        <v>71</v>
      </c>
      <c r="L30" s="116" t="str">
        <f>CONCATENATE("var ",RIGHT(K29,2),"/",RIGHT(I29,2))</f>
        <v>var 24/23</v>
      </c>
      <c r="M30" s="117" t="s">
        <v>71</v>
      </c>
      <c r="N30" s="116" t="str">
        <f>CONCATENATE("var ",RIGHT(M29,2),"/",RIGHT(K29,2))</f>
        <v>var 25/24</v>
      </c>
    </row>
    <row r="31" spans="1:15" x14ac:dyDescent="0.25">
      <c r="B31" s="118" t="s">
        <v>73</v>
      </c>
      <c r="C31" s="119">
        <v>13603</v>
      </c>
      <c r="D31" s="120">
        <v>9.4456512993804864E-2</v>
      </c>
      <c r="E31" s="119">
        <v>2763</v>
      </c>
      <c r="F31" s="120">
        <f t="shared" ref="F31:J43" si="2">IFERROR(E31/C31-1,"-")</f>
        <v>-0.79688304050577075</v>
      </c>
      <c r="G31" s="119">
        <v>11400</v>
      </c>
      <c r="H31" s="120">
        <f t="shared" si="2"/>
        <v>3.1259500542888166</v>
      </c>
      <c r="I31" s="119">
        <v>14353</v>
      </c>
      <c r="J31" s="120">
        <f t="shared" si="2"/>
        <v>0.25903508771929817</v>
      </c>
      <c r="K31" s="119">
        <v>14581</v>
      </c>
      <c r="L31" s="120">
        <f t="shared" ref="L31:L43" si="3">IFERROR(K31/I31-1,"-")</f>
        <v>1.5885180798439258E-2</v>
      </c>
      <c r="M31" s="119">
        <v>14255</v>
      </c>
      <c r="N31" s="120">
        <f t="shared" ref="N31:N36" si="4">IFERROR(M31/K31-1,"-")</f>
        <v>-2.2357862972361309E-2</v>
      </c>
    </row>
    <row r="32" spans="1:15" x14ac:dyDescent="0.25">
      <c r="B32" s="118" t="s">
        <v>75</v>
      </c>
      <c r="C32" s="119">
        <v>14342</v>
      </c>
      <c r="D32" s="120">
        <v>6.6081914814539511E-2</v>
      </c>
      <c r="E32" s="119">
        <v>3097</v>
      </c>
      <c r="F32" s="120">
        <f t="shared" si="2"/>
        <v>-0.78406080044624182</v>
      </c>
      <c r="G32" s="119">
        <v>11383</v>
      </c>
      <c r="H32" s="120">
        <f t="shared" si="2"/>
        <v>2.6754924120116241</v>
      </c>
      <c r="I32" s="119">
        <v>14251</v>
      </c>
      <c r="J32" s="120">
        <f t="shared" si="2"/>
        <v>0.25195466924360899</v>
      </c>
      <c r="K32" s="119">
        <v>15138</v>
      </c>
      <c r="L32" s="120">
        <f t="shared" si="3"/>
        <v>6.2241246228334823E-2</v>
      </c>
      <c r="M32" s="119">
        <v>13111</v>
      </c>
      <c r="N32" s="120">
        <f t="shared" si="4"/>
        <v>-0.1339014400845554</v>
      </c>
    </row>
    <row r="33" spans="2:15" x14ac:dyDescent="0.25">
      <c r="B33" s="118" t="s">
        <v>77</v>
      </c>
      <c r="C33" s="119">
        <v>5714</v>
      </c>
      <c r="D33" s="120">
        <v>-0.58980617372577171</v>
      </c>
      <c r="E33" s="119">
        <v>4959</v>
      </c>
      <c r="F33" s="120">
        <f t="shared" si="2"/>
        <v>-0.13213160658032896</v>
      </c>
      <c r="G33" s="119">
        <v>12710</v>
      </c>
      <c r="H33" s="120">
        <f t="shared" si="2"/>
        <v>1.5630167372454125</v>
      </c>
      <c r="I33" s="119">
        <v>15603</v>
      </c>
      <c r="J33" s="120">
        <f t="shared" si="2"/>
        <v>0.22761605035405186</v>
      </c>
      <c r="K33" s="119">
        <v>15292</v>
      </c>
      <c r="L33" s="120">
        <f t="shared" si="3"/>
        <v>-1.9932064346599998E-2</v>
      </c>
      <c r="M33" s="119">
        <v>14094</v>
      </c>
      <c r="N33" s="120">
        <f t="shared" si="4"/>
        <v>-7.834161653151972E-2</v>
      </c>
    </row>
    <row r="34" spans="2:15" x14ac:dyDescent="0.25">
      <c r="B34" s="118" t="s">
        <v>79</v>
      </c>
      <c r="C34" s="119">
        <v>0</v>
      </c>
      <c r="D34" s="120">
        <v>-1</v>
      </c>
      <c r="E34" s="119">
        <v>4088</v>
      </c>
      <c r="F34" s="120" t="str">
        <f t="shared" si="2"/>
        <v>-</v>
      </c>
      <c r="G34" s="119">
        <v>12193</v>
      </c>
      <c r="H34" s="120">
        <f t="shared" si="2"/>
        <v>1.9826320939334638</v>
      </c>
      <c r="I34" s="119">
        <v>12703</v>
      </c>
      <c r="J34" s="120">
        <f t="shared" si="2"/>
        <v>4.1827277946362651E-2</v>
      </c>
      <c r="K34" s="119">
        <v>13439</v>
      </c>
      <c r="L34" s="120">
        <f t="shared" si="3"/>
        <v>5.793906951113903E-2</v>
      </c>
      <c r="M34" s="119">
        <v>11979</v>
      </c>
      <c r="N34" s="120">
        <f t="shared" si="4"/>
        <v>-0.10863903564253297</v>
      </c>
    </row>
    <row r="35" spans="2:15" x14ac:dyDescent="0.25">
      <c r="B35" s="118" t="s">
        <v>81</v>
      </c>
      <c r="C35" s="119">
        <v>0</v>
      </c>
      <c r="D35" s="120">
        <v>-1</v>
      </c>
      <c r="E35" s="119">
        <v>5644</v>
      </c>
      <c r="F35" s="120" t="str">
        <f t="shared" si="2"/>
        <v>-</v>
      </c>
      <c r="G35" s="119">
        <v>10085</v>
      </c>
      <c r="H35" s="120">
        <f t="shared" si="2"/>
        <v>0.78685329553508154</v>
      </c>
      <c r="I35" s="119">
        <v>12793</v>
      </c>
      <c r="J35" s="120">
        <f t="shared" si="2"/>
        <v>0.26851760039662875</v>
      </c>
      <c r="K35" s="119">
        <v>12513</v>
      </c>
      <c r="L35" s="120">
        <f t="shared" si="3"/>
        <v>-2.1886969436410553E-2</v>
      </c>
      <c r="M35" s="119">
        <v>13411</v>
      </c>
      <c r="N35" s="120">
        <f t="shared" si="4"/>
        <v>7.1765364021417755E-2</v>
      </c>
    </row>
    <row r="36" spans="2:15" x14ac:dyDescent="0.25">
      <c r="B36" s="118" t="s">
        <v>83</v>
      </c>
      <c r="C36" s="119">
        <v>0</v>
      </c>
      <c r="D36" s="120">
        <v>-1</v>
      </c>
      <c r="E36" s="119">
        <v>5487</v>
      </c>
      <c r="F36" s="120" t="str">
        <f t="shared" si="2"/>
        <v>-</v>
      </c>
      <c r="G36" s="119">
        <v>11277</v>
      </c>
      <c r="H36" s="120">
        <f t="shared" si="2"/>
        <v>1.0552214324767633</v>
      </c>
      <c r="I36" s="119">
        <v>10373</v>
      </c>
      <c r="J36" s="120">
        <f t="shared" si="2"/>
        <v>-8.0163163962046591E-2</v>
      </c>
      <c r="K36" s="119">
        <v>10115</v>
      </c>
      <c r="L36" s="120">
        <f t="shared" si="3"/>
        <v>-2.4872264532922017E-2</v>
      </c>
      <c r="M36" s="119">
        <v>11658</v>
      </c>
      <c r="N36" s="120">
        <f t="shared" si="4"/>
        <v>0.15254572417202183</v>
      </c>
    </row>
    <row r="37" spans="2:15" x14ac:dyDescent="0.25">
      <c r="B37" s="118" t="s">
        <v>85</v>
      </c>
      <c r="C37" s="119">
        <v>0</v>
      </c>
      <c r="D37" s="120">
        <v>-1</v>
      </c>
      <c r="E37" s="119">
        <v>5672</v>
      </c>
      <c r="F37" s="120" t="str">
        <f t="shared" si="2"/>
        <v>-</v>
      </c>
      <c r="G37" s="119">
        <v>10710</v>
      </c>
      <c r="H37" s="120">
        <f t="shared" si="2"/>
        <v>0.8882228490832158</v>
      </c>
      <c r="I37" s="119">
        <v>9594</v>
      </c>
      <c r="J37" s="120">
        <f t="shared" si="2"/>
        <v>-0.10420168067226887</v>
      </c>
      <c r="K37" s="119">
        <v>10140</v>
      </c>
      <c r="L37" s="120">
        <f t="shared" si="3"/>
        <v>5.6910569105691033E-2</v>
      </c>
      <c r="M37" s="119"/>
      <c r="N37" s="120"/>
    </row>
    <row r="38" spans="2:15" x14ac:dyDescent="0.25">
      <c r="B38" s="118" t="s">
        <v>87</v>
      </c>
      <c r="C38" s="119">
        <v>6941</v>
      </c>
      <c r="D38" s="120">
        <v>-0.24357018308631206</v>
      </c>
      <c r="E38" s="119">
        <v>8587</v>
      </c>
      <c r="F38" s="120">
        <f t="shared" si="2"/>
        <v>0.23714162224463342</v>
      </c>
      <c r="G38" s="119">
        <v>10270</v>
      </c>
      <c r="H38" s="120">
        <f t="shared" si="2"/>
        <v>0.19599394433445916</v>
      </c>
      <c r="I38" s="119">
        <v>11871</v>
      </c>
      <c r="J38" s="120">
        <f t="shared" si="2"/>
        <v>0.15589094449853946</v>
      </c>
      <c r="K38" s="119">
        <v>9259</v>
      </c>
      <c r="L38" s="120">
        <f t="shared" si="3"/>
        <v>-0.22003201078257939</v>
      </c>
      <c r="M38" s="119"/>
      <c r="N38" s="120"/>
    </row>
    <row r="39" spans="2:15" x14ac:dyDescent="0.25">
      <c r="B39" s="118" t="s">
        <v>89</v>
      </c>
      <c r="C39" s="119">
        <v>3767</v>
      </c>
      <c r="D39" s="120">
        <v>-0.5293015119330251</v>
      </c>
      <c r="E39" s="119">
        <v>9600</v>
      </c>
      <c r="F39" s="120">
        <f t="shared" si="2"/>
        <v>1.5484470400849482</v>
      </c>
      <c r="G39" s="119">
        <v>10967</v>
      </c>
      <c r="H39" s="120">
        <f t="shared" si="2"/>
        <v>0.14239583333333328</v>
      </c>
      <c r="I39" s="119">
        <v>10606</v>
      </c>
      <c r="J39" s="120">
        <f t="shared" si="2"/>
        <v>-3.2916932616029904E-2</v>
      </c>
      <c r="K39" s="119">
        <v>11345</v>
      </c>
      <c r="L39" s="120">
        <f t="shared" si="3"/>
        <v>6.9677541014520061E-2</v>
      </c>
      <c r="M39" s="119"/>
      <c r="N39" s="120"/>
    </row>
    <row r="40" spans="2:15" x14ac:dyDescent="0.25">
      <c r="B40" s="118" t="s">
        <v>91</v>
      </c>
      <c r="C40" s="119">
        <v>3603</v>
      </c>
      <c r="D40" s="120">
        <v>-0.66124482888303882</v>
      </c>
      <c r="E40" s="119">
        <v>10119</v>
      </c>
      <c r="F40" s="120">
        <f t="shared" si="2"/>
        <v>1.8084929225645294</v>
      </c>
      <c r="G40" s="119">
        <v>11595</v>
      </c>
      <c r="H40" s="120">
        <f t="shared" si="2"/>
        <v>0.14586421583160392</v>
      </c>
      <c r="I40" s="119">
        <v>11107</v>
      </c>
      <c r="J40" s="120">
        <f t="shared" si="2"/>
        <v>-4.208710651142733E-2</v>
      </c>
      <c r="K40" s="119">
        <v>12187</v>
      </c>
      <c r="L40" s="120">
        <f t="shared" si="3"/>
        <v>9.7235977311605382E-2</v>
      </c>
      <c r="M40" s="119"/>
      <c r="N40" s="120"/>
    </row>
    <row r="41" spans="2:15" x14ac:dyDescent="0.25">
      <c r="B41" s="118" t="s">
        <v>93</v>
      </c>
      <c r="C41" s="119">
        <v>3555</v>
      </c>
      <c r="D41" s="120">
        <v>-0.74897613331450352</v>
      </c>
      <c r="E41" s="119">
        <v>12186</v>
      </c>
      <c r="F41" s="120">
        <f t="shared" si="2"/>
        <v>2.4278481012658228</v>
      </c>
      <c r="G41" s="119">
        <v>13053</v>
      </c>
      <c r="H41" s="120">
        <f t="shared" si="2"/>
        <v>7.1147218119153033E-2</v>
      </c>
      <c r="I41" s="119">
        <v>13216</v>
      </c>
      <c r="J41" s="120">
        <f t="shared" si="2"/>
        <v>1.2487550754615828E-2</v>
      </c>
      <c r="K41" s="119">
        <v>14972</v>
      </c>
      <c r="L41" s="120">
        <f t="shared" si="3"/>
        <v>0.13286924939467304</v>
      </c>
      <c r="M41" s="119"/>
      <c r="N41" s="120"/>
    </row>
    <row r="42" spans="2:15" x14ac:dyDescent="0.25">
      <c r="B42" s="118" t="s">
        <v>95</v>
      </c>
      <c r="C42" s="119">
        <v>4049</v>
      </c>
      <c r="D42" s="120">
        <v>-0.68901689708141323</v>
      </c>
      <c r="E42" s="119">
        <v>11200</v>
      </c>
      <c r="F42" s="120">
        <f t="shared" si="2"/>
        <v>1.766115090145715</v>
      </c>
      <c r="G42" s="119">
        <v>12114</v>
      </c>
      <c r="H42" s="120">
        <f t="shared" si="2"/>
        <v>8.1607142857142767E-2</v>
      </c>
      <c r="I42" s="119">
        <v>11864</v>
      </c>
      <c r="J42" s="120">
        <f t="shared" si="2"/>
        <v>-2.06372791811128E-2</v>
      </c>
      <c r="K42" s="119">
        <v>13319</v>
      </c>
      <c r="L42" s="120">
        <f t="shared" si="3"/>
        <v>0.12263991908293992</v>
      </c>
      <c r="M42" s="119"/>
      <c r="N42" s="120"/>
    </row>
    <row r="43" spans="2:15" ht="15.75" x14ac:dyDescent="0.25">
      <c r="B43" s="121" t="s">
        <v>32</v>
      </c>
      <c r="C43" s="122">
        <v>59047</v>
      </c>
      <c r="D43" s="123">
        <v>-0.56623275494762204</v>
      </c>
      <c r="E43" s="122">
        <v>83402</v>
      </c>
      <c r="F43" s="123">
        <f t="shared" si="2"/>
        <v>0.41246803393906539</v>
      </c>
      <c r="G43" s="122">
        <v>137757</v>
      </c>
      <c r="H43" s="123">
        <f t="shared" si="2"/>
        <v>0.65172298026426234</v>
      </c>
      <c r="I43" s="122">
        <v>148334</v>
      </c>
      <c r="J43" s="123">
        <f t="shared" si="2"/>
        <v>7.6780127325653202E-2</v>
      </c>
      <c r="K43" s="122">
        <v>152300</v>
      </c>
      <c r="L43" s="123">
        <f t="shared" si="3"/>
        <v>2.6736958485579887E-2</v>
      </c>
      <c r="M43" s="122">
        <v>78508</v>
      </c>
      <c r="N43" s="123">
        <v>-3.169787118577172E-2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8" spans="2:15" ht="48.75" customHeight="1" thickBot="1" x14ac:dyDescent="0.3">
      <c r="B48" s="278" t="s">
        <v>284</v>
      </c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3" t="s">
        <v>151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1:15" ht="22.5" thickTop="1" thickBot="1" x14ac:dyDescent="0.3">
      <c r="B51" s="111"/>
      <c r="C51" s="305">
        <f>C$7</f>
        <v>2020</v>
      </c>
      <c r="D51" s="306"/>
      <c r="E51" s="305">
        <f>E$7</f>
        <v>2021</v>
      </c>
      <c r="F51" s="306"/>
      <c r="G51" s="305">
        <f>G$7</f>
        <v>2022</v>
      </c>
      <c r="H51" s="306"/>
      <c r="I51" s="305">
        <f>I$7</f>
        <v>2023</v>
      </c>
      <c r="J51" s="306"/>
      <c r="K51" s="305">
        <f>K$7</f>
        <v>2024</v>
      </c>
      <c r="L51" s="306"/>
      <c r="M51" s="307">
        <f>M$7</f>
        <v>2025</v>
      </c>
      <c r="N51" s="308"/>
    </row>
    <row r="52" spans="1:15" ht="16.5" thickTop="1" thickBot="1" x14ac:dyDescent="0.3">
      <c r="B52" s="87"/>
      <c r="C52" s="115" t="s">
        <v>71</v>
      </c>
      <c r="D52" s="116" t="str">
        <f>CONCATENATE("var ",RIGHT(C51,2),"/",RIGHT(C51-1,2))</f>
        <v>var 20/19</v>
      </c>
      <c r="E52" s="117" t="s">
        <v>71</v>
      </c>
      <c r="F52" s="116" t="str">
        <f>CONCATENATE("var ",RIGHT(E51,2),"/",RIGHT(C51,2))</f>
        <v>var 21/20</v>
      </c>
      <c r="G52" s="117" t="s">
        <v>71</v>
      </c>
      <c r="H52" s="116" t="str">
        <f>CONCATENATE("var ",RIGHT(G51,2),"/",RIGHT(E51,2))</f>
        <v>var 22/21</v>
      </c>
      <c r="I52" s="117" t="s">
        <v>71</v>
      </c>
      <c r="J52" s="116" t="str">
        <f>CONCATENATE("var ",RIGHT(I51,2),"/",RIGHT(G51,2))</f>
        <v>var 23/22</v>
      </c>
      <c r="K52" s="117" t="s">
        <v>71</v>
      </c>
      <c r="L52" s="116" t="str">
        <f>CONCATENATE("var ",RIGHT(K51,2),"/",RIGHT(I51,2))</f>
        <v>var 24/23</v>
      </c>
      <c r="M52" s="117" t="s">
        <v>71</v>
      </c>
      <c r="N52" s="116" t="str">
        <f>CONCATENATE("var ",RIGHT(M51,2),"/",RIGHT(K51,2))</f>
        <v>var 25/24</v>
      </c>
    </row>
    <row r="53" spans="1:15" x14ac:dyDescent="0.25">
      <c r="A53" s="1"/>
      <c r="B53" s="118" t="s">
        <v>73</v>
      </c>
      <c r="C53" s="119">
        <v>11286</v>
      </c>
      <c r="D53" s="120">
        <v>8.581874158168179E-2</v>
      </c>
      <c r="E53" s="119">
        <v>0</v>
      </c>
      <c r="F53" s="120">
        <f t="shared" ref="F53:J65" si="5">IFERROR(E53/C53-1,"-")</f>
        <v>-1</v>
      </c>
      <c r="G53" s="119">
        <v>0</v>
      </c>
      <c r="H53" s="120" t="str">
        <f t="shared" si="5"/>
        <v>-</v>
      </c>
      <c r="I53" s="119">
        <v>12972</v>
      </c>
      <c r="J53" s="120" t="str">
        <f t="shared" si="5"/>
        <v>-</v>
      </c>
      <c r="K53" s="119">
        <v>13093</v>
      </c>
      <c r="L53" s="120">
        <f t="shared" ref="L53:L65" si="6">IFERROR(K53/I53-1,"-")</f>
        <v>9.3277829170521631E-3</v>
      </c>
      <c r="M53" s="119">
        <v>12738</v>
      </c>
      <c r="N53" s="120">
        <f t="shared" ref="N53:N58" si="7">IFERROR(M53/K53-1,"-")</f>
        <v>-2.711372489116326E-2</v>
      </c>
    </row>
    <row r="54" spans="1:15" x14ac:dyDescent="0.25">
      <c r="A54" s="1">
        <v>2</v>
      </c>
      <c r="B54" s="118" t="s">
        <v>75</v>
      </c>
      <c r="C54" s="119">
        <v>11308</v>
      </c>
      <c r="D54" s="120">
        <v>-1.2365306482953198E-3</v>
      </c>
      <c r="E54" s="119">
        <v>0</v>
      </c>
      <c r="F54" s="120">
        <f t="shared" si="5"/>
        <v>-1</v>
      </c>
      <c r="G54" s="119">
        <v>0</v>
      </c>
      <c r="H54" s="120" t="str">
        <f t="shared" si="5"/>
        <v>-</v>
      </c>
      <c r="I54" s="119">
        <v>12909</v>
      </c>
      <c r="J54" s="120" t="str">
        <f t="shared" si="5"/>
        <v>-</v>
      </c>
      <c r="K54" s="119">
        <v>13468</v>
      </c>
      <c r="L54" s="120">
        <f t="shared" si="6"/>
        <v>4.3303121852970694E-2</v>
      </c>
      <c r="M54" s="119">
        <v>11624</v>
      </c>
      <c r="N54" s="120">
        <f t="shared" si="7"/>
        <v>-0.13691713691713692</v>
      </c>
    </row>
    <row r="55" spans="1:15" x14ac:dyDescent="0.25">
      <c r="A55" s="1">
        <v>3</v>
      </c>
      <c r="B55" s="118" t="s">
        <v>77</v>
      </c>
      <c r="C55" s="119">
        <v>4549</v>
      </c>
      <c r="D55" s="120">
        <v>-0.58521017598249292</v>
      </c>
      <c r="E55" s="119">
        <v>0</v>
      </c>
      <c r="F55" s="120">
        <f t="shared" si="5"/>
        <v>-1</v>
      </c>
      <c r="G55" s="119">
        <v>0</v>
      </c>
      <c r="H55" s="120" t="str">
        <f t="shared" si="5"/>
        <v>-</v>
      </c>
      <c r="I55" s="119">
        <v>14183</v>
      </c>
      <c r="J55" s="120" t="str">
        <f t="shared" si="5"/>
        <v>-</v>
      </c>
      <c r="K55" s="119">
        <v>13753</v>
      </c>
      <c r="L55" s="120">
        <f t="shared" si="6"/>
        <v>-3.0317986321652723E-2</v>
      </c>
      <c r="M55" s="119">
        <v>12541</v>
      </c>
      <c r="N55" s="120">
        <f t="shared" si="7"/>
        <v>-8.8126227005017044E-2</v>
      </c>
    </row>
    <row r="56" spans="1:15" x14ac:dyDescent="0.25">
      <c r="A56" s="1">
        <v>4</v>
      </c>
      <c r="B56" s="118" t="s">
        <v>79</v>
      </c>
      <c r="C56" s="119">
        <v>0</v>
      </c>
      <c r="D56" s="120">
        <v>-1</v>
      </c>
      <c r="E56" s="119">
        <v>0</v>
      </c>
      <c r="F56" s="120" t="str">
        <f t="shared" si="5"/>
        <v>-</v>
      </c>
      <c r="G56" s="119">
        <v>11421</v>
      </c>
      <c r="H56" s="120" t="str">
        <f t="shared" si="5"/>
        <v>-</v>
      </c>
      <c r="I56" s="119">
        <v>11501</v>
      </c>
      <c r="J56" s="120">
        <f t="shared" si="5"/>
        <v>7.0046405743804385E-3</v>
      </c>
      <c r="K56" s="119">
        <v>12269</v>
      </c>
      <c r="L56" s="120">
        <f t="shared" si="6"/>
        <v>6.6776802017215919E-2</v>
      </c>
      <c r="M56" s="119">
        <v>10741</v>
      </c>
      <c r="N56" s="120">
        <f t="shared" si="7"/>
        <v>-0.12454152742684821</v>
      </c>
    </row>
    <row r="57" spans="1:15" x14ac:dyDescent="0.25">
      <c r="A57" s="1">
        <v>5</v>
      </c>
      <c r="B57" s="118" t="s">
        <v>81</v>
      </c>
      <c r="C57" s="119">
        <v>0</v>
      </c>
      <c r="D57" s="120">
        <v>-1</v>
      </c>
      <c r="E57" s="119">
        <v>0</v>
      </c>
      <c r="F57" s="120" t="str">
        <f t="shared" si="5"/>
        <v>-</v>
      </c>
      <c r="G57" s="119">
        <v>9235</v>
      </c>
      <c r="H57" s="120" t="str">
        <f t="shared" si="5"/>
        <v>-</v>
      </c>
      <c r="I57" s="119">
        <v>11901</v>
      </c>
      <c r="J57" s="120">
        <f t="shared" si="5"/>
        <v>0.28868435300487283</v>
      </c>
      <c r="K57" s="119">
        <v>11514</v>
      </c>
      <c r="L57" s="120">
        <f t="shared" si="6"/>
        <v>-3.2518275775144989E-2</v>
      </c>
      <c r="M57" s="119">
        <v>11973</v>
      </c>
      <c r="N57" s="120">
        <f t="shared" si="7"/>
        <v>3.9864512767066262E-2</v>
      </c>
    </row>
    <row r="58" spans="1:15" x14ac:dyDescent="0.25">
      <c r="A58" s="1">
        <v>6</v>
      </c>
      <c r="B58" s="118" t="s">
        <v>83</v>
      </c>
      <c r="C58" s="119">
        <v>0</v>
      </c>
      <c r="D58" s="120">
        <v>-1</v>
      </c>
      <c r="E58" s="119">
        <v>0</v>
      </c>
      <c r="F58" s="120" t="str">
        <f t="shared" si="5"/>
        <v>-</v>
      </c>
      <c r="G58" s="119">
        <v>10531</v>
      </c>
      <c r="H58" s="120" t="str">
        <f t="shared" si="5"/>
        <v>-</v>
      </c>
      <c r="I58" s="119">
        <v>9518</v>
      </c>
      <c r="J58" s="120">
        <f t="shared" si="5"/>
        <v>-9.619219447345928E-2</v>
      </c>
      <c r="K58" s="119">
        <v>9062</v>
      </c>
      <c r="L58" s="120">
        <f t="shared" si="6"/>
        <v>-4.7909224627022517E-2</v>
      </c>
      <c r="M58" s="119">
        <v>10628</v>
      </c>
      <c r="N58" s="120">
        <f t="shared" si="7"/>
        <v>0.17280953431913493</v>
      </c>
    </row>
    <row r="59" spans="1:15" x14ac:dyDescent="0.25">
      <c r="A59" s="1">
        <v>7</v>
      </c>
      <c r="B59" s="118" t="s">
        <v>85</v>
      </c>
      <c r="C59" s="119">
        <v>0</v>
      </c>
      <c r="D59" s="120">
        <v>-1</v>
      </c>
      <c r="E59" s="119">
        <v>0</v>
      </c>
      <c r="F59" s="120" t="str">
        <f t="shared" si="5"/>
        <v>-</v>
      </c>
      <c r="G59" s="119">
        <v>9731</v>
      </c>
      <c r="H59" s="120" t="str">
        <f t="shared" si="5"/>
        <v>-</v>
      </c>
      <c r="I59" s="119">
        <v>0</v>
      </c>
      <c r="J59" s="120">
        <f t="shared" si="5"/>
        <v>-1</v>
      </c>
      <c r="K59" s="119">
        <v>8860</v>
      </c>
      <c r="L59" s="120" t="str">
        <f t="shared" si="6"/>
        <v>-</v>
      </c>
      <c r="M59" s="119"/>
      <c r="N59" s="120"/>
    </row>
    <row r="60" spans="1:15" x14ac:dyDescent="0.25">
      <c r="A60" s="1">
        <v>8</v>
      </c>
      <c r="B60" s="118" t="s">
        <v>87</v>
      </c>
      <c r="C60" s="119">
        <v>0</v>
      </c>
      <c r="D60" s="120">
        <v>-1</v>
      </c>
      <c r="E60" s="119">
        <v>0</v>
      </c>
      <c r="F60" s="120" t="str">
        <f t="shared" si="5"/>
        <v>-</v>
      </c>
      <c r="G60" s="119">
        <v>9417</v>
      </c>
      <c r="H60" s="120" t="str">
        <f t="shared" si="5"/>
        <v>-</v>
      </c>
      <c r="I60" s="119">
        <v>0</v>
      </c>
      <c r="J60" s="120">
        <f t="shared" si="5"/>
        <v>-1</v>
      </c>
      <c r="K60" s="119">
        <v>8826</v>
      </c>
      <c r="L60" s="120" t="str">
        <f t="shared" si="6"/>
        <v>-</v>
      </c>
      <c r="M60" s="119"/>
      <c r="N60" s="120"/>
    </row>
    <row r="61" spans="1:15" x14ac:dyDescent="0.25">
      <c r="A61" s="1">
        <v>9</v>
      </c>
      <c r="B61" s="118" t="s">
        <v>89</v>
      </c>
      <c r="C61" s="119">
        <v>0</v>
      </c>
      <c r="D61" s="120">
        <v>-1</v>
      </c>
      <c r="E61" s="119">
        <v>0</v>
      </c>
      <c r="F61" s="120" t="str">
        <f t="shared" si="5"/>
        <v>-</v>
      </c>
      <c r="G61" s="119">
        <v>10046</v>
      </c>
      <c r="H61" s="120" t="str">
        <f t="shared" si="5"/>
        <v>-</v>
      </c>
      <c r="I61" s="119">
        <v>9670</v>
      </c>
      <c r="J61" s="120">
        <f t="shared" si="5"/>
        <v>-3.7427831972924541E-2</v>
      </c>
      <c r="K61" s="119">
        <v>10217</v>
      </c>
      <c r="L61" s="120">
        <f t="shared" si="6"/>
        <v>5.6566701137538811E-2</v>
      </c>
      <c r="M61" s="119"/>
      <c r="N61" s="120"/>
    </row>
    <row r="62" spans="1:15" x14ac:dyDescent="0.25">
      <c r="A62" s="1">
        <v>10</v>
      </c>
      <c r="B62" s="118" t="s">
        <v>91</v>
      </c>
      <c r="C62" s="119">
        <v>0</v>
      </c>
      <c r="D62" s="120">
        <v>-1</v>
      </c>
      <c r="E62" s="119">
        <v>0</v>
      </c>
      <c r="F62" s="120" t="str">
        <f t="shared" si="5"/>
        <v>-</v>
      </c>
      <c r="G62" s="119">
        <v>10278</v>
      </c>
      <c r="H62" s="120" t="str">
        <f t="shared" si="5"/>
        <v>-</v>
      </c>
      <c r="I62" s="119">
        <v>9853</v>
      </c>
      <c r="J62" s="120">
        <f t="shared" si="5"/>
        <v>-4.1350457287410047E-2</v>
      </c>
      <c r="K62" s="119">
        <v>10893</v>
      </c>
      <c r="L62" s="120">
        <f t="shared" si="6"/>
        <v>0.10555160864711266</v>
      </c>
      <c r="M62" s="119"/>
      <c r="N62" s="120"/>
    </row>
    <row r="63" spans="1:15" x14ac:dyDescent="0.25">
      <c r="A63" s="1">
        <v>11</v>
      </c>
      <c r="B63" s="118" t="s">
        <v>93</v>
      </c>
      <c r="C63" s="119">
        <v>0</v>
      </c>
      <c r="D63" s="120">
        <v>-1</v>
      </c>
      <c r="E63" s="119">
        <v>0</v>
      </c>
      <c r="F63" s="120" t="str">
        <f t="shared" si="5"/>
        <v>-</v>
      </c>
      <c r="G63" s="119">
        <v>11865</v>
      </c>
      <c r="H63" s="120" t="str">
        <f t="shared" si="5"/>
        <v>-</v>
      </c>
      <c r="I63" s="119">
        <v>11701</v>
      </c>
      <c r="J63" s="120">
        <f t="shared" si="5"/>
        <v>-1.3822166034555439E-2</v>
      </c>
      <c r="K63" s="119">
        <v>13338</v>
      </c>
      <c r="L63" s="120">
        <f t="shared" si="6"/>
        <v>0.13990257242970694</v>
      </c>
      <c r="M63" s="119"/>
      <c r="N63" s="120"/>
    </row>
    <row r="64" spans="1:15" x14ac:dyDescent="0.25">
      <c r="A64" s="1">
        <v>12</v>
      </c>
      <c r="B64" s="118" t="s">
        <v>95</v>
      </c>
      <c r="C64" s="119">
        <v>0</v>
      </c>
      <c r="D64" s="120">
        <v>-1</v>
      </c>
      <c r="E64" s="119">
        <v>0</v>
      </c>
      <c r="F64" s="120" t="str">
        <f t="shared" si="5"/>
        <v>-</v>
      </c>
      <c r="G64" s="119">
        <v>10905</v>
      </c>
      <c r="H64" s="120" t="str">
        <f t="shared" si="5"/>
        <v>-</v>
      </c>
      <c r="I64" s="119">
        <v>10315</v>
      </c>
      <c r="J64" s="120">
        <f t="shared" si="5"/>
        <v>-5.410362219165521E-2</v>
      </c>
      <c r="K64" s="119">
        <v>11641</v>
      </c>
      <c r="L64" s="120">
        <f t="shared" si="6"/>
        <v>0.12855065438681534</v>
      </c>
      <c r="M64" s="119"/>
      <c r="N64" s="120"/>
    </row>
    <row r="65" spans="1:15" ht="15.75" x14ac:dyDescent="0.25">
      <c r="B65" s="121" t="s">
        <v>32</v>
      </c>
      <c r="C65" s="122">
        <v>0</v>
      </c>
      <c r="D65" s="123">
        <v>-1</v>
      </c>
      <c r="E65" s="122">
        <v>0</v>
      </c>
      <c r="F65" s="123" t="str">
        <f t="shared" si="5"/>
        <v>-</v>
      </c>
      <c r="G65" s="122">
        <v>127692</v>
      </c>
      <c r="H65" s="123" t="str">
        <f t="shared" si="5"/>
        <v>-</v>
      </c>
      <c r="I65" s="122">
        <v>134451</v>
      </c>
      <c r="J65" s="123">
        <f t="shared" si="5"/>
        <v>5.2932055257964405E-2</v>
      </c>
      <c r="K65" s="122">
        <v>136934</v>
      </c>
      <c r="L65" s="123">
        <f t="shared" si="6"/>
        <v>1.8467694550430958E-2</v>
      </c>
      <c r="M65" s="122">
        <v>70245</v>
      </c>
      <c r="N65" s="123">
        <v>-3.9831052912150278E-2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78" t="s">
        <v>285</v>
      </c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3" t="s">
        <v>64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1:15" ht="22.5" thickTop="1" thickBot="1" x14ac:dyDescent="0.3">
      <c r="B73" s="111"/>
      <c r="C73" s="305">
        <f>C$7</f>
        <v>2020</v>
      </c>
      <c r="D73" s="306"/>
      <c r="E73" s="305">
        <f>E$7</f>
        <v>2021</v>
      </c>
      <c r="F73" s="306"/>
      <c r="G73" s="305">
        <f>G$7</f>
        <v>2022</v>
      </c>
      <c r="H73" s="306"/>
      <c r="I73" s="305">
        <f>I$7</f>
        <v>2023</v>
      </c>
      <c r="J73" s="306"/>
      <c r="K73" s="305">
        <f>K$7</f>
        <v>2024</v>
      </c>
      <c r="L73" s="306"/>
      <c r="M73" s="307">
        <f>M$7</f>
        <v>2025</v>
      </c>
      <c r="N73" s="308"/>
    </row>
    <row r="74" spans="1:15" ht="16.5" thickTop="1" thickBot="1" x14ac:dyDescent="0.3">
      <c r="B74" s="87"/>
      <c r="C74" s="115" t="s">
        <v>71</v>
      </c>
      <c r="D74" s="116" t="str">
        <f>CONCATENATE("var ",RIGHT(C73,2),"/",RIGHT(C73-1,2))</f>
        <v>var 20/19</v>
      </c>
      <c r="E74" s="117" t="s">
        <v>71</v>
      </c>
      <c r="F74" s="116" t="str">
        <f>CONCATENATE("var ",RIGHT(E73,2),"/",RIGHT(C73,2))</f>
        <v>var 21/20</v>
      </c>
      <c r="G74" s="117" t="s">
        <v>71</v>
      </c>
      <c r="H74" s="116" t="str">
        <f>CONCATENATE("var ",RIGHT(G73,2),"/",RIGHT(E73,2))</f>
        <v>var 22/21</v>
      </c>
      <c r="I74" s="117" t="s">
        <v>71</v>
      </c>
      <c r="J74" s="116" t="str">
        <f>CONCATENATE("var ",RIGHT(I73,2),"/",RIGHT(G73,2))</f>
        <v>var 23/22</v>
      </c>
      <c r="K74" s="117" t="s">
        <v>71</v>
      </c>
      <c r="L74" s="116" t="str">
        <f>CONCATENATE("var ",RIGHT(K73,2),"/",RIGHT(I73,2))</f>
        <v>var 24/23</v>
      </c>
      <c r="M74" s="117" t="s">
        <v>71</v>
      </c>
      <c r="N74" s="116" t="str">
        <f>CONCATENATE("var ",RIGHT(M73,2),"/",RIGHT(K73,2))</f>
        <v>var 25/24</v>
      </c>
    </row>
    <row r="75" spans="1:15" x14ac:dyDescent="0.25">
      <c r="A75" s="1">
        <v>1</v>
      </c>
      <c r="B75" s="118" t="s">
        <v>73</v>
      </c>
      <c r="C75" s="119">
        <v>2317</v>
      </c>
      <c r="D75" s="120">
        <v>0.13857493857493863</v>
      </c>
      <c r="E75" s="119">
        <v>0</v>
      </c>
      <c r="F75" s="120">
        <f t="shared" ref="F75:J87" si="8">IFERROR(E75/C75-1,"-")</f>
        <v>-1</v>
      </c>
      <c r="G75" s="119">
        <v>0</v>
      </c>
      <c r="H75" s="120" t="str">
        <f t="shared" si="8"/>
        <v>-</v>
      </c>
      <c r="I75" s="119">
        <v>1381</v>
      </c>
      <c r="J75" s="120" t="str">
        <f t="shared" si="8"/>
        <v>-</v>
      </c>
      <c r="K75" s="119">
        <v>1488</v>
      </c>
      <c r="L75" s="120">
        <f t="shared" ref="L75:L87" si="9">IFERROR(K75/I75-1,"-")</f>
        <v>7.7480086893555455E-2</v>
      </c>
      <c r="M75" s="119">
        <v>1517</v>
      </c>
      <c r="N75" s="120">
        <f t="shared" ref="N75:N80" si="10">IFERROR(M75/K75-1,"-")</f>
        <v>1.9489247311827995E-2</v>
      </c>
    </row>
    <row r="76" spans="1:15" x14ac:dyDescent="0.25">
      <c r="A76" s="1">
        <v>2</v>
      </c>
      <c r="B76" s="118" t="s">
        <v>75</v>
      </c>
      <c r="C76" s="119">
        <v>3034</v>
      </c>
      <c r="D76" s="120">
        <v>0.42374472078836223</v>
      </c>
      <c r="E76" s="119">
        <v>0</v>
      </c>
      <c r="F76" s="120">
        <f t="shared" si="8"/>
        <v>-1</v>
      </c>
      <c r="G76" s="119">
        <v>0</v>
      </c>
      <c r="H76" s="120" t="str">
        <f t="shared" si="8"/>
        <v>-</v>
      </c>
      <c r="I76" s="119">
        <v>1342</v>
      </c>
      <c r="J76" s="120" t="str">
        <f t="shared" si="8"/>
        <v>-</v>
      </c>
      <c r="K76" s="119">
        <v>1670</v>
      </c>
      <c r="L76" s="120">
        <f t="shared" si="9"/>
        <v>0.24441132637853946</v>
      </c>
      <c r="M76" s="119">
        <v>1487</v>
      </c>
      <c r="N76" s="120">
        <f t="shared" si="10"/>
        <v>-0.1095808383233533</v>
      </c>
    </row>
    <row r="77" spans="1:15" x14ac:dyDescent="0.25">
      <c r="A77" s="1">
        <v>3</v>
      </c>
      <c r="B77" s="118" t="s">
        <v>77</v>
      </c>
      <c r="C77" s="119">
        <v>1165</v>
      </c>
      <c r="D77" s="120">
        <v>-0.60681741478231521</v>
      </c>
      <c r="E77" s="119">
        <v>0</v>
      </c>
      <c r="F77" s="120">
        <f t="shared" si="8"/>
        <v>-1</v>
      </c>
      <c r="G77" s="119">
        <v>0</v>
      </c>
      <c r="H77" s="120" t="str">
        <f t="shared" si="8"/>
        <v>-</v>
      </c>
      <c r="I77" s="119">
        <v>1420</v>
      </c>
      <c r="J77" s="120" t="str">
        <f t="shared" si="8"/>
        <v>-</v>
      </c>
      <c r="K77" s="119">
        <v>1539</v>
      </c>
      <c r="L77" s="120">
        <f t="shared" si="9"/>
        <v>8.380281690140845E-2</v>
      </c>
      <c r="M77" s="119">
        <v>1553</v>
      </c>
      <c r="N77" s="120">
        <f t="shared" si="10"/>
        <v>9.0968161143600845E-3</v>
      </c>
    </row>
    <row r="78" spans="1:15" x14ac:dyDescent="0.25">
      <c r="A78" s="1">
        <v>4</v>
      </c>
      <c r="B78" s="118" t="s">
        <v>79</v>
      </c>
      <c r="C78" s="119">
        <v>0</v>
      </c>
      <c r="D78" s="120">
        <v>-1</v>
      </c>
      <c r="E78" s="119">
        <v>0</v>
      </c>
      <c r="F78" s="120" t="str">
        <f t="shared" si="8"/>
        <v>-</v>
      </c>
      <c r="G78" s="119">
        <v>772</v>
      </c>
      <c r="H78" s="120" t="str">
        <f t="shared" si="8"/>
        <v>-</v>
      </c>
      <c r="I78" s="119">
        <v>1202</v>
      </c>
      <c r="J78" s="120">
        <f t="shared" si="8"/>
        <v>0.55699481865284972</v>
      </c>
      <c r="K78" s="119">
        <v>1170</v>
      </c>
      <c r="L78" s="120">
        <f t="shared" si="9"/>
        <v>-2.6622296173044901E-2</v>
      </c>
      <c r="M78" s="119">
        <v>1238</v>
      </c>
      <c r="N78" s="120">
        <f t="shared" si="10"/>
        <v>5.8119658119658135E-2</v>
      </c>
    </row>
    <row r="79" spans="1:15" x14ac:dyDescent="0.25">
      <c r="A79" s="1">
        <v>5</v>
      </c>
      <c r="B79" s="118" t="s">
        <v>81</v>
      </c>
      <c r="C79" s="119">
        <v>0</v>
      </c>
      <c r="D79" s="120">
        <v>-1</v>
      </c>
      <c r="E79" s="119">
        <v>0</v>
      </c>
      <c r="F79" s="120" t="str">
        <f t="shared" si="8"/>
        <v>-</v>
      </c>
      <c r="G79" s="119">
        <v>850</v>
      </c>
      <c r="H79" s="120" t="str">
        <f t="shared" si="8"/>
        <v>-</v>
      </c>
      <c r="I79" s="119">
        <v>892</v>
      </c>
      <c r="J79" s="120">
        <f t="shared" si="8"/>
        <v>4.9411764705882266E-2</v>
      </c>
      <c r="K79" s="119">
        <v>999</v>
      </c>
      <c r="L79" s="120">
        <f t="shared" si="9"/>
        <v>0.11995515695067271</v>
      </c>
      <c r="M79" s="119">
        <v>1438</v>
      </c>
      <c r="N79" s="120">
        <f t="shared" si="10"/>
        <v>0.43943943943943942</v>
      </c>
    </row>
    <row r="80" spans="1:15" x14ac:dyDescent="0.25">
      <c r="A80" s="1">
        <v>6</v>
      </c>
      <c r="B80" s="118" t="s">
        <v>83</v>
      </c>
      <c r="C80" s="119">
        <v>0</v>
      </c>
      <c r="D80" s="120">
        <v>-1</v>
      </c>
      <c r="E80" s="119">
        <v>0</v>
      </c>
      <c r="F80" s="120" t="str">
        <f t="shared" si="8"/>
        <v>-</v>
      </c>
      <c r="G80" s="119">
        <v>746</v>
      </c>
      <c r="H80" s="120" t="str">
        <f t="shared" si="8"/>
        <v>-</v>
      </c>
      <c r="I80" s="119">
        <v>855</v>
      </c>
      <c r="J80" s="120">
        <f t="shared" si="8"/>
        <v>0.14611260053619302</v>
      </c>
      <c r="K80" s="119">
        <v>1053</v>
      </c>
      <c r="L80" s="120">
        <f t="shared" si="9"/>
        <v>0.23157894736842111</v>
      </c>
      <c r="M80" s="119">
        <v>1030</v>
      </c>
      <c r="N80" s="120">
        <f t="shared" si="10"/>
        <v>-2.1842355175688555E-2</v>
      </c>
    </row>
    <row r="81" spans="1:14" x14ac:dyDescent="0.25">
      <c r="A81" s="1">
        <v>7</v>
      </c>
      <c r="B81" s="118" t="s">
        <v>85</v>
      </c>
      <c r="C81" s="119">
        <v>0</v>
      </c>
      <c r="D81" s="120">
        <v>-1</v>
      </c>
      <c r="E81" s="119">
        <v>0</v>
      </c>
      <c r="F81" s="120" t="str">
        <f t="shared" si="8"/>
        <v>-</v>
      </c>
      <c r="G81" s="119">
        <v>979</v>
      </c>
      <c r="H81" s="120" t="str">
        <f t="shared" si="8"/>
        <v>-</v>
      </c>
      <c r="I81" s="119">
        <v>0</v>
      </c>
      <c r="J81" s="120">
        <f t="shared" si="8"/>
        <v>-1</v>
      </c>
      <c r="K81" s="119">
        <v>1280</v>
      </c>
      <c r="L81" s="120" t="str">
        <f t="shared" si="9"/>
        <v>-</v>
      </c>
      <c r="M81" s="119"/>
      <c r="N81" s="120"/>
    </row>
    <row r="82" spans="1:14" x14ac:dyDescent="0.25">
      <c r="A82" s="1">
        <v>8</v>
      </c>
      <c r="B82" s="118" t="s">
        <v>87</v>
      </c>
      <c r="C82" s="119">
        <v>0</v>
      </c>
      <c r="D82" s="120">
        <v>-1</v>
      </c>
      <c r="E82" s="119">
        <v>0</v>
      </c>
      <c r="F82" s="120" t="str">
        <f t="shared" si="8"/>
        <v>-</v>
      </c>
      <c r="G82" s="119">
        <v>853</v>
      </c>
      <c r="H82" s="120" t="str">
        <f t="shared" si="8"/>
        <v>-</v>
      </c>
      <c r="I82" s="119">
        <v>0</v>
      </c>
      <c r="J82" s="120">
        <f t="shared" si="8"/>
        <v>-1</v>
      </c>
      <c r="K82" s="119">
        <v>433</v>
      </c>
      <c r="L82" s="120" t="str">
        <f t="shared" si="9"/>
        <v>-</v>
      </c>
      <c r="M82" s="119"/>
      <c r="N82" s="120"/>
    </row>
    <row r="83" spans="1:14" x14ac:dyDescent="0.25">
      <c r="A83" s="1">
        <v>9</v>
      </c>
      <c r="B83" s="118" t="s">
        <v>89</v>
      </c>
      <c r="C83" s="119">
        <v>0</v>
      </c>
      <c r="D83" s="120">
        <v>-1</v>
      </c>
      <c r="E83" s="119">
        <v>0</v>
      </c>
      <c r="F83" s="120" t="str">
        <f t="shared" si="8"/>
        <v>-</v>
      </c>
      <c r="G83" s="119">
        <v>921</v>
      </c>
      <c r="H83" s="120" t="str">
        <f t="shared" si="8"/>
        <v>-</v>
      </c>
      <c r="I83" s="119">
        <v>936</v>
      </c>
      <c r="J83" s="120">
        <f t="shared" si="8"/>
        <v>1.6286644951140072E-2</v>
      </c>
      <c r="K83" s="119">
        <v>1128</v>
      </c>
      <c r="L83" s="120">
        <f t="shared" si="9"/>
        <v>0.20512820512820507</v>
      </c>
      <c r="M83" s="119"/>
      <c r="N83" s="120"/>
    </row>
    <row r="84" spans="1:14" x14ac:dyDescent="0.25">
      <c r="A84" s="1">
        <v>10</v>
      </c>
      <c r="B84" s="118" t="s">
        <v>91</v>
      </c>
      <c r="C84" s="119">
        <v>0</v>
      </c>
      <c r="D84" s="120">
        <v>-1</v>
      </c>
      <c r="E84" s="119">
        <v>0</v>
      </c>
      <c r="F84" s="120" t="str">
        <f t="shared" si="8"/>
        <v>-</v>
      </c>
      <c r="G84" s="119">
        <v>1317</v>
      </c>
      <c r="H84" s="120" t="str">
        <f t="shared" si="8"/>
        <v>-</v>
      </c>
      <c r="I84" s="119">
        <v>1254</v>
      </c>
      <c r="J84" s="120">
        <f t="shared" si="8"/>
        <v>-4.783599088838264E-2</v>
      </c>
      <c r="K84" s="119">
        <v>1294</v>
      </c>
      <c r="L84" s="120">
        <f t="shared" si="9"/>
        <v>3.1897926634768758E-2</v>
      </c>
      <c r="M84" s="119"/>
      <c r="N84" s="120"/>
    </row>
    <row r="85" spans="1:14" x14ac:dyDescent="0.25">
      <c r="A85" s="1">
        <v>11</v>
      </c>
      <c r="B85" s="118" t="s">
        <v>93</v>
      </c>
      <c r="C85" s="119">
        <v>0</v>
      </c>
      <c r="D85" s="120">
        <v>-1</v>
      </c>
      <c r="E85" s="119">
        <v>0</v>
      </c>
      <c r="F85" s="120" t="str">
        <f t="shared" si="8"/>
        <v>-</v>
      </c>
      <c r="G85" s="119">
        <v>1188</v>
      </c>
      <c r="H85" s="120" t="str">
        <f t="shared" si="8"/>
        <v>-</v>
      </c>
      <c r="I85" s="119">
        <v>1515</v>
      </c>
      <c r="J85" s="120">
        <f t="shared" si="8"/>
        <v>0.2752525252525253</v>
      </c>
      <c r="K85" s="119">
        <v>1634</v>
      </c>
      <c r="L85" s="120">
        <f t="shared" si="9"/>
        <v>7.8547854785478544E-2</v>
      </c>
      <c r="M85" s="119"/>
      <c r="N85" s="120"/>
    </row>
    <row r="86" spans="1:14" x14ac:dyDescent="0.25">
      <c r="A86" s="1">
        <v>12</v>
      </c>
      <c r="B86" s="118" t="s">
        <v>95</v>
      </c>
      <c r="C86" s="119">
        <v>0</v>
      </c>
      <c r="D86" s="120">
        <v>-1</v>
      </c>
      <c r="E86" s="119">
        <v>0</v>
      </c>
      <c r="F86" s="120" t="str">
        <f t="shared" si="8"/>
        <v>-</v>
      </c>
      <c r="G86" s="119">
        <v>1209</v>
      </c>
      <c r="H86" s="120" t="str">
        <f t="shared" si="8"/>
        <v>-</v>
      </c>
      <c r="I86" s="119">
        <v>1549</v>
      </c>
      <c r="J86" s="120">
        <f t="shared" si="8"/>
        <v>0.28122415219189412</v>
      </c>
      <c r="K86" s="119">
        <v>1678</v>
      </c>
      <c r="L86" s="120">
        <f t="shared" si="9"/>
        <v>8.3279535183989672E-2</v>
      </c>
      <c r="M86" s="119"/>
      <c r="N86" s="120"/>
    </row>
    <row r="87" spans="1:14" ht="15.75" x14ac:dyDescent="0.25">
      <c r="B87" s="121" t="s">
        <v>32</v>
      </c>
      <c r="C87" s="122">
        <v>0</v>
      </c>
      <c r="D87" s="123">
        <v>-1</v>
      </c>
      <c r="E87" s="122">
        <v>0</v>
      </c>
      <c r="F87" s="123" t="str">
        <f t="shared" si="8"/>
        <v>-</v>
      </c>
      <c r="G87" s="122">
        <v>10065</v>
      </c>
      <c r="H87" s="123" t="str">
        <f t="shared" si="8"/>
        <v>-</v>
      </c>
      <c r="I87" s="122">
        <v>13883</v>
      </c>
      <c r="J87" s="123">
        <f t="shared" si="8"/>
        <v>0.37933432687531043</v>
      </c>
      <c r="K87" s="122">
        <v>15366</v>
      </c>
      <c r="L87" s="123">
        <f t="shared" si="9"/>
        <v>0.1068212922279046</v>
      </c>
      <c r="M87" s="122">
        <v>8263</v>
      </c>
      <c r="N87" s="123">
        <v>4.343982826114412E-2</v>
      </c>
    </row>
    <row r="88" spans="1:14" ht="6" customHeight="1" x14ac:dyDescent="0.25"/>
    <row r="89" spans="1:14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3" spans="1:14" x14ac:dyDescent="0.25">
      <c r="M93" s="4"/>
      <c r="N93" s="4"/>
    </row>
  </sheetData>
  <mergeCells count="32">
    <mergeCell ref="B4:N4"/>
    <mergeCell ref="C6:N6"/>
    <mergeCell ref="C7:D7"/>
    <mergeCell ref="E7:F7"/>
    <mergeCell ref="G7:H7"/>
    <mergeCell ref="I7:J7"/>
    <mergeCell ref="K7:L7"/>
    <mergeCell ref="M7:N7"/>
    <mergeCell ref="B26:N26"/>
    <mergeCell ref="C28:N28"/>
    <mergeCell ref="C29:D29"/>
    <mergeCell ref="E29:F29"/>
    <mergeCell ref="G29:H29"/>
    <mergeCell ref="I29:J29"/>
    <mergeCell ref="K29:L29"/>
    <mergeCell ref="M29:N29"/>
    <mergeCell ref="B48:N48"/>
    <mergeCell ref="C50:N50"/>
    <mergeCell ref="C51:D51"/>
    <mergeCell ref="E51:F51"/>
    <mergeCell ref="G51:H51"/>
    <mergeCell ref="I51:J51"/>
    <mergeCell ref="K51:L51"/>
    <mergeCell ref="M51:N51"/>
    <mergeCell ref="B70:N70"/>
    <mergeCell ref="C72:N72"/>
    <mergeCell ref="C73:D73"/>
    <mergeCell ref="E73:F73"/>
    <mergeCell ref="G73:H73"/>
    <mergeCell ref="I73:J73"/>
    <mergeCell ref="K73:L73"/>
    <mergeCell ref="M73:N73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7E44-47F3-4262-A56C-C10E678C983E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4" spans="1:12" ht="42" customHeight="1" thickBot="1" x14ac:dyDescent="0.3">
      <c r="B4" s="278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8"/>
      <c r="D4" s="278"/>
      <c r="E4" s="278"/>
      <c r="F4" s="278"/>
      <c r="G4" s="278"/>
      <c r="H4" s="278"/>
      <c r="I4" s="278"/>
      <c r="J4" s="278"/>
      <c r="K4" s="278"/>
    </row>
    <row r="5" spans="1:12" ht="6" customHeight="1" x14ac:dyDescent="0.25"/>
    <row r="6" spans="1:12" s="147" customFormat="1" ht="72" customHeight="1" x14ac:dyDescent="0.25">
      <c r="B6" s="148"/>
      <c r="C6" s="173" t="s">
        <v>258</v>
      </c>
      <c r="D6" s="173" t="s">
        <v>224</v>
      </c>
      <c r="E6" s="173" t="s">
        <v>225</v>
      </c>
      <c r="F6" s="173" t="s">
        <v>226</v>
      </c>
      <c r="G6" s="173" t="s">
        <v>227</v>
      </c>
      <c r="H6" s="173" t="s">
        <v>228</v>
      </c>
      <c r="I6" s="174" t="str">
        <f>CONCATENATE("var. ",RIGHT(H6,2),"/",RIGHT(G6,2))</f>
        <v>var. 25/24</v>
      </c>
      <c r="J6" s="173" t="str">
        <f>CONCATENATE("dif. ",RIGHT(H6,2),"/",RIGHT(G6,2))</f>
        <v>dif. 25/24</v>
      </c>
      <c r="K6" s="174" t="str">
        <f>CONCATENATE("Cuota s/ total lugares de residencia ",RIGHT(H6,4))</f>
        <v>Cuota s/ total lugares de residencia 2025</v>
      </c>
    </row>
    <row r="7" spans="1:12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</row>
    <row r="8" spans="1:12" x14ac:dyDescent="0.25">
      <c r="A8" s="1"/>
      <c r="B8" s="157" t="s">
        <v>70</v>
      </c>
      <c r="C8" s="177">
        <v>11026</v>
      </c>
      <c r="D8" s="177">
        <v>653021</v>
      </c>
      <c r="E8" s="177">
        <v>2454749</v>
      </c>
      <c r="F8" s="177">
        <v>2670685</v>
      </c>
      <c r="G8" s="177">
        <v>2787401</v>
      </c>
      <c r="H8" s="177">
        <v>2736656</v>
      </c>
      <c r="I8" s="178">
        <f>IFERROR(H8/G8-1,"-")</f>
        <v>-1.8205130872809505E-2</v>
      </c>
      <c r="J8" s="177">
        <f>H8-G8</f>
        <v>-50745</v>
      </c>
      <c r="K8" s="178">
        <f>H8/H$8</f>
        <v>1</v>
      </c>
      <c r="L8" s="81"/>
    </row>
    <row r="9" spans="1:12" x14ac:dyDescent="0.25">
      <c r="A9" s="1" t="s">
        <v>98</v>
      </c>
      <c r="B9" s="160" t="s">
        <v>99</v>
      </c>
      <c r="C9" s="161">
        <v>8684</v>
      </c>
      <c r="D9" s="161">
        <v>236913</v>
      </c>
      <c r="E9" s="161">
        <v>410726</v>
      </c>
      <c r="F9" s="161">
        <v>431964</v>
      </c>
      <c r="G9" s="161">
        <v>431283</v>
      </c>
      <c r="H9" s="161">
        <v>420260</v>
      </c>
      <c r="I9" s="162">
        <f>IFERROR(H9/G9-1,"-")</f>
        <v>-2.55586239197928E-2</v>
      </c>
      <c r="J9" s="161">
        <f t="shared" ref="J9:J19" si="0">H9-G9</f>
        <v>-11023</v>
      </c>
      <c r="K9" s="162">
        <f>H9/H$8</f>
        <v>0.15356698101624758</v>
      </c>
      <c r="L9" s="81"/>
    </row>
    <row r="10" spans="1:12" x14ac:dyDescent="0.25">
      <c r="A10" s="163" t="s">
        <v>105</v>
      </c>
      <c r="B10" s="164" t="s">
        <v>105</v>
      </c>
      <c r="C10" s="165">
        <v>3879</v>
      </c>
      <c r="D10" s="165">
        <v>102740</v>
      </c>
      <c r="E10" s="165">
        <v>109327</v>
      </c>
      <c r="F10" s="165">
        <v>137289</v>
      </c>
      <c r="G10" s="165">
        <v>148398</v>
      </c>
      <c r="H10" s="165">
        <v>116313</v>
      </c>
      <c r="I10" s="166">
        <f>IFERROR(H10/G10-1,"-")</f>
        <v>-0.2162091133303683</v>
      </c>
      <c r="J10" s="165">
        <f t="shared" si="0"/>
        <v>-32085</v>
      </c>
      <c r="K10" s="166">
        <f>H10/H$8</f>
        <v>4.2501870896451729E-2</v>
      </c>
      <c r="L10" s="81"/>
    </row>
    <row r="11" spans="1:12" x14ac:dyDescent="0.25">
      <c r="A11" s="163" t="s">
        <v>102</v>
      </c>
      <c r="B11" s="164" t="s">
        <v>102</v>
      </c>
      <c r="C11" s="165">
        <v>4805</v>
      </c>
      <c r="D11" s="165">
        <v>134173</v>
      </c>
      <c r="E11" s="165">
        <v>301399</v>
      </c>
      <c r="F11" s="165">
        <v>294675</v>
      </c>
      <c r="G11" s="165">
        <v>282885</v>
      </c>
      <c r="H11" s="165">
        <v>303947</v>
      </c>
      <c r="I11" s="166">
        <f>IFERROR(H11/G11-1,"-")</f>
        <v>7.4454283542782385E-2</v>
      </c>
      <c r="J11" s="165">
        <f t="shared" si="0"/>
        <v>21062</v>
      </c>
      <c r="K11" s="166">
        <f>H11/H$8</f>
        <v>0.11106511011979583</v>
      </c>
      <c r="L11" s="81"/>
    </row>
    <row r="12" spans="1:12" x14ac:dyDescent="0.25">
      <c r="A12" s="1"/>
      <c r="B12" s="160" t="s">
        <v>109</v>
      </c>
      <c r="C12" s="161">
        <v>2342</v>
      </c>
      <c r="D12" s="161">
        <v>416108</v>
      </c>
      <c r="E12" s="161">
        <v>2044023</v>
      </c>
      <c r="F12" s="161">
        <v>2238721</v>
      </c>
      <c r="G12" s="161">
        <v>2356118</v>
      </c>
      <c r="H12" s="161">
        <v>2316396</v>
      </c>
      <c r="I12" s="162">
        <f>IFERROR(H12/G12-1,"-")</f>
        <v>-1.685908770273814E-2</v>
      </c>
      <c r="J12" s="161">
        <f t="shared" si="0"/>
        <v>-39722</v>
      </c>
      <c r="K12" s="162">
        <f>H12/H$8</f>
        <v>0.84643301898375245</v>
      </c>
      <c r="L12" s="81"/>
    </row>
    <row r="13" spans="1:12" s="57" customFormat="1" x14ac:dyDescent="0.25">
      <c r="A13" s="163"/>
      <c r="B13" s="164" t="s">
        <v>112</v>
      </c>
      <c r="C13" s="165">
        <v>486</v>
      </c>
      <c r="D13" s="165">
        <v>36911</v>
      </c>
      <c r="E13" s="165">
        <v>1088743</v>
      </c>
      <c r="F13" s="165">
        <v>1193615</v>
      </c>
      <c r="G13" s="165">
        <v>1285987</v>
      </c>
      <c r="H13" s="165">
        <v>1248218</v>
      </c>
      <c r="I13" s="166">
        <f t="shared" ref="I13:I20" si="1">IFERROR(H13/G13-1,"-")</f>
        <v>-2.9369659257830749E-2</v>
      </c>
      <c r="J13" s="165">
        <f t="shared" si="0"/>
        <v>-37769</v>
      </c>
      <c r="K13" s="166">
        <f t="shared" ref="K13:K20" si="2">H13/H$8</f>
        <v>0.45611066937167111</v>
      </c>
      <c r="L13" s="167"/>
    </row>
    <row r="14" spans="1:12" s="57" customFormat="1" x14ac:dyDescent="0.25">
      <c r="A14" s="163"/>
      <c r="B14" s="164" t="s">
        <v>115</v>
      </c>
      <c r="C14" s="165">
        <v>529</v>
      </c>
      <c r="D14" s="165">
        <v>81566</v>
      </c>
      <c r="E14" s="165">
        <v>232142</v>
      </c>
      <c r="F14" s="165">
        <v>246979</v>
      </c>
      <c r="G14" s="165">
        <v>225798</v>
      </c>
      <c r="H14" s="165">
        <v>236018</v>
      </c>
      <c r="I14" s="166">
        <f t="shared" si="1"/>
        <v>4.5261694080549919E-2</v>
      </c>
      <c r="J14" s="165">
        <f t="shared" si="0"/>
        <v>10220</v>
      </c>
      <c r="K14" s="166">
        <f t="shared" si="2"/>
        <v>8.6243210692173222E-2</v>
      </c>
      <c r="L14" s="167"/>
    </row>
    <row r="15" spans="1:12" x14ac:dyDescent="0.25">
      <c r="A15" s="163"/>
      <c r="B15" s="164" t="s">
        <v>118</v>
      </c>
      <c r="C15" s="165">
        <v>118</v>
      </c>
      <c r="D15" s="165">
        <v>48177</v>
      </c>
      <c r="E15" s="165">
        <v>75211</v>
      </c>
      <c r="F15" s="165">
        <v>88212</v>
      </c>
      <c r="G15" s="165">
        <v>98115</v>
      </c>
      <c r="H15" s="165">
        <v>100892</v>
      </c>
      <c r="I15" s="166">
        <f t="shared" si="1"/>
        <v>2.8303521377974761E-2</v>
      </c>
      <c r="J15" s="165">
        <f t="shared" si="0"/>
        <v>2777</v>
      </c>
      <c r="K15" s="166">
        <f t="shared" si="2"/>
        <v>3.6866891564010969E-2</v>
      </c>
      <c r="L15" s="81"/>
    </row>
    <row r="16" spans="1:12" x14ac:dyDescent="0.25">
      <c r="A16" s="163"/>
      <c r="B16" s="164" t="s">
        <v>125</v>
      </c>
      <c r="C16" s="165">
        <v>44</v>
      </c>
      <c r="D16" s="165">
        <v>43592</v>
      </c>
      <c r="E16" s="165">
        <v>92592</v>
      </c>
      <c r="F16" s="165">
        <v>94339</v>
      </c>
      <c r="G16" s="165">
        <v>97442</v>
      </c>
      <c r="H16" s="165">
        <v>84518</v>
      </c>
      <c r="I16" s="166">
        <f t="shared" si="1"/>
        <v>-0.13263274563329985</v>
      </c>
      <c r="J16" s="165">
        <f t="shared" si="0"/>
        <v>-12924</v>
      </c>
      <c r="K16" s="166">
        <f t="shared" si="2"/>
        <v>3.0883677013113814E-2</v>
      </c>
      <c r="L16" s="81"/>
    </row>
    <row r="17" spans="1:12" x14ac:dyDescent="0.25">
      <c r="A17" s="163"/>
      <c r="B17" s="164" t="s">
        <v>121</v>
      </c>
      <c r="C17" s="165">
        <v>77</v>
      </c>
      <c r="D17" s="165">
        <v>44724</v>
      </c>
      <c r="E17" s="165">
        <v>69929</v>
      </c>
      <c r="F17" s="165">
        <v>73827</v>
      </c>
      <c r="G17" s="165">
        <v>75568</v>
      </c>
      <c r="H17" s="165">
        <v>70703</v>
      </c>
      <c r="I17" s="166">
        <f t="shared" si="1"/>
        <v>-6.4379102265509247E-2</v>
      </c>
      <c r="J17" s="165">
        <f t="shared" si="0"/>
        <v>-4865</v>
      </c>
      <c r="K17" s="166">
        <f t="shared" si="2"/>
        <v>2.5835545278617408E-2</v>
      </c>
      <c r="L17" s="81"/>
    </row>
    <row r="18" spans="1:12" x14ac:dyDescent="0.25">
      <c r="A18" s="163"/>
      <c r="B18" s="164" t="s">
        <v>130</v>
      </c>
      <c r="C18" s="165">
        <v>16</v>
      </c>
      <c r="D18" s="165">
        <v>940</v>
      </c>
      <c r="E18" s="165">
        <v>6382</v>
      </c>
      <c r="F18" s="165">
        <v>8954</v>
      </c>
      <c r="G18" s="165">
        <v>9037</v>
      </c>
      <c r="H18" s="165">
        <v>8273</v>
      </c>
      <c r="I18" s="166">
        <f t="shared" si="1"/>
        <v>-8.4541330087418376E-2</v>
      </c>
      <c r="J18" s="165">
        <f t="shared" si="0"/>
        <v>-764</v>
      </c>
      <c r="K18" s="166">
        <f t="shared" si="2"/>
        <v>3.0230324892861946E-3</v>
      </c>
      <c r="L18" s="81"/>
    </row>
    <row r="19" spans="1:12" x14ac:dyDescent="0.25">
      <c r="A19" s="163" t="s">
        <v>146</v>
      </c>
      <c r="B19" s="164" t="s">
        <v>133</v>
      </c>
      <c r="C19" s="165">
        <v>23</v>
      </c>
      <c r="D19" s="165">
        <v>1508</v>
      </c>
      <c r="E19" s="165">
        <v>4948</v>
      </c>
      <c r="F19" s="165">
        <v>6600</v>
      </c>
      <c r="G19" s="165">
        <v>3661</v>
      </c>
      <c r="H19" s="165">
        <v>4115</v>
      </c>
      <c r="I19" s="166">
        <f t="shared" si="1"/>
        <v>0.12400983337885818</v>
      </c>
      <c r="J19" s="165">
        <f t="shared" si="0"/>
        <v>454</v>
      </c>
      <c r="K19" s="166">
        <f t="shared" si="2"/>
        <v>1.5036599411836929E-3</v>
      </c>
      <c r="L19" s="81"/>
    </row>
    <row r="20" spans="1:12" x14ac:dyDescent="0.25">
      <c r="A20" s="163" t="s">
        <v>147</v>
      </c>
      <c r="B20" s="169" t="s">
        <v>147</v>
      </c>
      <c r="C20" s="170">
        <f t="shared" ref="C20" si="3">C12-SUM(C13:C19)</f>
        <v>1049</v>
      </c>
      <c r="D20" s="170">
        <f t="shared" ref="D20:H20" si="4">D12-SUM(D13:D19)</f>
        <v>158690</v>
      </c>
      <c r="E20" s="170">
        <f t="shared" si="4"/>
        <v>474076</v>
      </c>
      <c r="F20" s="170">
        <f t="shared" si="4"/>
        <v>526195</v>
      </c>
      <c r="G20" s="170">
        <f t="shared" si="4"/>
        <v>560510</v>
      </c>
      <c r="H20" s="170">
        <f t="shared" si="4"/>
        <v>563659</v>
      </c>
      <c r="I20" s="171">
        <f t="shared" si="1"/>
        <v>5.6180978037858598E-3</v>
      </c>
      <c r="J20" s="170">
        <f>H20-G20</f>
        <v>3149</v>
      </c>
      <c r="K20" s="171">
        <f t="shared" si="2"/>
        <v>0.20596633263369601</v>
      </c>
      <c r="L20" s="81"/>
    </row>
    <row r="21" spans="1:12" s="147" customFormat="1" x14ac:dyDescent="0.25">
      <c r="A21" s="163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</row>
    <row r="22" spans="1:12" x14ac:dyDescent="0.25">
      <c r="A22" s="163"/>
      <c r="B22" s="157" t="s">
        <v>70</v>
      </c>
      <c r="C22" s="177">
        <v>0</v>
      </c>
      <c r="D22" s="177">
        <v>274949</v>
      </c>
      <c r="E22" s="177">
        <v>1029864</v>
      </c>
      <c r="F22" s="177">
        <v>1069466</v>
      </c>
      <c r="G22" s="177">
        <v>1059592</v>
      </c>
      <c r="H22" s="177">
        <v>1003656</v>
      </c>
      <c r="I22" s="178">
        <f>IFERROR(H22/G22-1,"-")</f>
        <v>-5.2790130540811941E-2</v>
      </c>
      <c r="J22" s="177">
        <f>H22-G22</f>
        <v>-55936</v>
      </c>
      <c r="K22" s="178">
        <f>H22/H$8</f>
        <v>0.36674540022567687</v>
      </c>
      <c r="L22" s="81"/>
    </row>
    <row r="23" spans="1:12" x14ac:dyDescent="0.25">
      <c r="A23" s="163" t="s">
        <v>98</v>
      </c>
      <c r="B23" s="160" t="s">
        <v>99</v>
      </c>
      <c r="C23" s="161">
        <v>0</v>
      </c>
      <c r="D23" s="161">
        <v>87510</v>
      </c>
      <c r="E23" s="161">
        <v>87469</v>
      </c>
      <c r="F23" s="161">
        <v>83729</v>
      </c>
      <c r="G23" s="161">
        <v>72097</v>
      </c>
      <c r="H23" s="161">
        <v>61830</v>
      </c>
      <c r="I23" s="162">
        <f>IFERROR(H23/G23-1,"-")</f>
        <v>-0.14240537054246361</v>
      </c>
      <c r="J23" s="161">
        <f t="shared" ref="J23:J33" si="5">H23-G23</f>
        <v>-10267</v>
      </c>
      <c r="K23" s="162">
        <f>H23/H$8</f>
        <v>2.2593267111394345E-2</v>
      </c>
      <c r="L23" s="81"/>
    </row>
    <row r="24" spans="1:12" x14ac:dyDescent="0.25">
      <c r="A24" s="163" t="s">
        <v>105</v>
      </c>
      <c r="B24" s="164" t="s">
        <v>105</v>
      </c>
      <c r="C24" s="165">
        <v>0</v>
      </c>
      <c r="D24" s="165">
        <v>40559</v>
      </c>
      <c r="E24" s="165">
        <v>27992</v>
      </c>
      <c r="F24" s="165">
        <v>26527</v>
      </c>
      <c r="G24" s="165">
        <v>21370</v>
      </c>
      <c r="H24" s="165">
        <v>19128</v>
      </c>
      <c r="I24" s="166">
        <f>IFERROR(H24/G24-1,"-")</f>
        <v>-0.10491343004211506</v>
      </c>
      <c r="J24" s="165">
        <f t="shared" si="5"/>
        <v>-2242</v>
      </c>
      <c r="K24" s="166">
        <f>H24/H$8</f>
        <v>6.9895522126273814E-3</v>
      </c>
      <c r="L24" s="81"/>
    </row>
    <row r="25" spans="1:12" x14ac:dyDescent="0.25">
      <c r="A25" s="163" t="s">
        <v>102</v>
      </c>
      <c r="B25" s="164" t="s">
        <v>102</v>
      </c>
      <c r="C25" s="165">
        <v>0</v>
      </c>
      <c r="D25" s="165">
        <v>46951</v>
      </c>
      <c r="E25" s="165">
        <v>59477</v>
      </c>
      <c r="F25" s="165">
        <v>57202</v>
      </c>
      <c r="G25" s="165">
        <v>50727</v>
      </c>
      <c r="H25" s="165">
        <v>42702</v>
      </c>
      <c r="I25" s="166">
        <f>IFERROR(H25/G25-1,"-")</f>
        <v>-0.15819977526760898</v>
      </c>
      <c r="J25" s="165">
        <f t="shared" si="5"/>
        <v>-8025</v>
      </c>
      <c r="K25" s="166">
        <f>H25/H$8</f>
        <v>1.5603714898766963E-2</v>
      </c>
      <c r="L25" s="81"/>
    </row>
    <row r="26" spans="1:12" x14ac:dyDescent="0.25">
      <c r="A26" s="163"/>
      <c r="B26" s="160" t="s">
        <v>109</v>
      </c>
      <c r="C26" s="161">
        <v>0</v>
      </c>
      <c r="D26" s="161">
        <v>187439</v>
      </c>
      <c r="E26" s="161">
        <v>942395</v>
      </c>
      <c r="F26" s="161">
        <v>985737</v>
      </c>
      <c r="G26" s="161">
        <v>987495</v>
      </c>
      <c r="H26" s="161">
        <v>941826</v>
      </c>
      <c r="I26" s="162">
        <f>IFERROR(H26/G26-1,"-")</f>
        <v>-4.624732277125454E-2</v>
      </c>
      <c r="J26" s="161">
        <f t="shared" si="5"/>
        <v>-45669</v>
      </c>
      <c r="K26" s="162">
        <f>H26/H$8</f>
        <v>0.34415213311428255</v>
      </c>
      <c r="L26" s="81"/>
    </row>
    <row r="27" spans="1:12" s="57" customFormat="1" x14ac:dyDescent="0.25">
      <c r="A27" s="163"/>
      <c r="B27" s="164" t="s">
        <v>112</v>
      </c>
      <c r="C27" s="165">
        <v>0</v>
      </c>
      <c r="D27" s="165">
        <v>17245</v>
      </c>
      <c r="E27" s="165">
        <v>521079</v>
      </c>
      <c r="F27" s="165">
        <v>561465</v>
      </c>
      <c r="G27" s="165">
        <v>571290</v>
      </c>
      <c r="H27" s="165">
        <v>540108</v>
      </c>
      <c r="I27" s="166">
        <f t="shared" ref="I27:I34" si="6">IFERROR(H27/G27-1,"-")</f>
        <v>-5.4581736070997255E-2</v>
      </c>
      <c r="J27" s="165">
        <f t="shared" si="5"/>
        <v>-31182</v>
      </c>
      <c r="K27" s="166">
        <f t="shared" ref="K27:K34" si="7">H27/H$8</f>
        <v>0.19736057436521068</v>
      </c>
      <c r="L27" s="167"/>
    </row>
    <row r="28" spans="1:12" s="57" customFormat="1" x14ac:dyDescent="0.25">
      <c r="A28" s="163"/>
      <c r="B28" s="164" t="s">
        <v>115</v>
      </c>
      <c r="C28" s="165">
        <v>0</v>
      </c>
      <c r="D28" s="165">
        <v>38543</v>
      </c>
      <c r="E28" s="165">
        <v>119906</v>
      </c>
      <c r="F28" s="165">
        <v>118355</v>
      </c>
      <c r="G28" s="165">
        <v>100343</v>
      </c>
      <c r="H28" s="165">
        <v>101616</v>
      </c>
      <c r="I28" s="166">
        <f t="shared" si="6"/>
        <v>1.2686485355231536E-2</v>
      </c>
      <c r="J28" s="165">
        <f t="shared" si="5"/>
        <v>1273</v>
      </c>
      <c r="K28" s="166">
        <f t="shared" si="7"/>
        <v>3.7131448015388126E-2</v>
      </c>
      <c r="L28" s="167"/>
    </row>
    <row r="29" spans="1:12" x14ac:dyDescent="0.25">
      <c r="A29" s="163"/>
      <c r="B29" s="164" t="s">
        <v>118</v>
      </c>
      <c r="C29" s="165">
        <v>0</v>
      </c>
      <c r="D29" s="165">
        <v>19496</v>
      </c>
      <c r="E29" s="165">
        <v>29144</v>
      </c>
      <c r="F29" s="165">
        <v>26909</v>
      </c>
      <c r="G29" s="165">
        <v>23443</v>
      </c>
      <c r="H29" s="165">
        <v>22401</v>
      </c>
      <c r="I29" s="166">
        <f t="shared" si="6"/>
        <v>-4.4448236147250797E-2</v>
      </c>
      <c r="J29" s="165">
        <f t="shared" si="5"/>
        <v>-1042</v>
      </c>
      <c r="K29" s="166">
        <f t="shared" si="7"/>
        <v>8.1855373857730018E-3</v>
      </c>
      <c r="L29" s="81"/>
    </row>
    <row r="30" spans="1:12" x14ac:dyDescent="0.25">
      <c r="A30" s="163"/>
      <c r="B30" s="164" t="s">
        <v>125</v>
      </c>
      <c r="C30" s="165">
        <v>0</v>
      </c>
      <c r="D30" s="165">
        <v>18411</v>
      </c>
      <c r="E30" s="165">
        <v>45469</v>
      </c>
      <c r="F30" s="165">
        <v>40505</v>
      </c>
      <c r="G30" s="165">
        <v>40592</v>
      </c>
      <c r="H30" s="165">
        <v>37304</v>
      </c>
      <c r="I30" s="166">
        <f t="shared" si="6"/>
        <v>-8.1001182499014557E-2</v>
      </c>
      <c r="J30" s="165">
        <f t="shared" si="5"/>
        <v>-3288</v>
      </c>
      <c r="K30" s="166">
        <f t="shared" si="7"/>
        <v>1.3631234616261598E-2</v>
      </c>
      <c r="L30" s="81"/>
    </row>
    <row r="31" spans="1:12" x14ac:dyDescent="0.25">
      <c r="A31" s="163"/>
      <c r="B31" s="164" t="s">
        <v>121</v>
      </c>
      <c r="C31" s="165">
        <v>0</v>
      </c>
      <c r="D31" s="165">
        <v>25913</v>
      </c>
      <c r="E31" s="165">
        <v>38119</v>
      </c>
      <c r="F31" s="165">
        <v>37086</v>
      </c>
      <c r="G31" s="165">
        <v>39687</v>
      </c>
      <c r="H31" s="165">
        <v>34766</v>
      </c>
      <c r="I31" s="166">
        <f t="shared" si="6"/>
        <v>-0.12399526293244645</v>
      </c>
      <c r="J31" s="165">
        <f t="shared" si="5"/>
        <v>-4921</v>
      </c>
      <c r="K31" s="166">
        <f t="shared" si="7"/>
        <v>1.2703825398588643E-2</v>
      </c>
      <c r="L31" s="81"/>
    </row>
    <row r="32" spans="1:12" x14ac:dyDescent="0.25">
      <c r="A32" s="163"/>
      <c r="B32" s="164" t="s">
        <v>130</v>
      </c>
      <c r="C32" s="165">
        <v>0</v>
      </c>
      <c r="D32" s="165">
        <v>262</v>
      </c>
      <c r="E32" s="165">
        <v>2912</v>
      </c>
      <c r="F32" s="165">
        <v>3081</v>
      </c>
      <c r="G32" s="165">
        <v>3538</v>
      </c>
      <c r="H32" s="165">
        <v>3728</v>
      </c>
      <c r="I32" s="166">
        <f t="shared" si="6"/>
        <v>5.3702656868287235E-2</v>
      </c>
      <c r="J32" s="165">
        <f t="shared" si="5"/>
        <v>190</v>
      </c>
      <c r="K32" s="166">
        <f t="shared" si="7"/>
        <v>1.3622464789144124E-3</v>
      </c>
      <c r="L32" s="81"/>
    </row>
    <row r="33" spans="1:12" x14ac:dyDescent="0.25">
      <c r="A33" s="163" t="s">
        <v>146</v>
      </c>
      <c r="B33" s="164" t="s">
        <v>133</v>
      </c>
      <c r="C33" s="165">
        <v>0</v>
      </c>
      <c r="D33" s="165">
        <v>332</v>
      </c>
      <c r="E33" s="165">
        <v>2016</v>
      </c>
      <c r="F33" s="165">
        <v>2910</v>
      </c>
      <c r="G33" s="165">
        <v>1609</v>
      </c>
      <c r="H33" s="165">
        <v>1859</v>
      </c>
      <c r="I33" s="166">
        <f t="shared" si="6"/>
        <v>0.15537600994406464</v>
      </c>
      <c r="J33" s="165">
        <f t="shared" si="5"/>
        <v>250</v>
      </c>
      <c r="K33" s="166">
        <f t="shared" si="7"/>
        <v>6.7929619214106556E-4</v>
      </c>
      <c r="L33" s="81"/>
    </row>
    <row r="34" spans="1:12" x14ac:dyDescent="0.25">
      <c r="A34" s="163" t="s">
        <v>147</v>
      </c>
      <c r="B34" s="169" t="s">
        <v>147</v>
      </c>
      <c r="C34" s="170">
        <f t="shared" ref="C34" si="8">C26-SUM(C27:C33)</f>
        <v>0</v>
      </c>
      <c r="D34" s="170">
        <f t="shared" ref="D34:H34" si="9">D26-SUM(D27:D33)</f>
        <v>67237</v>
      </c>
      <c r="E34" s="170">
        <f t="shared" si="9"/>
        <v>183750</v>
      </c>
      <c r="F34" s="170">
        <f t="shared" si="9"/>
        <v>195426</v>
      </c>
      <c r="G34" s="170">
        <f t="shared" si="9"/>
        <v>206993</v>
      </c>
      <c r="H34" s="170">
        <f t="shared" si="9"/>
        <v>200044</v>
      </c>
      <c r="I34" s="171">
        <f t="shared" si="6"/>
        <v>-3.3571183566594054E-2</v>
      </c>
      <c r="J34" s="170">
        <f>H34-G34</f>
        <v>-6949</v>
      </c>
      <c r="K34" s="171">
        <f t="shared" si="7"/>
        <v>7.3097970662005018E-2</v>
      </c>
      <c r="L34" s="81"/>
    </row>
    <row r="35" spans="1:12" s="147" customFormat="1" x14ac:dyDescent="0.25">
      <c r="A35" s="163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</row>
    <row r="36" spans="1:12" x14ac:dyDescent="0.25">
      <c r="A36" s="163"/>
      <c r="B36" s="157" t="s">
        <v>70</v>
      </c>
      <c r="C36" s="177">
        <v>0</v>
      </c>
      <c r="D36" s="177">
        <v>113899</v>
      </c>
      <c r="E36" s="177">
        <v>672943</v>
      </c>
      <c r="F36" s="177">
        <v>758024</v>
      </c>
      <c r="G36" s="177">
        <v>787690</v>
      </c>
      <c r="H36" s="177">
        <v>808867</v>
      </c>
      <c r="I36" s="178">
        <f>IFERROR(H36/G36-1,"-")</f>
        <v>2.6884942045728666E-2</v>
      </c>
      <c r="J36" s="177">
        <f>H36-G36</f>
        <v>21177</v>
      </c>
      <c r="K36" s="178">
        <f>H36/H$8</f>
        <v>0.29556765629293563</v>
      </c>
      <c r="L36" s="81"/>
    </row>
    <row r="37" spans="1:12" x14ac:dyDescent="0.25">
      <c r="A37" s="163" t="s">
        <v>98</v>
      </c>
      <c r="B37" s="160" t="s">
        <v>99</v>
      </c>
      <c r="C37" s="161">
        <v>0</v>
      </c>
      <c r="D37" s="161">
        <v>23727</v>
      </c>
      <c r="E37" s="161">
        <v>44483</v>
      </c>
      <c r="F37" s="161">
        <v>44590</v>
      </c>
      <c r="G37" s="161">
        <v>47095</v>
      </c>
      <c r="H37" s="161">
        <v>48568</v>
      </c>
      <c r="I37" s="162">
        <f>IFERROR(H37/G37-1,"-")</f>
        <v>3.1277205648158057E-2</v>
      </c>
      <c r="J37" s="161">
        <f t="shared" ref="J37:J47" si="10">H37-G37</f>
        <v>1473</v>
      </c>
      <c r="K37" s="162">
        <f>H37/H$8</f>
        <v>1.7747206810063084E-2</v>
      </c>
      <c r="L37" s="81"/>
    </row>
    <row r="38" spans="1:12" x14ac:dyDescent="0.25">
      <c r="A38" s="163" t="s">
        <v>105</v>
      </c>
      <c r="B38" s="164" t="s">
        <v>105</v>
      </c>
      <c r="C38" s="165">
        <v>0</v>
      </c>
      <c r="D38" s="165">
        <v>11642</v>
      </c>
      <c r="E38" s="165">
        <v>14878</v>
      </c>
      <c r="F38" s="165">
        <v>18314</v>
      </c>
      <c r="G38" s="165">
        <v>22158</v>
      </c>
      <c r="H38" s="165">
        <v>19031</v>
      </c>
      <c r="I38" s="166">
        <f>IFERROR(H38/G38-1,"-")</f>
        <v>-0.14112284502211392</v>
      </c>
      <c r="J38" s="165">
        <f t="shared" si="10"/>
        <v>-3127</v>
      </c>
      <c r="K38" s="166">
        <f>H38/H$8</f>
        <v>6.9541074946942545E-3</v>
      </c>
      <c r="L38" s="81"/>
    </row>
    <row r="39" spans="1:12" x14ac:dyDescent="0.25">
      <c r="A39" s="163" t="s">
        <v>102</v>
      </c>
      <c r="B39" s="164" t="s">
        <v>102</v>
      </c>
      <c r="C39" s="165">
        <v>0</v>
      </c>
      <c r="D39" s="165">
        <v>12085</v>
      </c>
      <c r="E39" s="165">
        <v>29605</v>
      </c>
      <c r="F39" s="165">
        <v>26276</v>
      </c>
      <c r="G39" s="165">
        <v>24937</v>
      </c>
      <c r="H39" s="165">
        <v>29537</v>
      </c>
      <c r="I39" s="166">
        <f>IFERROR(H39/G39-1,"-")</f>
        <v>0.18446485142559244</v>
      </c>
      <c r="J39" s="165">
        <f t="shared" si="10"/>
        <v>4600</v>
      </c>
      <c r="K39" s="166">
        <f>H39/H$8</f>
        <v>1.079309931536883E-2</v>
      </c>
      <c r="L39" s="81"/>
    </row>
    <row r="40" spans="1:12" x14ac:dyDescent="0.25">
      <c r="A40" s="163"/>
      <c r="B40" s="160" t="s">
        <v>109</v>
      </c>
      <c r="C40" s="161">
        <v>0</v>
      </c>
      <c r="D40" s="161">
        <v>90172</v>
      </c>
      <c r="E40" s="161">
        <v>628460</v>
      </c>
      <c r="F40" s="161">
        <v>713434</v>
      </c>
      <c r="G40" s="161">
        <v>740595</v>
      </c>
      <c r="H40" s="161">
        <v>760299</v>
      </c>
      <c r="I40" s="162">
        <f>IFERROR(H40/G40-1,"-")</f>
        <v>2.6605634658618982E-2</v>
      </c>
      <c r="J40" s="161">
        <f t="shared" si="10"/>
        <v>19704</v>
      </c>
      <c r="K40" s="162">
        <f>H40/H$8</f>
        <v>0.27782044948287254</v>
      </c>
      <c r="L40" s="81"/>
    </row>
    <row r="41" spans="1:12" s="57" customFormat="1" x14ac:dyDescent="0.25">
      <c r="A41" s="163"/>
      <c r="B41" s="164" t="s">
        <v>112</v>
      </c>
      <c r="C41" s="165">
        <v>0</v>
      </c>
      <c r="D41" s="165">
        <v>8660</v>
      </c>
      <c r="E41" s="165">
        <v>382090</v>
      </c>
      <c r="F41" s="165">
        <v>428359</v>
      </c>
      <c r="G41" s="165">
        <v>458450</v>
      </c>
      <c r="H41" s="165">
        <v>466474</v>
      </c>
      <c r="I41" s="166">
        <f t="shared" ref="I41:I48" si="11">IFERROR(H41/G41-1,"-")</f>
        <v>1.7502453920820171E-2</v>
      </c>
      <c r="J41" s="165">
        <f t="shared" si="10"/>
        <v>8024</v>
      </c>
      <c r="K41" s="166">
        <f t="shared" ref="K41:K48" si="12">H41/H$8</f>
        <v>0.17045401394987167</v>
      </c>
      <c r="L41" s="167"/>
    </row>
    <row r="42" spans="1:12" s="57" customFormat="1" x14ac:dyDescent="0.25">
      <c r="A42" s="163"/>
      <c r="B42" s="164" t="s">
        <v>115</v>
      </c>
      <c r="C42" s="165">
        <v>0</v>
      </c>
      <c r="D42" s="165">
        <v>6327</v>
      </c>
      <c r="E42" s="165">
        <v>19444</v>
      </c>
      <c r="F42" s="165">
        <v>23745</v>
      </c>
      <c r="G42" s="165">
        <v>18611</v>
      </c>
      <c r="H42" s="165">
        <v>24240</v>
      </c>
      <c r="I42" s="166">
        <f t="shared" si="11"/>
        <v>0.30245553704798245</v>
      </c>
      <c r="J42" s="165">
        <f t="shared" si="10"/>
        <v>5629</v>
      </c>
      <c r="K42" s="166">
        <f t="shared" si="12"/>
        <v>8.8575253886495047E-3</v>
      </c>
      <c r="L42" s="167"/>
    </row>
    <row r="43" spans="1:12" x14ac:dyDescent="0.25">
      <c r="A43" s="163"/>
      <c r="B43" s="164" t="s">
        <v>118</v>
      </c>
      <c r="C43" s="165">
        <v>0</v>
      </c>
      <c r="D43" s="165">
        <v>7506</v>
      </c>
      <c r="E43" s="165">
        <v>11078</v>
      </c>
      <c r="F43" s="165">
        <v>16213</v>
      </c>
      <c r="G43" s="165">
        <v>18025</v>
      </c>
      <c r="H43" s="165">
        <v>15950</v>
      </c>
      <c r="I43" s="166">
        <f t="shared" si="11"/>
        <v>-0.11511789181692089</v>
      </c>
      <c r="J43" s="165">
        <f t="shared" si="10"/>
        <v>-2075</v>
      </c>
      <c r="K43" s="166">
        <f t="shared" si="12"/>
        <v>5.8282809384884327E-3</v>
      </c>
      <c r="L43" s="81"/>
    </row>
    <row r="44" spans="1:12" x14ac:dyDescent="0.25">
      <c r="A44" s="163"/>
      <c r="B44" s="164" t="s">
        <v>125</v>
      </c>
      <c r="C44" s="165">
        <v>0</v>
      </c>
      <c r="D44" s="165">
        <v>16579</v>
      </c>
      <c r="E44" s="165">
        <v>34341</v>
      </c>
      <c r="F44" s="165">
        <v>38151</v>
      </c>
      <c r="G44" s="165">
        <v>35459</v>
      </c>
      <c r="H44" s="165">
        <v>31460</v>
      </c>
      <c r="I44" s="166">
        <f t="shared" si="11"/>
        <v>-0.11277813813136295</v>
      </c>
      <c r="J44" s="165">
        <f t="shared" si="10"/>
        <v>-3999</v>
      </c>
      <c r="K44" s="166">
        <f t="shared" si="12"/>
        <v>1.1495781713156494E-2</v>
      </c>
      <c r="L44" s="81"/>
    </row>
    <row r="45" spans="1:12" x14ac:dyDescent="0.25">
      <c r="A45" s="163"/>
      <c r="B45" s="164" t="s">
        <v>121</v>
      </c>
      <c r="C45" s="165">
        <v>0</v>
      </c>
      <c r="D45" s="165">
        <v>9995</v>
      </c>
      <c r="E45" s="165">
        <v>22144</v>
      </c>
      <c r="F45" s="165">
        <v>26526</v>
      </c>
      <c r="G45" s="165">
        <v>22751</v>
      </c>
      <c r="H45" s="165">
        <v>24911</v>
      </c>
      <c r="I45" s="166">
        <f t="shared" si="11"/>
        <v>9.4940881719484782E-2</v>
      </c>
      <c r="J45" s="165">
        <f t="shared" si="10"/>
        <v>2160</v>
      </c>
      <c r="K45" s="166">
        <f t="shared" si="12"/>
        <v>9.1027151384755704E-3</v>
      </c>
      <c r="L45" s="81"/>
    </row>
    <row r="46" spans="1:12" x14ac:dyDescent="0.25">
      <c r="A46" s="163"/>
      <c r="B46" s="164" t="s">
        <v>130</v>
      </c>
      <c r="C46" s="165">
        <v>0</v>
      </c>
      <c r="D46" s="165">
        <v>420</v>
      </c>
      <c r="E46" s="165">
        <v>2257</v>
      </c>
      <c r="F46" s="165">
        <v>4389</v>
      </c>
      <c r="G46" s="165">
        <v>3883</v>
      </c>
      <c r="H46" s="165">
        <v>3158</v>
      </c>
      <c r="I46" s="166">
        <f t="shared" si="11"/>
        <v>-0.18671130569147565</v>
      </c>
      <c r="J46" s="165">
        <f t="shared" si="10"/>
        <v>-725</v>
      </c>
      <c r="K46" s="166">
        <f t="shared" si="12"/>
        <v>1.1539630848743869E-3</v>
      </c>
      <c r="L46" s="81"/>
    </row>
    <row r="47" spans="1:12" x14ac:dyDescent="0.25">
      <c r="A47" s="163" t="s">
        <v>146</v>
      </c>
      <c r="B47" s="164" t="s">
        <v>133</v>
      </c>
      <c r="C47" s="165">
        <v>0</v>
      </c>
      <c r="D47" s="165">
        <v>78</v>
      </c>
      <c r="E47" s="165">
        <v>1267</v>
      </c>
      <c r="F47" s="165">
        <v>2269</v>
      </c>
      <c r="G47" s="165">
        <v>1043</v>
      </c>
      <c r="H47" s="165">
        <v>962</v>
      </c>
      <c r="I47" s="166">
        <f t="shared" si="11"/>
        <v>-7.766059443911788E-2</v>
      </c>
      <c r="J47" s="165">
        <f t="shared" si="10"/>
        <v>-81</v>
      </c>
      <c r="K47" s="166">
        <f t="shared" si="12"/>
        <v>3.5152390362544651E-4</v>
      </c>
      <c r="L47" s="81"/>
    </row>
    <row r="48" spans="1:12" x14ac:dyDescent="0.25">
      <c r="A48" s="163" t="s">
        <v>147</v>
      </c>
      <c r="B48" s="169" t="s">
        <v>147</v>
      </c>
      <c r="C48" s="170">
        <f t="shared" ref="C48" si="13">C40-SUM(C41:C47)</f>
        <v>0</v>
      </c>
      <c r="D48" s="170">
        <f t="shared" ref="D48:H48" si="14">D40-SUM(D41:D47)</f>
        <v>40607</v>
      </c>
      <c r="E48" s="170">
        <f t="shared" si="14"/>
        <v>155839</v>
      </c>
      <c r="F48" s="170">
        <f t="shared" si="14"/>
        <v>173782</v>
      </c>
      <c r="G48" s="170">
        <f t="shared" si="14"/>
        <v>182373</v>
      </c>
      <c r="H48" s="170">
        <f t="shared" si="14"/>
        <v>193144</v>
      </c>
      <c r="I48" s="171">
        <f t="shared" si="11"/>
        <v>5.9060277563016461E-2</v>
      </c>
      <c r="J48" s="170">
        <f>H48-G48</f>
        <v>10771</v>
      </c>
      <c r="K48" s="171">
        <f t="shared" si="12"/>
        <v>7.0576645365731022E-2</v>
      </c>
      <c r="L48" s="81"/>
    </row>
    <row r="49" spans="1:12" s="147" customFormat="1" x14ac:dyDescent="0.25">
      <c r="A49" s="163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</row>
    <row r="50" spans="1:12" x14ac:dyDescent="0.25">
      <c r="A50" s="163"/>
      <c r="B50" s="157" t="s">
        <v>70</v>
      </c>
      <c r="C50" s="177">
        <v>0</v>
      </c>
      <c r="D50" s="177">
        <v>5772</v>
      </c>
      <c r="E50" s="177">
        <v>11814</v>
      </c>
      <c r="F50" s="177">
        <v>11134</v>
      </c>
      <c r="G50" s="177">
        <v>12283</v>
      </c>
      <c r="H50" s="177">
        <v>17483</v>
      </c>
      <c r="I50" s="178">
        <f>IFERROR(H50/G50-1,"-")</f>
        <v>0.42334934462264928</v>
      </c>
      <c r="J50" s="177">
        <f>H50-G50</f>
        <v>5200</v>
      </c>
      <c r="K50" s="178">
        <f>H50/H$8</f>
        <v>6.3884536456171323E-3</v>
      </c>
      <c r="L50" s="81"/>
    </row>
    <row r="51" spans="1:12" x14ac:dyDescent="0.25">
      <c r="A51" s="163" t="s">
        <v>98</v>
      </c>
      <c r="B51" s="160" t="s">
        <v>99</v>
      </c>
      <c r="C51" s="161">
        <v>0</v>
      </c>
      <c r="D51" s="161">
        <v>2003</v>
      </c>
      <c r="E51" s="161">
        <v>1369</v>
      </c>
      <c r="F51" s="161">
        <v>2638</v>
      </c>
      <c r="G51" s="161">
        <v>1891</v>
      </c>
      <c r="H51" s="161">
        <v>5317</v>
      </c>
      <c r="I51" s="162">
        <f>IFERROR(H51/G51-1,"-")</f>
        <v>1.8117398202009518</v>
      </c>
      <c r="J51" s="161">
        <f t="shared" ref="J51:J61" si="15">H51-G51</f>
        <v>3426</v>
      </c>
      <c r="K51" s="162">
        <f>H51/H$8</f>
        <v>1.9428821159838869E-3</v>
      </c>
      <c r="L51" s="81"/>
    </row>
    <row r="52" spans="1:12" x14ac:dyDescent="0.25">
      <c r="A52" s="163" t="s">
        <v>105</v>
      </c>
      <c r="B52" s="164" t="s">
        <v>105</v>
      </c>
      <c r="C52" s="165">
        <v>0</v>
      </c>
      <c r="D52" s="165">
        <v>807</v>
      </c>
      <c r="E52" s="165">
        <v>507</v>
      </c>
      <c r="F52" s="165">
        <v>1609</v>
      </c>
      <c r="G52" s="165">
        <v>643</v>
      </c>
      <c r="H52" s="165">
        <v>4564</v>
      </c>
      <c r="I52" s="166">
        <f>IFERROR(H52/G52-1,"-")</f>
        <v>6.0979782270606533</v>
      </c>
      <c r="J52" s="165">
        <f t="shared" si="15"/>
        <v>3921</v>
      </c>
      <c r="K52" s="166">
        <f>H52/H$8</f>
        <v>1.6677287901731164E-3</v>
      </c>
      <c r="L52" s="81"/>
    </row>
    <row r="53" spans="1:12" x14ac:dyDescent="0.25">
      <c r="A53" s="163" t="s">
        <v>102</v>
      </c>
      <c r="B53" s="164" t="s">
        <v>102</v>
      </c>
      <c r="C53" s="165">
        <v>0</v>
      </c>
      <c r="D53" s="165">
        <v>1196</v>
      </c>
      <c r="E53" s="165">
        <v>862</v>
      </c>
      <c r="F53" s="165">
        <v>1029</v>
      </c>
      <c r="G53" s="165">
        <v>1248</v>
      </c>
      <c r="H53" s="165">
        <v>753</v>
      </c>
      <c r="I53" s="166">
        <f>IFERROR(H53/G53-1,"-")</f>
        <v>-0.39663461538461542</v>
      </c>
      <c r="J53" s="165">
        <f t="shared" si="15"/>
        <v>-495</v>
      </c>
      <c r="K53" s="166">
        <f>H53/H$8</f>
        <v>2.7515332581077049E-4</v>
      </c>
      <c r="L53" s="81"/>
    </row>
    <row r="54" spans="1:12" x14ac:dyDescent="0.25">
      <c r="A54" s="163"/>
      <c r="B54" s="160" t="s">
        <v>109</v>
      </c>
      <c r="C54" s="161">
        <v>0</v>
      </c>
      <c r="D54" s="161">
        <v>3769</v>
      </c>
      <c r="E54" s="161">
        <v>10445</v>
      </c>
      <c r="F54" s="161">
        <v>8496</v>
      </c>
      <c r="G54" s="161">
        <v>10392</v>
      </c>
      <c r="H54" s="161">
        <v>12166</v>
      </c>
      <c r="I54" s="162">
        <f>IFERROR(H54/G54-1,"-")</f>
        <v>0.17070823710546579</v>
      </c>
      <c r="J54" s="161">
        <f t="shared" si="15"/>
        <v>1774</v>
      </c>
      <c r="K54" s="162">
        <f>H54/H$8</f>
        <v>4.4455715296332458E-3</v>
      </c>
      <c r="L54" s="81"/>
    </row>
    <row r="55" spans="1:12" s="57" customFormat="1" x14ac:dyDescent="0.25">
      <c r="A55" s="163"/>
      <c r="B55" s="164" t="s">
        <v>112</v>
      </c>
      <c r="C55" s="165">
        <v>0</v>
      </c>
      <c r="D55" s="165">
        <v>173</v>
      </c>
      <c r="E55" s="165">
        <v>5659</v>
      </c>
      <c r="F55" s="165">
        <v>4750</v>
      </c>
      <c r="G55" s="165">
        <v>8026</v>
      </c>
      <c r="H55" s="165">
        <v>5749</v>
      </c>
      <c r="I55" s="166">
        <f t="shared" ref="I55:I62" si="16">IFERROR(H55/G55-1,"-")</f>
        <v>-0.28370296536257167</v>
      </c>
      <c r="J55" s="165">
        <f t="shared" si="15"/>
        <v>-2277</v>
      </c>
      <c r="K55" s="166">
        <f t="shared" ref="K55:K62" si="17">H55/H$8</f>
        <v>2.1007390040984324E-3</v>
      </c>
      <c r="L55" s="167"/>
    </row>
    <row r="56" spans="1:12" s="57" customFormat="1" x14ac:dyDescent="0.25">
      <c r="A56" s="163"/>
      <c r="B56" s="164" t="s">
        <v>115</v>
      </c>
      <c r="C56" s="165">
        <v>0</v>
      </c>
      <c r="D56" s="165">
        <v>1480</v>
      </c>
      <c r="E56" s="165">
        <v>2083</v>
      </c>
      <c r="F56" s="165">
        <v>1387</v>
      </c>
      <c r="G56" s="165">
        <v>767</v>
      </c>
      <c r="H56" s="165">
        <v>2108</v>
      </c>
      <c r="I56" s="166">
        <f t="shared" si="16"/>
        <v>1.7483702737940026</v>
      </c>
      <c r="J56" s="165">
        <f t="shared" si="15"/>
        <v>1341</v>
      </c>
      <c r="K56" s="166">
        <f t="shared" si="17"/>
        <v>7.7028314848486619E-4</v>
      </c>
      <c r="L56" s="167"/>
    </row>
    <row r="57" spans="1:12" x14ac:dyDescent="0.25">
      <c r="A57" s="163"/>
      <c r="B57" s="164" t="s">
        <v>118</v>
      </c>
      <c r="C57" s="165">
        <v>0</v>
      </c>
      <c r="D57" s="165">
        <v>367</v>
      </c>
      <c r="E57" s="165">
        <v>313</v>
      </c>
      <c r="F57" s="165">
        <v>385</v>
      </c>
      <c r="G57" s="165">
        <v>222</v>
      </c>
      <c r="H57" s="165">
        <v>398</v>
      </c>
      <c r="I57" s="166">
        <f t="shared" si="16"/>
        <v>0.79279279279279269</v>
      </c>
      <c r="J57" s="165">
        <f t="shared" si="15"/>
        <v>176</v>
      </c>
      <c r="K57" s="166">
        <f t="shared" si="17"/>
        <v>1.4543296636478973E-4</v>
      </c>
      <c r="L57" s="81"/>
    </row>
    <row r="58" spans="1:12" x14ac:dyDescent="0.25">
      <c r="A58" s="163"/>
      <c r="B58" s="164" t="s">
        <v>125</v>
      </c>
      <c r="C58" s="165">
        <v>0</v>
      </c>
      <c r="D58" s="165">
        <v>96</v>
      </c>
      <c r="E58" s="165">
        <v>154</v>
      </c>
      <c r="F58" s="165">
        <v>117</v>
      </c>
      <c r="G58" s="165">
        <v>40</v>
      </c>
      <c r="H58" s="165">
        <v>459</v>
      </c>
      <c r="I58" s="166">
        <f t="shared" si="16"/>
        <v>10.475</v>
      </c>
      <c r="J58" s="165">
        <f t="shared" si="15"/>
        <v>419</v>
      </c>
      <c r="K58" s="166">
        <f t="shared" si="17"/>
        <v>1.6772294362170473E-4</v>
      </c>
      <c r="L58" s="81"/>
    </row>
    <row r="59" spans="1:12" x14ac:dyDescent="0.25">
      <c r="A59" s="163"/>
      <c r="B59" s="164" t="s">
        <v>121</v>
      </c>
      <c r="C59" s="165">
        <v>0</v>
      </c>
      <c r="D59" s="165">
        <v>96</v>
      </c>
      <c r="E59" s="165">
        <v>105</v>
      </c>
      <c r="F59" s="165">
        <v>133</v>
      </c>
      <c r="G59" s="165">
        <v>19</v>
      </c>
      <c r="H59" s="165">
        <v>289</v>
      </c>
      <c r="I59" s="166">
        <f t="shared" si="16"/>
        <v>14.210526315789474</v>
      </c>
      <c r="J59" s="165">
        <f t="shared" si="15"/>
        <v>270</v>
      </c>
      <c r="K59" s="166">
        <f t="shared" si="17"/>
        <v>1.056033348729252E-4</v>
      </c>
      <c r="L59" s="81"/>
    </row>
    <row r="60" spans="1:12" x14ac:dyDescent="0.25">
      <c r="A60" s="163"/>
      <c r="B60" s="164" t="s">
        <v>130</v>
      </c>
      <c r="C60" s="165">
        <v>0</v>
      </c>
      <c r="D60" s="165">
        <v>26</v>
      </c>
      <c r="E60" s="165">
        <v>0</v>
      </c>
      <c r="F60" s="165">
        <v>24</v>
      </c>
      <c r="G60" s="165">
        <v>0</v>
      </c>
      <c r="H60" s="165">
        <v>2</v>
      </c>
      <c r="I60" s="166" t="str">
        <f t="shared" si="16"/>
        <v>-</v>
      </c>
      <c r="J60" s="165">
        <f t="shared" si="15"/>
        <v>2</v>
      </c>
      <c r="K60" s="166">
        <f t="shared" si="17"/>
        <v>7.3081892645622984E-7</v>
      </c>
      <c r="L60" s="81"/>
    </row>
    <row r="61" spans="1:12" x14ac:dyDescent="0.25">
      <c r="A61" s="163" t="s">
        <v>146</v>
      </c>
      <c r="B61" s="164" t="s">
        <v>133</v>
      </c>
      <c r="C61" s="165">
        <v>0</v>
      </c>
      <c r="D61" s="165">
        <v>0</v>
      </c>
      <c r="E61" s="165">
        <v>1</v>
      </c>
      <c r="F61" s="165">
        <v>5</v>
      </c>
      <c r="G61" s="165">
        <v>1</v>
      </c>
      <c r="H61" s="165">
        <v>97</v>
      </c>
      <c r="I61" s="166">
        <f t="shared" si="16"/>
        <v>96</v>
      </c>
      <c r="J61" s="165">
        <f t="shared" si="15"/>
        <v>96</v>
      </c>
      <c r="K61" s="166">
        <f t="shared" si="17"/>
        <v>3.5444717933127147E-5</v>
      </c>
      <c r="L61" s="81"/>
    </row>
    <row r="62" spans="1:12" x14ac:dyDescent="0.25">
      <c r="A62" s="163" t="s">
        <v>147</v>
      </c>
      <c r="B62" s="169" t="s">
        <v>147</v>
      </c>
      <c r="C62" s="170">
        <f t="shared" ref="C62" si="18">C54-SUM(C55:C61)</f>
        <v>0</v>
      </c>
      <c r="D62" s="170">
        <f t="shared" ref="D62:H62" si="19">D54-SUM(D55:D61)</f>
        <v>1531</v>
      </c>
      <c r="E62" s="170">
        <f t="shared" si="19"/>
        <v>2130</v>
      </c>
      <c r="F62" s="170">
        <f t="shared" si="19"/>
        <v>1695</v>
      </c>
      <c r="G62" s="170">
        <f t="shared" si="19"/>
        <v>1317</v>
      </c>
      <c r="H62" s="170">
        <f t="shared" si="19"/>
        <v>3064</v>
      </c>
      <c r="I62" s="171">
        <f t="shared" si="16"/>
        <v>1.3264996203492787</v>
      </c>
      <c r="J62" s="170">
        <f>H62-G62</f>
        <v>1747</v>
      </c>
      <c r="K62" s="171">
        <f t="shared" si="17"/>
        <v>1.1196145953309439E-3</v>
      </c>
      <c r="L62" s="81"/>
    </row>
    <row r="63" spans="1:12" s="147" customFormat="1" x14ac:dyDescent="0.25">
      <c r="A63" s="163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2" x14ac:dyDescent="0.25">
      <c r="A64" s="163"/>
      <c r="B64" s="157" t="s">
        <v>70</v>
      </c>
      <c r="C64" s="177">
        <v>0</v>
      </c>
      <c r="D64" s="177">
        <v>14068</v>
      </c>
      <c r="E64" s="177">
        <v>50889</v>
      </c>
      <c r="F64" s="177">
        <v>61354</v>
      </c>
      <c r="G64" s="177">
        <v>78527</v>
      </c>
      <c r="H64" s="177">
        <v>92544</v>
      </c>
      <c r="I64" s="178">
        <f>IFERROR(H64/G64-1,"-")</f>
        <v>0.17849911495409221</v>
      </c>
      <c r="J64" s="177">
        <f>H64-G64</f>
        <v>14017</v>
      </c>
      <c r="K64" s="178">
        <f>H64/H$8</f>
        <v>3.3816453364982665E-2</v>
      </c>
      <c r="L64" s="81"/>
    </row>
    <row r="65" spans="1:12" x14ac:dyDescent="0.25">
      <c r="A65" s="163" t="s">
        <v>98</v>
      </c>
      <c r="B65" s="160" t="s">
        <v>99</v>
      </c>
      <c r="C65" s="161">
        <v>0</v>
      </c>
      <c r="D65" s="161">
        <v>3816</v>
      </c>
      <c r="E65" s="161">
        <v>6475</v>
      </c>
      <c r="F65" s="161">
        <v>23762</v>
      </c>
      <c r="G65" s="161">
        <v>29035</v>
      </c>
      <c r="H65" s="161">
        <v>23626</v>
      </c>
      <c r="I65" s="162">
        <f>IFERROR(H65/G65-1,"-")</f>
        <v>-0.18629240571723782</v>
      </c>
      <c r="J65" s="161">
        <f t="shared" ref="J65:J75" si="20">H65-G65</f>
        <v>-5409</v>
      </c>
      <c r="K65" s="162">
        <f>H65/H$8</f>
        <v>8.6331639782274427E-3</v>
      </c>
      <c r="L65" s="81"/>
    </row>
    <row r="66" spans="1:12" x14ac:dyDescent="0.25">
      <c r="A66" s="163" t="s">
        <v>105</v>
      </c>
      <c r="B66" s="164" t="s">
        <v>105</v>
      </c>
      <c r="C66" s="165">
        <v>0</v>
      </c>
      <c r="D66" s="165">
        <v>2560</v>
      </c>
      <c r="E66" s="165">
        <v>5637</v>
      </c>
      <c r="F66" s="165">
        <v>15700</v>
      </c>
      <c r="G66" s="165">
        <v>20066</v>
      </c>
      <c r="H66" s="165">
        <v>6232</v>
      </c>
      <c r="I66" s="166">
        <f>IFERROR(H66/G66-1,"-")</f>
        <v>-0.68942489783713745</v>
      </c>
      <c r="J66" s="165">
        <f t="shared" si="20"/>
        <v>-13834</v>
      </c>
      <c r="K66" s="166">
        <f>H66/H$8</f>
        <v>2.2772317748376118E-3</v>
      </c>
      <c r="L66" s="81"/>
    </row>
    <row r="67" spans="1:12" x14ac:dyDescent="0.25">
      <c r="A67" s="163" t="s">
        <v>102</v>
      </c>
      <c r="B67" s="164" t="s">
        <v>102</v>
      </c>
      <c r="C67" s="165">
        <v>0</v>
      </c>
      <c r="D67" s="165">
        <v>1256</v>
      </c>
      <c r="E67" s="165">
        <v>838</v>
      </c>
      <c r="F67" s="165">
        <v>8062</v>
      </c>
      <c r="G67" s="165">
        <v>8969</v>
      </c>
      <c r="H67" s="165">
        <v>17394</v>
      </c>
      <c r="I67" s="166">
        <f>IFERROR(H67/G67-1,"-")</f>
        <v>0.93934663842122879</v>
      </c>
      <c r="J67" s="165">
        <f t="shared" si="20"/>
        <v>8425</v>
      </c>
      <c r="K67" s="166">
        <f>H67/H$8</f>
        <v>6.3559322033898309E-3</v>
      </c>
      <c r="L67" s="81"/>
    </row>
    <row r="68" spans="1:12" x14ac:dyDescent="0.25">
      <c r="A68" s="163"/>
      <c r="B68" s="160" t="s">
        <v>109</v>
      </c>
      <c r="C68" s="161">
        <v>0</v>
      </c>
      <c r="D68" s="161">
        <v>10252</v>
      </c>
      <c r="E68" s="161">
        <v>44414</v>
      </c>
      <c r="F68" s="161">
        <v>37592</v>
      </c>
      <c r="G68" s="161">
        <v>49492</v>
      </c>
      <c r="H68" s="161">
        <v>68918</v>
      </c>
      <c r="I68" s="162">
        <f>IFERROR(H68/G68-1,"-")</f>
        <v>0.39250788006142412</v>
      </c>
      <c r="J68" s="161">
        <f t="shared" si="20"/>
        <v>19426</v>
      </c>
      <c r="K68" s="162">
        <f>H68/H$8</f>
        <v>2.5183289386755223E-2</v>
      </c>
      <c r="L68" s="81"/>
    </row>
    <row r="69" spans="1:12" s="57" customFormat="1" x14ac:dyDescent="0.25">
      <c r="A69" s="163"/>
      <c r="B69" s="164" t="s">
        <v>112</v>
      </c>
      <c r="C69" s="165">
        <v>0</v>
      </c>
      <c r="D69" s="165">
        <v>2152</v>
      </c>
      <c r="E69" s="165">
        <v>19904</v>
      </c>
      <c r="F69" s="165">
        <v>10307</v>
      </c>
      <c r="G69" s="165">
        <v>27425</v>
      </c>
      <c r="H69" s="165">
        <v>39632</v>
      </c>
      <c r="I69" s="166">
        <f t="shared" ref="I69:I76" si="21">IFERROR(H69/G69-1,"-")</f>
        <v>0.44510483135824974</v>
      </c>
      <c r="J69" s="165">
        <f t="shared" si="20"/>
        <v>12207</v>
      </c>
      <c r="K69" s="166">
        <f t="shared" ref="K69:K76" si="22">H69/H$8</f>
        <v>1.448190784665665E-2</v>
      </c>
      <c r="L69" s="167"/>
    </row>
    <row r="70" spans="1:12" s="57" customFormat="1" x14ac:dyDescent="0.25">
      <c r="A70" s="163"/>
      <c r="B70" s="164" t="s">
        <v>115</v>
      </c>
      <c r="C70" s="165">
        <v>0</v>
      </c>
      <c r="D70" s="165">
        <v>1408</v>
      </c>
      <c r="E70" s="165">
        <v>3591</v>
      </c>
      <c r="F70" s="165">
        <v>10666</v>
      </c>
      <c r="G70" s="165">
        <v>2892</v>
      </c>
      <c r="H70" s="165">
        <v>4572</v>
      </c>
      <c r="I70" s="166">
        <f t="shared" si="21"/>
        <v>0.58091286307053935</v>
      </c>
      <c r="J70" s="165">
        <f t="shared" si="20"/>
        <v>1680</v>
      </c>
      <c r="K70" s="166">
        <f t="shared" si="22"/>
        <v>1.6706520658789413E-3</v>
      </c>
      <c r="L70" s="167"/>
    </row>
    <row r="71" spans="1:12" x14ac:dyDescent="0.25">
      <c r="A71" s="163"/>
      <c r="B71" s="164" t="s">
        <v>118</v>
      </c>
      <c r="C71" s="165">
        <v>0</v>
      </c>
      <c r="D71" s="165">
        <v>1301</v>
      </c>
      <c r="E71" s="165">
        <v>4140</v>
      </c>
      <c r="F71" s="165">
        <v>2887</v>
      </c>
      <c r="G71" s="165">
        <v>2445</v>
      </c>
      <c r="H71" s="165">
        <v>5101</v>
      </c>
      <c r="I71" s="166">
        <f t="shared" si="21"/>
        <v>1.0862985685071576</v>
      </c>
      <c r="J71" s="165">
        <f t="shared" si="20"/>
        <v>2656</v>
      </c>
      <c r="K71" s="166">
        <f t="shared" si="22"/>
        <v>1.8639536719266142E-3</v>
      </c>
      <c r="L71" s="81"/>
    </row>
    <row r="72" spans="1:12" x14ac:dyDescent="0.25">
      <c r="A72" s="163"/>
      <c r="B72" s="164" t="s">
        <v>125</v>
      </c>
      <c r="C72" s="165">
        <v>0</v>
      </c>
      <c r="D72" s="165">
        <v>1561</v>
      </c>
      <c r="E72" s="165">
        <v>1317</v>
      </c>
      <c r="F72" s="165">
        <v>854</v>
      </c>
      <c r="G72" s="165">
        <v>2058</v>
      </c>
      <c r="H72" s="165">
        <v>2195</v>
      </c>
      <c r="I72" s="166">
        <f t="shared" si="21"/>
        <v>6.6569484936831902E-2</v>
      </c>
      <c r="J72" s="165">
        <f t="shared" si="20"/>
        <v>137</v>
      </c>
      <c r="K72" s="166">
        <f t="shared" si="22"/>
        <v>8.0207377178571221E-4</v>
      </c>
      <c r="L72" s="81"/>
    </row>
    <row r="73" spans="1:12" x14ac:dyDescent="0.25">
      <c r="A73" s="163"/>
      <c r="B73" s="164" t="s">
        <v>121</v>
      </c>
      <c r="C73" s="165">
        <v>0</v>
      </c>
      <c r="D73" s="165">
        <v>777</v>
      </c>
      <c r="E73" s="165">
        <v>727</v>
      </c>
      <c r="F73" s="165">
        <v>781</v>
      </c>
      <c r="G73" s="165">
        <v>753</v>
      </c>
      <c r="H73" s="165">
        <v>1239</v>
      </c>
      <c r="I73" s="166">
        <f t="shared" si="21"/>
        <v>0.64541832669322718</v>
      </c>
      <c r="J73" s="165">
        <f t="shared" si="20"/>
        <v>486</v>
      </c>
      <c r="K73" s="166">
        <f t="shared" si="22"/>
        <v>4.5274232493963435E-4</v>
      </c>
      <c r="L73" s="81"/>
    </row>
    <row r="74" spans="1:12" x14ac:dyDescent="0.25">
      <c r="A74" s="163"/>
      <c r="B74" s="164" t="s">
        <v>130</v>
      </c>
      <c r="C74" s="165">
        <v>0</v>
      </c>
      <c r="D74" s="165">
        <v>0</v>
      </c>
      <c r="E74" s="165">
        <v>172</v>
      </c>
      <c r="F74" s="165">
        <v>0</v>
      </c>
      <c r="G74" s="165">
        <v>4</v>
      </c>
      <c r="H74" s="165">
        <v>74</v>
      </c>
      <c r="I74" s="166">
        <f t="shared" si="21"/>
        <v>17.5</v>
      </c>
      <c r="J74" s="165">
        <f t="shared" si="20"/>
        <v>70</v>
      </c>
      <c r="K74" s="166">
        <f t="shared" si="22"/>
        <v>2.7040300278880501E-5</v>
      </c>
      <c r="L74" s="81"/>
    </row>
    <row r="75" spans="1:12" x14ac:dyDescent="0.25">
      <c r="A75" s="163" t="s">
        <v>146</v>
      </c>
      <c r="B75" s="164" t="s">
        <v>133</v>
      </c>
      <c r="C75" s="165">
        <v>0</v>
      </c>
      <c r="D75" s="165">
        <v>0</v>
      </c>
      <c r="E75" s="165">
        <v>435</v>
      </c>
      <c r="F75" s="165">
        <v>8</v>
      </c>
      <c r="G75" s="165">
        <v>77</v>
      </c>
      <c r="H75" s="165">
        <v>411</v>
      </c>
      <c r="I75" s="166">
        <f t="shared" si="21"/>
        <v>4.337662337662338</v>
      </c>
      <c r="J75" s="165">
        <f t="shared" si="20"/>
        <v>334</v>
      </c>
      <c r="K75" s="166">
        <f t="shared" si="22"/>
        <v>1.5018328938675522E-4</v>
      </c>
      <c r="L75" s="81"/>
    </row>
    <row r="76" spans="1:12" x14ac:dyDescent="0.25">
      <c r="A76" s="163" t="s">
        <v>147</v>
      </c>
      <c r="B76" s="169" t="s">
        <v>147</v>
      </c>
      <c r="C76" s="170">
        <f t="shared" ref="C76" si="23">C68-SUM(C69:C75)</f>
        <v>0</v>
      </c>
      <c r="D76" s="170">
        <f t="shared" ref="D76:H76" si="24">D68-SUM(D69:D75)</f>
        <v>3053</v>
      </c>
      <c r="E76" s="170">
        <f t="shared" si="24"/>
        <v>14128</v>
      </c>
      <c r="F76" s="170">
        <f t="shared" si="24"/>
        <v>12089</v>
      </c>
      <c r="G76" s="170">
        <f t="shared" si="24"/>
        <v>13838</v>
      </c>
      <c r="H76" s="170">
        <f t="shared" si="24"/>
        <v>15694</v>
      </c>
      <c r="I76" s="171">
        <f t="shared" si="21"/>
        <v>0.13412342824107526</v>
      </c>
      <c r="J76" s="170">
        <f>H76-G76</f>
        <v>1856</v>
      </c>
      <c r="K76" s="171">
        <f t="shared" si="22"/>
        <v>5.7347361159020352E-3</v>
      </c>
      <c r="L76" s="81"/>
    </row>
    <row r="77" spans="1:12" s="147" customFormat="1" x14ac:dyDescent="0.25">
      <c r="A77" s="163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</row>
    <row r="78" spans="1:12" x14ac:dyDescent="0.25">
      <c r="A78" s="163"/>
      <c r="B78" s="157" t="s">
        <v>70</v>
      </c>
      <c r="C78" s="177">
        <v>0</v>
      </c>
      <c r="D78" s="177">
        <v>110623</v>
      </c>
      <c r="E78" s="177">
        <v>364068</v>
      </c>
      <c r="F78" s="177">
        <v>393768</v>
      </c>
      <c r="G78" s="177">
        <v>460449</v>
      </c>
      <c r="H78" s="177">
        <v>430081</v>
      </c>
      <c r="I78" s="178">
        <f>IFERROR(H78/G78-1,"-")</f>
        <v>-6.5953015426246986E-2</v>
      </c>
      <c r="J78" s="177">
        <f>H78-G78</f>
        <v>-30368</v>
      </c>
      <c r="K78" s="178">
        <f>H78/H$8</f>
        <v>0.1571556673546109</v>
      </c>
      <c r="L78" s="81"/>
    </row>
    <row r="79" spans="1:12" x14ac:dyDescent="0.25">
      <c r="A79" s="163" t="s">
        <v>98</v>
      </c>
      <c r="B79" s="160" t="s">
        <v>99</v>
      </c>
      <c r="C79" s="161">
        <v>0</v>
      </c>
      <c r="D79" s="161">
        <v>57962</v>
      </c>
      <c r="E79" s="161">
        <v>189872</v>
      </c>
      <c r="F79" s="161">
        <v>185864</v>
      </c>
      <c r="G79" s="161">
        <v>186304</v>
      </c>
      <c r="H79" s="161">
        <v>183684</v>
      </c>
      <c r="I79" s="162">
        <f>IFERROR(H79/G79-1,"-")</f>
        <v>-1.4063036757128167E-2</v>
      </c>
      <c r="J79" s="161">
        <f t="shared" ref="J79:J89" si="25">H79-G79</f>
        <v>-2620</v>
      </c>
      <c r="K79" s="162">
        <f>H79/H$8</f>
        <v>6.7119871843593054E-2</v>
      </c>
      <c r="L79" s="81"/>
    </row>
    <row r="80" spans="1:12" x14ac:dyDescent="0.25">
      <c r="A80" s="163" t="s">
        <v>105</v>
      </c>
      <c r="B80" s="164" t="s">
        <v>105</v>
      </c>
      <c r="C80" s="165">
        <v>0</v>
      </c>
      <c r="D80" s="165">
        <v>15745</v>
      </c>
      <c r="E80" s="165">
        <v>23487</v>
      </c>
      <c r="F80" s="165">
        <v>34827</v>
      </c>
      <c r="G80" s="165">
        <v>40959</v>
      </c>
      <c r="H80" s="165">
        <v>23728</v>
      </c>
      <c r="I80" s="166">
        <f>IFERROR(H80/G80-1,"-")</f>
        <v>-0.42068898166459145</v>
      </c>
      <c r="J80" s="165">
        <f t="shared" si="25"/>
        <v>-17231</v>
      </c>
      <c r="K80" s="166">
        <f>H80/H$8</f>
        <v>8.6704357434767097E-3</v>
      </c>
      <c r="L80" s="81"/>
    </row>
    <row r="81" spans="1:12" x14ac:dyDescent="0.25">
      <c r="A81" s="163" t="s">
        <v>102</v>
      </c>
      <c r="B81" s="164" t="s">
        <v>102</v>
      </c>
      <c r="C81" s="165">
        <v>0</v>
      </c>
      <c r="D81" s="165">
        <v>42217</v>
      </c>
      <c r="E81" s="165">
        <v>166385</v>
      </c>
      <c r="F81" s="165">
        <v>151037</v>
      </c>
      <c r="G81" s="165">
        <v>145345</v>
      </c>
      <c r="H81" s="165">
        <v>159956</v>
      </c>
      <c r="I81" s="166">
        <f>IFERROR(H81/G81-1,"-")</f>
        <v>0.10052633389521493</v>
      </c>
      <c r="J81" s="165">
        <f t="shared" si="25"/>
        <v>14611</v>
      </c>
      <c r="K81" s="166">
        <f>H81/H$8</f>
        <v>5.8449436100116346E-2</v>
      </c>
      <c r="L81" s="81"/>
    </row>
    <row r="82" spans="1:12" x14ac:dyDescent="0.25">
      <c r="A82" s="163"/>
      <c r="B82" s="160" t="s">
        <v>109</v>
      </c>
      <c r="C82" s="161">
        <v>0</v>
      </c>
      <c r="D82" s="161">
        <v>52661</v>
      </c>
      <c r="E82" s="161">
        <v>174196</v>
      </c>
      <c r="F82" s="161">
        <v>207904</v>
      </c>
      <c r="G82" s="161">
        <v>274145</v>
      </c>
      <c r="H82" s="161">
        <v>246397</v>
      </c>
      <c r="I82" s="162">
        <f>IFERROR(H82/G82-1,"-")</f>
        <v>-0.10121650951138994</v>
      </c>
      <c r="J82" s="161">
        <f t="shared" si="25"/>
        <v>-27748</v>
      </c>
      <c r="K82" s="162">
        <f>H82/H$8</f>
        <v>9.0035795511017827E-2</v>
      </c>
      <c r="L82" s="81"/>
    </row>
    <row r="83" spans="1:12" s="57" customFormat="1" x14ac:dyDescent="0.25">
      <c r="A83" s="163"/>
      <c r="B83" s="164" t="s">
        <v>112</v>
      </c>
      <c r="C83" s="165">
        <v>0</v>
      </c>
      <c r="D83" s="165">
        <v>2217</v>
      </c>
      <c r="E83" s="165">
        <v>39494</v>
      </c>
      <c r="F83" s="165">
        <v>44671</v>
      </c>
      <c r="G83" s="165">
        <v>59447</v>
      </c>
      <c r="H83" s="165">
        <v>52733</v>
      </c>
      <c r="I83" s="166">
        <f t="shared" ref="I83:I90" si="26">IFERROR(H83/G83-1,"-")</f>
        <v>-0.11294093898766966</v>
      </c>
      <c r="J83" s="165">
        <f t="shared" si="25"/>
        <v>-6714</v>
      </c>
      <c r="K83" s="166">
        <f t="shared" ref="K83:K90" si="27">H83/H$8</f>
        <v>1.9269137224408182E-2</v>
      </c>
      <c r="L83" s="167"/>
    </row>
    <row r="84" spans="1:12" s="57" customFormat="1" x14ac:dyDescent="0.25">
      <c r="A84" s="163"/>
      <c r="B84" s="164" t="s">
        <v>115</v>
      </c>
      <c r="C84" s="165">
        <v>0</v>
      </c>
      <c r="D84" s="165">
        <v>18070</v>
      </c>
      <c r="E84" s="165">
        <v>67149</v>
      </c>
      <c r="F84" s="165">
        <v>68057</v>
      </c>
      <c r="G84" s="165">
        <v>81325</v>
      </c>
      <c r="H84" s="165">
        <v>77681</v>
      </c>
      <c r="I84" s="166">
        <f t="shared" si="26"/>
        <v>-4.4807869658776478E-2</v>
      </c>
      <c r="J84" s="165">
        <f t="shared" si="25"/>
        <v>-3644</v>
      </c>
      <c r="K84" s="166">
        <f t="shared" si="27"/>
        <v>2.8385372513023192E-2</v>
      </c>
      <c r="L84" s="167"/>
    </row>
    <row r="85" spans="1:12" x14ac:dyDescent="0.25">
      <c r="A85" s="163"/>
      <c r="B85" s="164" t="s">
        <v>118</v>
      </c>
      <c r="C85" s="165">
        <v>0</v>
      </c>
      <c r="D85" s="165">
        <v>6244</v>
      </c>
      <c r="E85" s="165">
        <v>10927</v>
      </c>
      <c r="F85" s="165">
        <v>16599</v>
      </c>
      <c r="G85" s="165">
        <v>31108</v>
      </c>
      <c r="H85" s="165">
        <v>22991</v>
      </c>
      <c r="I85" s="166">
        <f t="shared" si="26"/>
        <v>-0.26092966439501097</v>
      </c>
      <c r="J85" s="165">
        <f t="shared" si="25"/>
        <v>-8117</v>
      </c>
      <c r="K85" s="166">
        <f t="shared" si="27"/>
        <v>8.4011289690775898E-3</v>
      </c>
      <c r="L85" s="81"/>
    </row>
    <row r="86" spans="1:12" x14ac:dyDescent="0.25">
      <c r="A86" s="163"/>
      <c r="B86" s="164" t="s">
        <v>125</v>
      </c>
      <c r="C86" s="165">
        <v>0</v>
      </c>
      <c r="D86" s="165">
        <v>1221</v>
      </c>
      <c r="E86" s="165">
        <v>3989</v>
      </c>
      <c r="F86" s="165">
        <v>6037</v>
      </c>
      <c r="G86" s="165">
        <v>10443</v>
      </c>
      <c r="H86" s="165">
        <v>5971</v>
      </c>
      <c r="I86" s="166">
        <f t="shared" si="26"/>
        <v>-0.42822943598582786</v>
      </c>
      <c r="J86" s="165">
        <f t="shared" si="25"/>
        <v>-4472</v>
      </c>
      <c r="K86" s="166">
        <f t="shared" si="27"/>
        <v>2.1818599049350739E-3</v>
      </c>
      <c r="L86" s="81"/>
    </row>
    <row r="87" spans="1:12" x14ac:dyDescent="0.25">
      <c r="A87" s="163"/>
      <c r="B87" s="164" t="s">
        <v>121</v>
      </c>
      <c r="C87" s="165">
        <v>0</v>
      </c>
      <c r="D87" s="165">
        <v>1692</v>
      </c>
      <c r="E87" s="165">
        <v>2174</v>
      </c>
      <c r="F87" s="165">
        <v>2900</v>
      </c>
      <c r="G87" s="165">
        <v>4781</v>
      </c>
      <c r="H87" s="165">
        <v>4208</v>
      </c>
      <c r="I87" s="166">
        <f t="shared" si="26"/>
        <v>-0.11984940389039955</v>
      </c>
      <c r="J87" s="165">
        <f t="shared" si="25"/>
        <v>-573</v>
      </c>
      <c r="K87" s="166">
        <f t="shared" si="27"/>
        <v>1.5376430212639075E-3</v>
      </c>
      <c r="L87" s="81"/>
    </row>
    <row r="88" spans="1:12" x14ac:dyDescent="0.25">
      <c r="A88" s="163"/>
      <c r="B88" s="164" t="s">
        <v>130</v>
      </c>
      <c r="C88" s="165">
        <v>0</v>
      </c>
      <c r="D88" s="165">
        <v>167</v>
      </c>
      <c r="E88" s="165">
        <v>669</v>
      </c>
      <c r="F88" s="165">
        <v>1137</v>
      </c>
      <c r="G88" s="165">
        <v>942</v>
      </c>
      <c r="H88" s="165">
        <v>851</v>
      </c>
      <c r="I88" s="166">
        <f t="shared" si="26"/>
        <v>-9.6602972399150722E-2</v>
      </c>
      <c r="J88" s="165">
        <f t="shared" si="25"/>
        <v>-91</v>
      </c>
      <c r="K88" s="166">
        <f t="shared" si="27"/>
        <v>3.1096345320712578E-4</v>
      </c>
      <c r="L88" s="81"/>
    </row>
    <row r="89" spans="1:12" x14ac:dyDescent="0.25">
      <c r="A89" s="163" t="s">
        <v>146</v>
      </c>
      <c r="B89" s="164" t="s">
        <v>133</v>
      </c>
      <c r="C89" s="165">
        <v>0</v>
      </c>
      <c r="D89" s="165">
        <v>959</v>
      </c>
      <c r="E89" s="165">
        <v>476</v>
      </c>
      <c r="F89" s="165">
        <v>1174</v>
      </c>
      <c r="G89" s="165">
        <v>774</v>
      </c>
      <c r="H89" s="165">
        <v>405</v>
      </c>
      <c r="I89" s="166">
        <f t="shared" si="26"/>
        <v>-0.47674418604651159</v>
      </c>
      <c r="J89" s="165">
        <f t="shared" si="25"/>
        <v>-369</v>
      </c>
      <c r="K89" s="166">
        <f t="shared" si="27"/>
        <v>1.4799083260738654E-4</v>
      </c>
      <c r="L89" s="81"/>
    </row>
    <row r="90" spans="1:12" x14ac:dyDescent="0.25">
      <c r="A90" s="163" t="s">
        <v>147</v>
      </c>
      <c r="B90" s="169" t="s">
        <v>147</v>
      </c>
      <c r="C90" s="170">
        <f t="shared" ref="C90" si="28">C82-SUM(C83:C89)</f>
        <v>0</v>
      </c>
      <c r="D90" s="170">
        <f t="shared" ref="D90:H90" si="29">D82-SUM(D83:D89)</f>
        <v>22091</v>
      </c>
      <c r="E90" s="170">
        <f t="shared" si="29"/>
        <v>49318</v>
      </c>
      <c r="F90" s="170">
        <f t="shared" si="29"/>
        <v>67329</v>
      </c>
      <c r="G90" s="170">
        <f t="shared" si="29"/>
        <v>85325</v>
      </c>
      <c r="H90" s="170">
        <f t="shared" si="29"/>
        <v>81557</v>
      </c>
      <c r="I90" s="171">
        <f t="shared" si="26"/>
        <v>-4.4160562554937055E-2</v>
      </c>
      <c r="J90" s="170">
        <f>H90-G90</f>
        <v>-3768</v>
      </c>
      <c r="K90" s="171">
        <f t="shared" si="27"/>
        <v>2.9801699592495366E-2</v>
      </c>
      <c r="L90" s="81"/>
    </row>
    <row r="91" spans="1:12" s="147" customFormat="1" x14ac:dyDescent="0.25">
      <c r="A91" s="163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</row>
    <row r="92" spans="1:12" x14ac:dyDescent="0.25">
      <c r="A92" s="163"/>
      <c r="B92" s="157" t="s">
        <v>70</v>
      </c>
      <c r="C92" s="177">
        <v>0</v>
      </c>
      <c r="D92" s="177">
        <v>5487</v>
      </c>
      <c r="E92" s="177">
        <v>11277</v>
      </c>
      <c r="F92" s="177">
        <v>10373</v>
      </c>
      <c r="G92" s="177">
        <v>10115</v>
      </c>
      <c r="H92" s="177">
        <v>11658</v>
      </c>
      <c r="I92" s="178">
        <f>IFERROR(H92/G92-1,"-")</f>
        <v>0.15254572417202183</v>
      </c>
      <c r="J92" s="177">
        <f>H92-G92</f>
        <v>1543</v>
      </c>
      <c r="K92" s="178">
        <f>H92/H$8</f>
        <v>4.2599435223133631E-3</v>
      </c>
      <c r="L92" s="81"/>
    </row>
    <row r="93" spans="1:12" x14ac:dyDescent="0.25">
      <c r="A93" s="163" t="s">
        <v>98</v>
      </c>
      <c r="B93" s="160" t="s">
        <v>99</v>
      </c>
      <c r="C93" s="161">
        <v>0</v>
      </c>
      <c r="D93" s="161">
        <v>3249</v>
      </c>
      <c r="E93" s="161">
        <v>7954</v>
      </c>
      <c r="F93" s="161">
        <v>6546</v>
      </c>
      <c r="G93" s="161">
        <v>6147</v>
      </c>
      <c r="H93" s="161">
        <v>7419</v>
      </c>
      <c r="I93" s="162">
        <f>IFERROR(H93/G93-1,"-")</f>
        <v>0.20693020985846755</v>
      </c>
      <c r="J93" s="161">
        <f t="shared" ref="J93:J103" si="30">H93-G93</f>
        <v>1272</v>
      </c>
      <c r="K93" s="162">
        <f>H93/H$8</f>
        <v>2.7109728076893844E-3</v>
      </c>
      <c r="L93" s="81"/>
    </row>
    <row r="94" spans="1:12" x14ac:dyDescent="0.25">
      <c r="A94" s="163" t="s">
        <v>105</v>
      </c>
      <c r="B94" s="164" t="s">
        <v>105</v>
      </c>
      <c r="C94" s="165">
        <v>0</v>
      </c>
      <c r="D94" s="165">
        <v>1771</v>
      </c>
      <c r="E94" s="165">
        <v>4228</v>
      </c>
      <c r="F94" s="165">
        <v>1166</v>
      </c>
      <c r="G94" s="165">
        <v>1164</v>
      </c>
      <c r="H94" s="165">
        <v>3102</v>
      </c>
      <c r="I94" s="166">
        <f>IFERROR(H94/G94-1,"-")</f>
        <v>1.6649484536082473</v>
      </c>
      <c r="J94" s="165">
        <f t="shared" si="30"/>
        <v>1938</v>
      </c>
      <c r="K94" s="166">
        <f>H94/H$8</f>
        <v>1.1335001549336123E-3</v>
      </c>
      <c r="L94" s="81"/>
    </row>
    <row r="95" spans="1:12" x14ac:dyDescent="0.25">
      <c r="A95" s="163" t="s">
        <v>102</v>
      </c>
      <c r="B95" s="164" t="s">
        <v>102</v>
      </c>
      <c r="C95" s="165">
        <v>0</v>
      </c>
      <c r="D95" s="165">
        <v>1478</v>
      </c>
      <c r="E95" s="165">
        <v>3726</v>
      </c>
      <c r="F95" s="165">
        <v>5380</v>
      </c>
      <c r="G95" s="165">
        <v>4983</v>
      </c>
      <c r="H95" s="165">
        <v>4317</v>
      </c>
      <c r="I95" s="166">
        <f>IFERROR(H95/G95-1,"-")</f>
        <v>-0.13365442504515357</v>
      </c>
      <c r="J95" s="165">
        <f t="shared" si="30"/>
        <v>-666</v>
      </c>
      <c r="K95" s="166">
        <f>H95/H$8</f>
        <v>1.5774726527557721E-3</v>
      </c>
      <c r="L95" s="81"/>
    </row>
    <row r="96" spans="1:12" x14ac:dyDescent="0.25">
      <c r="A96" s="163"/>
      <c r="B96" s="160" t="s">
        <v>109</v>
      </c>
      <c r="C96" s="161">
        <v>0</v>
      </c>
      <c r="D96" s="161">
        <v>2238</v>
      </c>
      <c r="E96" s="161">
        <v>3323</v>
      </c>
      <c r="F96" s="161">
        <v>3827</v>
      </c>
      <c r="G96" s="161">
        <v>3968</v>
      </c>
      <c r="H96" s="161">
        <v>4239</v>
      </c>
      <c r="I96" s="162">
        <f>IFERROR(H96/G96-1,"-")</f>
        <v>6.8296370967741993E-2</v>
      </c>
      <c r="J96" s="161">
        <f t="shared" si="30"/>
        <v>271</v>
      </c>
      <c r="K96" s="162">
        <f>H96/H$8</f>
        <v>1.5489707146239791E-3</v>
      </c>
      <c r="L96" s="81"/>
    </row>
    <row r="97" spans="1:12" s="57" customFormat="1" x14ac:dyDescent="0.25">
      <c r="A97" s="163"/>
      <c r="B97" s="164" t="s">
        <v>112</v>
      </c>
      <c r="C97" s="165">
        <v>0</v>
      </c>
      <c r="D97" s="165">
        <v>121</v>
      </c>
      <c r="E97" s="165">
        <v>530</v>
      </c>
      <c r="F97" s="165">
        <v>510</v>
      </c>
      <c r="G97" s="165">
        <v>471</v>
      </c>
      <c r="H97" s="165">
        <v>452</v>
      </c>
      <c r="I97" s="166">
        <f t="shared" ref="I97:I104" si="31">IFERROR(H97/G97-1,"-")</f>
        <v>-4.0339702760084917E-2</v>
      </c>
      <c r="J97" s="165">
        <f t="shared" si="30"/>
        <v>-19</v>
      </c>
      <c r="K97" s="166">
        <f t="shared" ref="K97:K104" si="32">H97/H$8</f>
        <v>1.6516507737910794E-4</v>
      </c>
      <c r="L97" s="167"/>
    </row>
    <row r="98" spans="1:12" s="57" customFormat="1" x14ac:dyDescent="0.25">
      <c r="A98" s="163"/>
      <c r="B98" s="164" t="s">
        <v>115</v>
      </c>
      <c r="C98" s="165">
        <v>0</v>
      </c>
      <c r="D98" s="165">
        <v>885</v>
      </c>
      <c r="E98" s="165">
        <v>894</v>
      </c>
      <c r="F98" s="165">
        <v>831</v>
      </c>
      <c r="G98" s="165">
        <v>1011</v>
      </c>
      <c r="H98" s="165">
        <v>965</v>
      </c>
      <c r="I98" s="166">
        <f t="shared" si="31"/>
        <v>-4.5499505440158239E-2</v>
      </c>
      <c r="J98" s="165">
        <f t="shared" si="30"/>
        <v>-46</v>
      </c>
      <c r="K98" s="166">
        <f t="shared" si="32"/>
        <v>3.5262013201513086E-4</v>
      </c>
      <c r="L98" s="167"/>
    </row>
    <row r="99" spans="1:12" x14ac:dyDescent="0.25">
      <c r="A99" s="163"/>
      <c r="B99" s="164" t="s">
        <v>118</v>
      </c>
      <c r="C99" s="165">
        <v>0</v>
      </c>
      <c r="D99" s="165">
        <v>357</v>
      </c>
      <c r="E99" s="165">
        <v>278</v>
      </c>
      <c r="F99" s="165">
        <v>374</v>
      </c>
      <c r="G99" s="165">
        <v>426</v>
      </c>
      <c r="H99" s="165">
        <v>397</v>
      </c>
      <c r="I99" s="166">
        <f t="shared" si="31"/>
        <v>-6.8075117370892002E-2</v>
      </c>
      <c r="J99" s="165">
        <f t="shared" si="30"/>
        <v>-29</v>
      </c>
      <c r="K99" s="166">
        <f t="shared" si="32"/>
        <v>1.4506755690156162E-4</v>
      </c>
      <c r="L99" s="81"/>
    </row>
    <row r="100" spans="1:12" x14ac:dyDescent="0.25">
      <c r="A100" s="163"/>
      <c r="B100" s="164" t="s">
        <v>125</v>
      </c>
      <c r="C100" s="165">
        <v>0</v>
      </c>
      <c r="D100" s="165">
        <v>52</v>
      </c>
      <c r="E100" s="165">
        <v>448</v>
      </c>
      <c r="F100" s="165">
        <v>127</v>
      </c>
      <c r="G100" s="165">
        <v>314</v>
      </c>
      <c r="H100" s="165">
        <v>155</v>
      </c>
      <c r="I100" s="166">
        <f t="shared" si="31"/>
        <v>-0.50636942675159236</v>
      </c>
      <c r="J100" s="165">
        <f t="shared" si="30"/>
        <v>-159</v>
      </c>
      <c r="K100" s="166">
        <f t="shared" si="32"/>
        <v>5.663846680035781E-5</v>
      </c>
      <c r="L100" s="81"/>
    </row>
    <row r="101" spans="1:12" x14ac:dyDescent="0.25">
      <c r="A101" s="163"/>
      <c r="B101" s="164" t="s">
        <v>121</v>
      </c>
      <c r="C101" s="165">
        <v>0</v>
      </c>
      <c r="D101" s="165">
        <v>84</v>
      </c>
      <c r="E101" s="165">
        <v>70</v>
      </c>
      <c r="F101" s="165">
        <v>73</v>
      </c>
      <c r="G101" s="165">
        <v>55</v>
      </c>
      <c r="H101" s="165">
        <v>105</v>
      </c>
      <c r="I101" s="166">
        <f t="shared" si="31"/>
        <v>0.90909090909090917</v>
      </c>
      <c r="J101" s="165">
        <f t="shared" si="30"/>
        <v>50</v>
      </c>
      <c r="K101" s="166">
        <f t="shared" si="32"/>
        <v>3.8367993638952063E-5</v>
      </c>
      <c r="L101" s="81"/>
    </row>
    <row r="102" spans="1:12" x14ac:dyDescent="0.25">
      <c r="A102" s="163"/>
      <c r="B102" s="164" t="s">
        <v>130</v>
      </c>
      <c r="C102" s="165">
        <v>0</v>
      </c>
      <c r="D102" s="165">
        <v>0</v>
      </c>
      <c r="E102" s="165">
        <v>7</v>
      </c>
      <c r="F102" s="165">
        <v>2</v>
      </c>
      <c r="G102" s="165">
        <v>176</v>
      </c>
      <c r="H102" s="165">
        <v>4</v>
      </c>
      <c r="I102" s="166">
        <f t="shared" si="31"/>
        <v>-0.97727272727272729</v>
      </c>
      <c r="J102" s="165">
        <f t="shared" si="30"/>
        <v>-172</v>
      </c>
      <c r="K102" s="166">
        <f t="shared" si="32"/>
        <v>1.4616378529124597E-6</v>
      </c>
      <c r="L102" s="81"/>
    </row>
    <row r="103" spans="1:12" x14ac:dyDescent="0.25">
      <c r="A103" s="163" t="s">
        <v>146</v>
      </c>
      <c r="B103" s="164" t="s">
        <v>133</v>
      </c>
      <c r="C103" s="165">
        <v>0</v>
      </c>
      <c r="D103" s="165">
        <v>10</v>
      </c>
      <c r="E103" s="165">
        <v>29</v>
      </c>
      <c r="F103" s="165">
        <v>48</v>
      </c>
      <c r="G103" s="165">
        <v>0</v>
      </c>
      <c r="H103" s="165">
        <v>30</v>
      </c>
      <c r="I103" s="166" t="str">
        <f t="shared" si="31"/>
        <v>-</v>
      </c>
      <c r="J103" s="165">
        <f t="shared" si="30"/>
        <v>30</v>
      </c>
      <c r="K103" s="166">
        <f t="shared" si="32"/>
        <v>1.0962283896843447E-5</v>
      </c>
      <c r="L103" s="81"/>
    </row>
    <row r="104" spans="1:12" x14ac:dyDescent="0.25">
      <c r="A104" s="163" t="s">
        <v>147</v>
      </c>
      <c r="B104" s="169" t="s">
        <v>147</v>
      </c>
      <c r="C104" s="170">
        <f t="shared" ref="C104" si="33">C96-SUM(C97:C103)</f>
        <v>0</v>
      </c>
      <c r="D104" s="170">
        <f t="shared" ref="D104:H104" si="34">D96-SUM(D97:D103)</f>
        <v>729</v>
      </c>
      <c r="E104" s="170">
        <f t="shared" si="34"/>
        <v>1067</v>
      </c>
      <c r="F104" s="170">
        <f t="shared" si="34"/>
        <v>1862</v>
      </c>
      <c r="G104" s="170">
        <f t="shared" si="34"/>
        <v>1515</v>
      </c>
      <c r="H104" s="170">
        <f t="shared" si="34"/>
        <v>2131</v>
      </c>
      <c r="I104" s="171">
        <f t="shared" si="31"/>
        <v>0.40660066006600659</v>
      </c>
      <c r="J104" s="170">
        <f>H104-G104</f>
        <v>616</v>
      </c>
      <c r="K104" s="171">
        <f t="shared" si="32"/>
        <v>7.7868756613911282E-4</v>
      </c>
      <c r="L104" s="81"/>
    </row>
    <row r="105" spans="1:12" s="147" customFormat="1" x14ac:dyDescent="0.25">
      <c r="A105" s="163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</row>
    <row r="106" spans="1:12" x14ac:dyDescent="0.25">
      <c r="A106" s="163"/>
      <c r="B106" s="157" t="s">
        <v>70</v>
      </c>
      <c r="C106" s="177">
        <v>0</v>
      </c>
      <c r="D106" s="177">
        <v>64992</v>
      </c>
      <c r="E106" s="177">
        <v>93083</v>
      </c>
      <c r="F106" s="177">
        <v>128219</v>
      </c>
      <c r="G106" s="177">
        <v>124929</v>
      </c>
      <c r="H106" s="177">
        <v>121111</v>
      </c>
      <c r="I106" s="178">
        <f>IFERROR(H106/G106-1,"-")</f>
        <v>-3.0561358851827869E-2</v>
      </c>
      <c r="J106" s="177">
        <f>H106-G106</f>
        <v>-3818</v>
      </c>
      <c r="K106" s="178">
        <f>H106/H$8</f>
        <v>4.4255105501020221E-2</v>
      </c>
      <c r="L106" s="81"/>
    </row>
    <row r="107" spans="1:12" x14ac:dyDescent="0.25">
      <c r="A107" s="163" t="s">
        <v>98</v>
      </c>
      <c r="B107" s="160" t="s">
        <v>99</v>
      </c>
      <c r="C107" s="161">
        <v>0</v>
      </c>
      <c r="D107" s="161">
        <v>22760</v>
      </c>
      <c r="E107" s="161">
        <v>14239</v>
      </c>
      <c r="F107" s="161">
        <v>18322</v>
      </c>
      <c r="G107" s="161">
        <v>20012</v>
      </c>
      <c r="H107" s="161">
        <v>23498</v>
      </c>
      <c r="I107" s="162">
        <f>IFERROR(H107/G107-1,"-")</f>
        <v>0.17419548271037377</v>
      </c>
      <c r="J107" s="161">
        <f t="shared" ref="J107:J117" si="35">H107-G107</f>
        <v>3486</v>
      </c>
      <c r="K107" s="162">
        <f>H107/H$8</f>
        <v>8.5863915669342431E-3</v>
      </c>
      <c r="L107" s="81"/>
    </row>
    <row r="108" spans="1:12" x14ac:dyDescent="0.25">
      <c r="A108" s="163" t="s">
        <v>105</v>
      </c>
      <c r="B108" s="164" t="s">
        <v>105</v>
      </c>
      <c r="C108" s="165">
        <v>0</v>
      </c>
      <c r="D108" s="165">
        <v>8801</v>
      </c>
      <c r="E108" s="165">
        <v>2599</v>
      </c>
      <c r="F108" s="165">
        <v>4933</v>
      </c>
      <c r="G108" s="165">
        <v>5206</v>
      </c>
      <c r="H108" s="165">
        <v>9241</v>
      </c>
      <c r="I108" s="166">
        <f>IFERROR(H108/G108-1,"-")</f>
        <v>0.77506723011909329</v>
      </c>
      <c r="J108" s="165">
        <f t="shared" si="35"/>
        <v>4035</v>
      </c>
      <c r="K108" s="166">
        <f>H108/H$8</f>
        <v>3.3767488496910096E-3</v>
      </c>
      <c r="L108" s="81"/>
    </row>
    <row r="109" spans="1:12" x14ac:dyDescent="0.25">
      <c r="A109" s="163" t="s">
        <v>102</v>
      </c>
      <c r="B109" s="164" t="s">
        <v>102</v>
      </c>
      <c r="C109" s="165">
        <v>0</v>
      </c>
      <c r="D109" s="165">
        <v>13959</v>
      </c>
      <c r="E109" s="165">
        <v>11640</v>
      </c>
      <c r="F109" s="165">
        <v>13389</v>
      </c>
      <c r="G109" s="165">
        <v>14806</v>
      </c>
      <c r="H109" s="165">
        <v>14257</v>
      </c>
      <c r="I109" s="166">
        <f>IFERROR(H109/G109-1,"-")</f>
        <v>-3.7079562339592087E-2</v>
      </c>
      <c r="J109" s="165">
        <f t="shared" si="35"/>
        <v>-549</v>
      </c>
      <c r="K109" s="166">
        <f>H109/H$8</f>
        <v>5.209642717243234E-3</v>
      </c>
      <c r="L109" s="81"/>
    </row>
    <row r="110" spans="1:12" x14ac:dyDescent="0.25">
      <c r="A110" s="163"/>
      <c r="B110" s="160" t="s">
        <v>109</v>
      </c>
      <c r="C110" s="161">
        <v>0</v>
      </c>
      <c r="D110" s="161">
        <v>42232</v>
      </c>
      <c r="E110" s="161">
        <v>78844</v>
      </c>
      <c r="F110" s="161">
        <v>109897</v>
      </c>
      <c r="G110" s="161">
        <v>104917</v>
      </c>
      <c r="H110" s="161">
        <v>97613</v>
      </c>
      <c r="I110" s="162">
        <f>IFERROR(H110/G110-1,"-")</f>
        <v>-6.9616935291706761E-2</v>
      </c>
      <c r="J110" s="161">
        <f t="shared" si="35"/>
        <v>-7304</v>
      </c>
      <c r="K110" s="162">
        <f>H110/H$8</f>
        <v>3.566871393408598E-2</v>
      </c>
      <c r="L110" s="81"/>
    </row>
    <row r="111" spans="1:12" s="57" customFormat="1" x14ac:dyDescent="0.25">
      <c r="A111" s="163"/>
      <c r="B111" s="164" t="s">
        <v>112</v>
      </c>
      <c r="C111" s="165">
        <v>0</v>
      </c>
      <c r="D111" s="165">
        <v>5286</v>
      </c>
      <c r="E111" s="165">
        <v>50592</v>
      </c>
      <c r="F111" s="165">
        <v>70294</v>
      </c>
      <c r="G111" s="165">
        <v>70684</v>
      </c>
      <c r="H111" s="165">
        <v>58884</v>
      </c>
      <c r="I111" s="166">
        <f t="shared" ref="I111:I118" si="36">IFERROR(H111/G111-1,"-")</f>
        <v>-0.16694018448305137</v>
      </c>
      <c r="J111" s="165">
        <f t="shared" si="35"/>
        <v>-11800</v>
      </c>
      <c r="K111" s="166">
        <f t="shared" ref="K111:K118" si="37">H111/H$8</f>
        <v>2.1516770832724318E-2</v>
      </c>
      <c r="L111" s="167"/>
    </row>
    <row r="112" spans="1:12" s="57" customFormat="1" x14ac:dyDescent="0.25">
      <c r="A112" s="163"/>
      <c r="B112" s="164" t="s">
        <v>115</v>
      </c>
      <c r="C112" s="165">
        <v>0</v>
      </c>
      <c r="D112" s="165">
        <v>9992</v>
      </c>
      <c r="E112" s="165">
        <v>2320</v>
      </c>
      <c r="F112" s="165">
        <v>4197</v>
      </c>
      <c r="G112" s="165">
        <v>3422</v>
      </c>
      <c r="H112" s="165">
        <v>5395</v>
      </c>
      <c r="I112" s="166">
        <f t="shared" si="36"/>
        <v>0.5765634132086499</v>
      </c>
      <c r="J112" s="165">
        <f t="shared" si="35"/>
        <v>1973</v>
      </c>
      <c r="K112" s="166">
        <f t="shared" si="37"/>
        <v>1.9713840541156799E-3</v>
      </c>
      <c r="L112" s="167"/>
    </row>
    <row r="113" spans="1:12" x14ac:dyDescent="0.25">
      <c r="A113" s="163"/>
      <c r="B113" s="164" t="s">
        <v>118</v>
      </c>
      <c r="C113" s="165">
        <v>0</v>
      </c>
      <c r="D113" s="165">
        <v>7439</v>
      </c>
      <c r="E113" s="165">
        <v>3065</v>
      </c>
      <c r="F113" s="165">
        <v>6352</v>
      </c>
      <c r="G113" s="165">
        <v>6666</v>
      </c>
      <c r="H113" s="165">
        <v>9715</v>
      </c>
      <c r="I113" s="166">
        <f t="shared" si="36"/>
        <v>0.4573957395739574</v>
      </c>
      <c r="J113" s="165">
        <f t="shared" si="35"/>
        <v>3049</v>
      </c>
      <c r="K113" s="166">
        <f t="shared" si="37"/>
        <v>3.5499529352611362E-3</v>
      </c>
      <c r="L113" s="81"/>
    </row>
    <row r="114" spans="1:12" x14ac:dyDescent="0.25">
      <c r="A114" s="163"/>
      <c r="B114" s="164" t="s">
        <v>125</v>
      </c>
      <c r="C114" s="165">
        <v>0</v>
      </c>
      <c r="D114" s="165">
        <v>4844</v>
      </c>
      <c r="E114" s="165">
        <v>2005</v>
      </c>
      <c r="F114" s="165">
        <v>2054</v>
      </c>
      <c r="G114" s="165">
        <v>2200</v>
      </c>
      <c r="H114" s="165">
        <v>2339</v>
      </c>
      <c r="I114" s="166">
        <f t="shared" si="36"/>
        <v>6.3181818181818228E-2</v>
      </c>
      <c r="J114" s="165">
        <f t="shared" si="35"/>
        <v>139</v>
      </c>
      <c r="K114" s="166">
        <f t="shared" si="37"/>
        <v>8.5469273449056071E-4</v>
      </c>
      <c r="L114" s="81"/>
    </row>
    <row r="115" spans="1:12" x14ac:dyDescent="0.25">
      <c r="A115" s="163"/>
      <c r="B115" s="164" t="s">
        <v>121</v>
      </c>
      <c r="C115" s="165">
        <v>0</v>
      </c>
      <c r="D115" s="165">
        <v>5012</v>
      </c>
      <c r="E115" s="165">
        <v>2792</v>
      </c>
      <c r="F115" s="165">
        <v>1595</v>
      </c>
      <c r="G115" s="165">
        <v>1704</v>
      </c>
      <c r="H115" s="165">
        <v>1764</v>
      </c>
      <c r="I115" s="166">
        <f t="shared" si="36"/>
        <v>3.5211267605633756E-2</v>
      </c>
      <c r="J115" s="165">
        <f t="shared" si="35"/>
        <v>60</v>
      </c>
      <c r="K115" s="166">
        <f t="shared" si="37"/>
        <v>6.4458229313439468E-4</v>
      </c>
      <c r="L115" s="81"/>
    </row>
    <row r="116" spans="1:12" x14ac:dyDescent="0.25">
      <c r="A116" s="163"/>
      <c r="B116" s="164" t="s">
        <v>130</v>
      </c>
      <c r="C116" s="165">
        <v>0</v>
      </c>
      <c r="D116" s="165">
        <v>26</v>
      </c>
      <c r="E116" s="165">
        <v>162</v>
      </c>
      <c r="F116" s="165">
        <v>63</v>
      </c>
      <c r="G116" s="165">
        <v>224</v>
      </c>
      <c r="H116" s="165">
        <v>235</v>
      </c>
      <c r="I116" s="166">
        <f t="shared" si="36"/>
        <v>4.9107142857142794E-2</v>
      </c>
      <c r="J116" s="165">
        <f t="shared" si="35"/>
        <v>11</v>
      </c>
      <c r="K116" s="166">
        <f t="shared" si="37"/>
        <v>8.5871223858607004E-5</v>
      </c>
      <c r="L116" s="81"/>
    </row>
    <row r="117" spans="1:12" x14ac:dyDescent="0.25">
      <c r="A117" s="163" t="s">
        <v>146</v>
      </c>
      <c r="B117" s="164" t="s">
        <v>133</v>
      </c>
      <c r="C117" s="165">
        <v>0</v>
      </c>
      <c r="D117" s="165">
        <v>46</v>
      </c>
      <c r="E117" s="165">
        <v>278</v>
      </c>
      <c r="F117" s="165">
        <v>45</v>
      </c>
      <c r="G117" s="165">
        <v>67</v>
      </c>
      <c r="H117" s="165">
        <v>93</v>
      </c>
      <c r="I117" s="166">
        <f t="shared" si="36"/>
        <v>0.38805970149253732</v>
      </c>
      <c r="J117" s="165">
        <f t="shared" si="35"/>
        <v>26</v>
      </c>
      <c r="K117" s="166">
        <f t="shared" si="37"/>
        <v>3.3983080080214686E-5</v>
      </c>
      <c r="L117" s="81"/>
    </row>
    <row r="118" spans="1:12" x14ac:dyDescent="0.25">
      <c r="A118" s="163" t="s">
        <v>147</v>
      </c>
      <c r="B118" s="169" t="s">
        <v>147</v>
      </c>
      <c r="C118" s="170">
        <f t="shared" ref="C118" si="38">C110-SUM(C111:C117)</f>
        <v>0</v>
      </c>
      <c r="D118" s="170">
        <f t="shared" ref="D118:H118" si="39">D110-SUM(D111:D117)</f>
        <v>9587</v>
      </c>
      <c r="E118" s="170">
        <f t="shared" si="39"/>
        <v>17630</v>
      </c>
      <c r="F118" s="170">
        <f t="shared" si="39"/>
        <v>25297</v>
      </c>
      <c r="G118" s="170">
        <f t="shared" si="39"/>
        <v>19950</v>
      </c>
      <c r="H118" s="170">
        <f t="shared" si="39"/>
        <v>19188</v>
      </c>
      <c r="I118" s="171">
        <f t="shared" si="36"/>
        <v>-3.819548872180456E-2</v>
      </c>
      <c r="J118" s="170">
        <f>H118-G118</f>
        <v>-762</v>
      </c>
      <c r="K118" s="171">
        <f t="shared" si="37"/>
        <v>7.0114767804210689E-3</v>
      </c>
      <c r="L118" s="81"/>
    </row>
    <row r="119" spans="1:12" s="147" customFormat="1" x14ac:dyDescent="0.25">
      <c r="A119" s="163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</row>
    <row r="120" spans="1:12" x14ac:dyDescent="0.25">
      <c r="A120" s="163"/>
      <c r="B120" s="157" t="s">
        <v>70</v>
      </c>
      <c r="C120" s="177">
        <v>0</v>
      </c>
      <c r="D120" s="177">
        <v>26795</v>
      </c>
      <c r="E120" s="177">
        <v>40470</v>
      </c>
      <c r="F120" s="177">
        <v>38639</v>
      </c>
      <c r="G120" s="177">
        <v>40074</v>
      </c>
      <c r="H120" s="177">
        <v>42497</v>
      </c>
      <c r="I120" s="178">
        <f>IFERROR(H120/G120-1,"-")</f>
        <v>6.0463143185107482E-2</v>
      </c>
      <c r="J120" s="177">
        <f>H120-G120</f>
        <v>2423</v>
      </c>
      <c r="K120" s="178">
        <f>H120/H$8</f>
        <v>1.5528805958805198E-2</v>
      </c>
      <c r="L120" s="81"/>
    </row>
    <row r="121" spans="1:12" x14ac:dyDescent="0.25">
      <c r="A121" s="163" t="s">
        <v>98</v>
      </c>
      <c r="B121" s="160" t="s">
        <v>99</v>
      </c>
      <c r="C121" s="161">
        <v>0</v>
      </c>
      <c r="D121" s="161">
        <v>18447</v>
      </c>
      <c r="E121" s="161">
        <v>24304</v>
      </c>
      <c r="F121" s="161">
        <v>25871</v>
      </c>
      <c r="G121" s="161">
        <v>28215</v>
      </c>
      <c r="H121" s="161">
        <v>31150</v>
      </c>
      <c r="I121" s="162">
        <f>IFERROR(H121/G121-1,"-")</f>
        <v>0.10402268297005146</v>
      </c>
      <c r="J121" s="161">
        <f t="shared" ref="J121:J131" si="40">H121-G121</f>
        <v>2935</v>
      </c>
      <c r="K121" s="162">
        <f>H121/H$8</f>
        <v>1.1382504779555779E-2</v>
      </c>
      <c r="L121" s="81"/>
    </row>
    <row r="122" spans="1:12" x14ac:dyDescent="0.25">
      <c r="A122" s="163" t="s">
        <v>105</v>
      </c>
      <c r="B122" s="164" t="s">
        <v>105</v>
      </c>
      <c r="C122" s="165">
        <v>0</v>
      </c>
      <c r="D122" s="165">
        <v>9609</v>
      </c>
      <c r="E122" s="165">
        <v>12260</v>
      </c>
      <c r="F122" s="165">
        <v>11203</v>
      </c>
      <c r="G122" s="165">
        <v>12643</v>
      </c>
      <c r="H122" s="165">
        <v>15227</v>
      </c>
      <c r="I122" s="166">
        <f>IFERROR(H122/G122-1,"-")</f>
        <v>0.20438187139128372</v>
      </c>
      <c r="J122" s="165">
        <f t="shared" si="40"/>
        <v>2584</v>
      </c>
      <c r="K122" s="166">
        <f>H122/H$8</f>
        <v>5.5640898965745051E-3</v>
      </c>
      <c r="L122" s="81"/>
    </row>
    <row r="123" spans="1:12" x14ac:dyDescent="0.25">
      <c r="A123" s="163" t="s">
        <v>102</v>
      </c>
      <c r="B123" s="164" t="s">
        <v>102</v>
      </c>
      <c r="C123" s="165">
        <v>0</v>
      </c>
      <c r="D123" s="165">
        <v>8838</v>
      </c>
      <c r="E123" s="165">
        <v>12044</v>
      </c>
      <c r="F123" s="165">
        <v>14668</v>
      </c>
      <c r="G123" s="165">
        <v>15572</v>
      </c>
      <c r="H123" s="165">
        <v>15923</v>
      </c>
      <c r="I123" s="166">
        <f>IFERROR(H123/G123-1,"-")</f>
        <v>2.2540457230927347E-2</v>
      </c>
      <c r="J123" s="165">
        <f t="shared" si="40"/>
        <v>351</v>
      </c>
      <c r="K123" s="166">
        <f>H123/H$8</f>
        <v>5.8184148829812732E-3</v>
      </c>
      <c r="L123" s="81"/>
    </row>
    <row r="124" spans="1:12" x14ac:dyDescent="0.25">
      <c r="A124" s="163"/>
      <c r="B124" s="160" t="s">
        <v>109</v>
      </c>
      <c r="C124" s="161">
        <v>0</v>
      </c>
      <c r="D124" s="161">
        <v>8348</v>
      </c>
      <c r="E124" s="161">
        <v>16166</v>
      </c>
      <c r="F124" s="161">
        <v>12768</v>
      </c>
      <c r="G124" s="161">
        <v>11859</v>
      </c>
      <c r="H124" s="161">
        <v>11347</v>
      </c>
      <c r="I124" s="162">
        <f>IFERROR(H124/G124-1,"-")</f>
        <v>-4.3173960704949832E-2</v>
      </c>
      <c r="J124" s="161">
        <f t="shared" si="40"/>
        <v>-512</v>
      </c>
      <c r="K124" s="162">
        <f>H124/H$8</f>
        <v>4.1463011792494198E-3</v>
      </c>
      <c r="L124" s="81"/>
    </row>
    <row r="125" spans="1:12" s="57" customFormat="1" x14ac:dyDescent="0.25">
      <c r="A125" s="163"/>
      <c r="B125" s="164" t="s">
        <v>112</v>
      </c>
      <c r="C125" s="165">
        <v>0</v>
      </c>
      <c r="D125" s="165">
        <v>363</v>
      </c>
      <c r="E125" s="165">
        <v>2004</v>
      </c>
      <c r="F125" s="165">
        <v>1777</v>
      </c>
      <c r="G125" s="165">
        <v>1481</v>
      </c>
      <c r="H125" s="165">
        <v>1064</v>
      </c>
      <c r="I125" s="166">
        <f t="shared" ref="I125:I132" si="41">IFERROR(H125/G125-1,"-")</f>
        <v>-0.28156650911546255</v>
      </c>
      <c r="J125" s="165">
        <f t="shared" si="40"/>
        <v>-417</v>
      </c>
      <c r="K125" s="166">
        <f t="shared" ref="K125:K132" si="42">H125/H$8</f>
        <v>3.8879566887471424E-4</v>
      </c>
      <c r="L125" s="167"/>
    </row>
    <row r="126" spans="1:12" s="57" customFormat="1" x14ac:dyDescent="0.25">
      <c r="A126" s="163"/>
      <c r="B126" s="164" t="s">
        <v>115</v>
      </c>
      <c r="C126" s="165">
        <v>0</v>
      </c>
      <c r="D126" s="165">
        <v>1002</v>
      </c>
      <c r="E126" s="165">
        <v>1123</v>
      </c>
      <c r="F126" s="165">
        <v>1064</v>
      </c>
      <c r="G126" s="165">
        <v>1312</v>
      </c>
      <c r="H126" s="165">
        <v>1070</v>
      </c>
      <c r="I126" s="166">
        <f t="shared" si="41"/>
        <v>-0.18445121951219512</v>
      </c>
      <c r="J126" s="165">
        <f t="shared" si="40"/>
        <v>-242</v>
      </c>
      <c r="K126" s="166">
        <f t="shared" si="42"/>
        <v>3.9098812565408294E-4</v>
      </c>
      <c r="L126" s="167"/>
    </row>
    <row r="127" spans="1:12" x14ac:dyDescent="0.25">
      <c r="A127" s="163"/>
      <c r="B127" s="164" t="s">
        <v>118</v>
      </c>
      <c r="C127" s="165">
        <v>0</v>
      </c>
      <c r="D127" s="165">
        <v>1029</v>
      </c>
      <c r="E127" s="165">
        <v>1049</v>
      </c>
      <c r="F127" s="165">
        <v>1678</v>
      </c>
      <c r="G127" s="165">
        <v>905</v>
      </c>
      <c r="H127" s="165">
        <v>923</v>
      </c>
      <c r="I127" s="166">
        <f t="shared" si="41"/>
        <v>1.9889502762430844E-2</v>
      </c>
      <c r="J127" s="165">
        <f t="shared" si="40"/>
        <v>18</v>
      </c>
      <c r="K127" s="166">
        <f t="shared" si="42"/>
        <v>3.3727293455955003E-4</v>
      </c>
      <c r="L127" s="81"/>
    </row>
    <row r="128" spans="1:12" x14ac:dyDescent="0.25">
      <c r="A128" s="163"/>
      <c r="B128" s="164" t="s">
        <v>125</v>
      </c>
      <c r="C128" s="165">
        <v>0</v>
      </c>
      <c r="D128" s="165">
        <v>197</v>
      </c>
      <c r="E128" s="165">
        <v>373</v>
      </c>
      <c r="F128" s="165">
        <v>225</v>
      </c>
      <c r="G128" s="165">
        <v>267</v>
      </c>
      <c r="H128" s="165">
        <v>360</v>
      </c>
      <c r="I128" s="166">
        <f t="shared" si="41"/>
        <v>0.348314606741573</v>
      </c>
      <c r="J128" s="165">
        <f t="shared" si="40"/>
        <v>93</v>
      </c>
      <c r="K128" s="166">
        <f t="shared" si="42"/>
        <v>1.3154740676212136E-4</v>
      </c>
      <c r="L128" s="81"/>
    </row>
    <row r="129" spans="1:12" x14ac:dyDescent="0.25">
      <c r="A129" s="163"/>
      <c r="B129" s="164" t="s">
        <v>121</v>
      </c>
      <c r="C129" s="165">
        <v>0</v>
      </c>
      <c r="D129" s="165">
        <v>160</v>
      </c>
      <c r="E129" s="165">
        <v>268</v>
      </c>
      <c r="F129" s="165">
        <v>221</v>
      </c>
      <c r="G129" s="165">
        <v>272</v>
      </c>
      <c r="H129" s="165">
        <v>281</v>
      </c>
      <c r="I129" s="166">
        <f t="shared" si="41"/>
        <v>3.3088235294117752E-2</v>
      </c>
      <c r="J129" s="165">
        <f t="shared" si="40"/>
        <v>9</v>
      </c>
      <c r="K129" s="166">
        <f t="shared" si="42"/>
        <v>1.0268005916710028E-4</v>
      </c>
      <c r="L129" s="81"/>
    </row>
    <row r="130" spans="1:12" x14ac:dyDescent="0.25">
      <c r="A130" s="163"/>
      <c r="B130" s="164" t="s">
        <v>130</v>
      </c>
      <c r="C130" s="165">
        <v>0</v>
      </c>
      <c r="D130" s="165">
        <v>15</v>
      </c>
      <c r="E130" s="165">
        <v>91</v>
      </c>
      <c r="F130" s="165">
        <v>162</v>
      </c>
      <c r="G130" s="165">
        <v>228</v>
      </c>
      <c r="H130" s="165">
        <v>75</v>
      </c>
      <c r="I130" s="166">
        <f t="shared" si="41"/>
        <v>-0.67105263157894735</v>
      </c>
      <c r="J130" s="165">
        <f t="shared" si="40"/>
        <v>-153</v>
      </c>
      <c r="K130" s="166">
        <f t="shared" si="42"/>
        <v>2.7405709742108617E-5</v>
      </c>
      <c r="L130" s="81"/>
    </row>
    <row r="131" spans="1:12" x14ac:dyDescent="0.25">
      <c r="A131" s="163" t="s">
        <v>146</v>
      </c>
      <c r="B131" s="164" t="s">
        <v>133</v>
      </c>
      <c r="C131" s="165">
        <v>0</v>
      </c>
      <c r="D131" s="165">
        <v>61</v>
      </c>
      <c r="E131" s="165">
        <v>343</v>
      </c>
      <c r="F131" s="165">
        <v>78</v>
      </c>
      <c r="G131" s="165">
        <v>57</v>
      </c>
      <c r="H131" s="165">
        <v>74</v>
      </c>
      <c r="I131" s="166">
        <f t="shared" si="41"/>
        <v>0.29824561403508776</v>
      </c>
      <c r="J131" s="165">
        <f t="shared" si="40"/>
        <v>17</v>
      </c>
      <c r="K131" s="166">
        <f t="shared" si="42"/>
        <v>2.7040300278880501E-5</v>
      </c>
      <c r="L131" s="81"/>
    </row>
    <row r="132" spans="1:12" x14ac:dyDescent="0.25">
      <c r="A132" s="163" t="s">
        <v>147</v>
      </c>
      <c r="B132" s="169" t="s">
        <v>147</v>
      </c>
      <c r="C132" s="170">
        <f t="shared" ref="C132" si="43">C124-SUM(C125:C131)</f>
        <v>0</v>
      </c>
      <c r="D132" s="170">
        <f t="shared" ref="D132:H132" si="44">D124-SUM(D125:D131)</f>
        <v>5521</v>
      </c>
      <c r="E132" s="170">
        <f t="shared" si="44"/>
        <v>10915</v>
      </c>
      <c r="F132" s="170">
        <f t="shared" si="44"/>
        <v>7563</v>
      </c>
      <c r="G132" s="170">
        <f t="shared" si="44"/>
        <v>7337</v>
      </c>
      <c r="H132" s="170">
        <f t="shared" si="44"/>
        <v>7500</v>
      </c>
      <c r="I132" s="171">
        <f t="shared" si="41"/>
        <v>2.2216164644950354E-2</v>
      </c>
      <c r="J132" s="170">
        <f>H132-G132</f>
        <v>163</v>
      </c>
      <c r="K132" s="171">
        <f t="shared" si="42"/>
        <v>2.7405709742108616E-3</v>
      </c>
      <c r="L132" s="81"/>
    </row>
    <row r="133" spans="1:12" s="147" customFormat="1" x14ac:dyDescent="0.25">
      <c r="A133" s="163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</row>
    <row r="134" spans="1:12" x14ac:dyDescent="0.25">
      <c r="A134" s="163"/>
      <c r="B134" s="157" t="s">
        <v>70</v>
      </c>
      <c r="C134" s="177">
        <v>0</v>
      </c>
      <c r="D134" s="177">
        <v>18794</v>
      </c>
      <c r="E134" s="177">
        <v>132220</v>
      </c>
      <c r="F134" s="177">
        <v>142289</v>
      </c>
      <c r="G134" s="177">
        <v>157113</v>
      </c>
      <c r="H134" s="177">
        <v>156124</v>
      </c>
      <c r="I134" s="178">
        <f>IFERROR(H134/G134-1,"-")</f>
        <v>-6.2948323817888507E-3</v>
      </c>
      <c r="J134" s="177">
        <f>H134-G134</f>
        <v>-989</v>
      </c>
      <c r="K134" s="178">
        <f>H134/H$8</f>
        <v>5.704918703702621E-2</v>
      </c>
      <c r="L134" s="81"/>
    </row>
    <row r="135" spans="1:12" x14ac:dyDescent="0.25">
      <c r="A135" s="163" t="s">
        <v>98</v>
      </c>
      <c r="B135" s="160" t="s">
        <v>99</v>
      </c>
      <c r="C135" s="161">
        <v>0</v>
      </c>
      <c r="D135" s="161">
        <v>7198</v>
      </c>
      <c r="E135" s="161">
        <v>7211</v>
      </c>
      <c r="F135" s="161">
        <v>11716</v>
      </c>
      <c r="G135" s="161">
        <v>9313</v>
      </c>
      <c r="H135" s="161">
        <v>9472</v>
      </c>
      <c r="I135" s="162">
        <f>IFERROR(H135/G135-1,"-")</f>
        <v>1.7072908837109324E-2</v>
      </c>
      <c r="J135" s="161">
        <f t="shared" ref="J135:J145" si="45">H135-G135</f>
        <v>159</v>
      </c>
      <c r="K135" s="162">
        <f>H135/H$8</f>
        <v>3.4611584356967042E-3</v>
      </c>
      <c r="L135" s="81"/>
    </row>
    <row r="136" spans="1:12" x14ac:dyDescent="0.25">
      <c r="A136" s="163" t="s">
        <v>105</v>
      </c>
      <c r="B136" s="164" t="s">
        <v>105</v>
      </c>
      <c r="C136" s="165">
        <v>0</v>
      </c>
      <c r="D136" s="165">
        <v>3492</v>
      </c>
      <c r="E136" s="165">
        <v>3205</v>
      </c>
      <c r="F136" s="165">
        <v>6156</v>
      </c>
      <c r="G136" s="165">
        <v>5195</v>
      </c>
      <c r="H136" s="165">
        <v>3556</v>
      </c>
      <c r="I136" s="166">
        <f>IFERROR(H136/G136-1,"-")</f>
        <v>-0.31549566891241576</v>
      </c>
      <c r="J136" s="165">
        <f t="shared" si="45"/>
        <v>-1639</v>
      </c>
      <c r="K136" s="166">
        <f>H136/H$8</f>
        <v>1.2993960512391765E-3</v>
      </c>
      <c r="L136" s="81"/>
    </row>
    <row r="137" spans="1:12" x14ac:dyDescent="0.25">
      <c r="A137" s="163" t="s">
        <v>102</v>
      </c>
      <c r="B137" s="164" t="s">
        <v>102</v>
      </c>
      <c r="C137" s="165">
        <v>0</v>
      </c>
      <c r="D137" s="165">
        <v>3706</v>
      </c>
      <c r="E137" s="165">
        <v>4006</v>
      </c>
      <c r="F137" s="165">
        <v>5560</v>
      </c>
      <c r="G137" s="165">
        <v>4118</v>
      </c>
      <c r="H137" s="165">
        <v>5916</v>
      </c>
      <c r="I137" s="166">
        <f>IFERROR(H137/G137-1,"-")</f>
        <v>0.43661971830985924</v>
      </c>
      <c r="J137" s="165">
        <f t="shared" si="45"/>
        <v>1798</v>
      </c>
      <c r="K137" s="166">
        <f>H137/H$8</f>
        <v>2.1617623844575277E-3</v>
      </c>
      <c r="L137" s="81"/>
    </row>
    <row r="138" spans="1:12" x14ac:dyDescent="0.25">
      <c r="A138" s="163"/>
      <c r="B138" s="160" t="s">
        <v>109</v>
      </c>
      <c r="C138" s="161">
        <v>0</v>
      </c>
      <c r="D138" s="161">
        <v>11596</v>
      </c>
      <c r="E138" s="161">
        <v>125009</v>
      </c>
      <c r="F138" s="161">
        <v>130573</v>
      </c>
      <c r="G138" s="161">
        <v>147800</v>
      </c>
      <c r="H138" s="161">
        <v>146652</v>
      </c>
      <c r="I138" s="162">
        <f>IFERROR(H138/G138-1,"-")</f>
        <v>-7.7672530446549759E-3</v>
      </c>
      <c r="J138" s="161">
        <f t="shared" si="45"/>
        <v>-1148</v>
      </c>
      <c r="K138" s="162">
        <f>H138/H$8</f>
        <v>5.3588028601329503E-2</v>
      </c>
      <c r="L138" s="81"/>
    </row>
    <row r="139" spans="1:12" s="57" customFormat="1" x14ac:dyDescent="0.25">
      <c r="A139" s="163"/>
      <c r="B139" s="164" t="s">
        <v>112</v>
      </c>
      <c r="C139" s="165">
        <v>0</v>
      </c>
      <c r="D139" s="165">
        <v>488</v>
      </c>
      <c r="E139" s="165">
        <v>59135</v>
      </c>
      <c r="F139" s="165">
        <v>59708</v>
      </c>
      <c r="G139" s="165">
        <v>77243</v>
      </c>
      <c r="H139" s="165">
        <v>76127</v>
      </c>
      <c r="I139" s="166">
        <f t="shared" ref="I139:I146" si="46">IFERROR(H139/G139-1,"-")</f>
        <v>-1.4447911137578817E-2</v>
      </c>
      <c r="J139" s="165">
        <f t="shared" si="45"/>
        <v>-1116</v>
      </c>
      <c r="K139" s="166">
        <f t="shared" ref="K139:K146" si="47">H139/H$8</f>
        <v>2.7817526207166703E-2</v>
      </c>
      <c r="L139" s="167"/>
    </row>
    <row r="140" spans="1:12" s="57" customFormat="1" x14ac:dyDescent="0.25">
      <c r="A140" s="163"/>
      <c r="B140" s="164" t="s">
        <v>115</v>
      </c>
      <c r="C140" s="165">
        <v>0</v>
      </c>
      <c r="D140" s="165">
        <v>1838</v>
      </c>
      <c r="E140" s="165">
        <v>9733</v>
      </c>
      <c r="F140" s="165">
        <v>14038</v>
      </c>
      <c r="G140" s="165">
        <v>12045</v>
      </c>
      <c r="H140" s="165">
        <v>14419</v>
      </c>
      <c r="I140" s="166">
        <f t="shared" si="46"/>
        <v>0.19709422997094239</v>
      </c>
      <c r="J140" s="165">
        <f t="shared" si="45"/>
        <v>2374</v>
      </c>
      <c r="K140" s="166">
        <f t="shared" si="47"/>
        <v>5.2688390502861884E-3</v>
      </c>
      <c r="L140" s="167"/>
    </row>
    <row r="141" spans="1:12" x14ac:dyDescent="0.25">
      <c r="A141" s="163"/>
      <c r="B141" s="164" t="s">
        <v>118</v>
      </c>
      <c r="C141" s="165">
        <v>0</v>
      </c>
      <c r="D141" s="165">
        <v>2242</v>
      </c>
      <c r="E141" s="165">
        <v>13362</v>
      </c>
      <c r="F141" s="165">
        <v>11816</v>
      </c>
      <c r="G141" s="165">
        <v>11749</v>
      </c>
      <c r="H141" s="165">
        <v>12238</v>
      </c>
      <c r="I141" s="166">
        <f t="shared" si="46"/>
        <v>4.1620563452208659E-2</v>
      </c>
      <c r="J141" s="165">
        <f t="shared" si="45"/>
        <v>489</v>
      </c>
      <c r="K141" s="166">
        <f t="shared" si="47"/>
        <v>4.4718810109856703E-3</v>
      </c>
      <c r="L141" s="81"/>
    </row>
    <row r="142" spans="1:12" x14ac:dyDescent="0.25">
      <c r="A142" s="163"/>
      <c r="B142" s="164" t="s">
        <v>125</v>
      </c>
      <c r="C142" s="165">
        <v>0</v>
      </c>
      <c r="D142" s="165">
        <v>425</v>
      </c>
      <c r="E142" s="165">
        <v>4085</v>
      </c>
      <c r="F142" s="165">
        <v>5430</v>
      </c>
      <c r="G142" s="165">
        <v>5221</v>
      </c>
      <c r="H142" s="165">
        <v>3653</v>
      </c>
      <c r="I142" s="166">
        <f t="shared" si="46"/>
        <v>-0.30032560812104958</v>
      </c>
      <c r="J142" s="165">
        <f t="shared" si="45"/>
        <v>-1568</v>
      </c>
      <c r="K142" s="166">
        <f t="shared" si="47"/>
        <v>1.3348407691723037E-3</v>
      </c>
      <c r="L142" s="81"/>
    </row>
    <row r="143" spans="1:12" x14ac:dyDescent="0.25">
      <c r="A143" s="163"/>
      <c r="B143" s="164" t="s">
        <v>121</v>
      </c>
      <c r="C143" s="165">
        <v>0</v>
      </c>
      <c r="D143" s="165">
        <v>585</v>
      </c>
      <c r="E143" s="165">
        <v>1664</v>
      </c>
      <c r="F143" s="165">
        <v>2826</v>
      </c>
      <c r="G143" s="165">
        <v>4328</v>
      </c>
      <c r="H143" s="165">
        <v>2367</v>
      </c>
      <c r="I143" s="166">
        <f t="shared" si="46"/>
        <v>-0.45309611829944552</v>
      </c>
      <c r="J143" s="165">
        <f t="shared" si="45"/>
        <v>-1961</v>
      </c>
      <c r="K143" s="166">
        <f t="shared" si="47"/>
        <v>8.6492419946094796E-4</v>
      </c>
      <c r="L143" s="81"/>
    </row>
    <row r="144" spans="1:12" x14ac:dyDescent="0.25">
      <c r="A144" s="163"/>
      <c r="B144" s="164" t="s">
        <v>130</v>
      </c>
      <c r="C144" s="165">
        <v>0</v>
      </c>
      <c r="D144" s="165">
        <v>20</v>
      </c>
      <c r="E144" s="165">
        <v>86</v>
      </c>
      <c r="F144" s="165">
        <v>6</v>
      </c>
      <c r="G144" s="165">
        <v>28</v>
      </c>
      <c r="H144" s="165">
        <v>136</v>
      </c>
      <c r="I144" s="166">
        <f t="shared" si="46"/>
        <v>3.8571428571428568</v>
      </c>
      <c r="J144" s="165">
        <f t="shared" si="45"/>
        <v>108</v>
      </c>
      <c r="K144" s="166">
        <f t="shared" si="47"/>
        <v>4.9695686999023625E-5</v>
      </c>
      <c r="L144" s="81"/>
    </row>
    <row r="145" spans="1:12" x14ac:dyDescent="0.25">
      <c r="A145" s="163" t="s">
        <v>146</v>
      </c>
      <c r="B145" s="164" t="s">
        <v>133</v>
      </c>
      <c r="C145" s="165">
        <v>0</v>
      </c>
      <c r="D145" s="165">
        <v>11</v>
      </c>
      <c r="E145" s="165">
        <v>46</v>
      </c>
      <c r="F145" s="165">
        <v>42</v>
      </c>
      <c r="G145" s="165">
        <v>24</v>
      </c>
      <c r="H145" s="165">
        <v>166</v>
      </c>
      <c r="I145" s="166">
        <f t="shared" si="46"/>
        <v>5.916666666666667</v>
      </c>
      <c r="J145" s="165">
        <f t="shared" si="45"/>
        <v>142</v>
      </c>
      <c r="K145" s="166">
        <f t="shared" si="47"/>
        <v>6.0657970895867072E-5</v>
      </c>
      <c r="L145" s="81"/>
    </row>
    <row r="146" spans="1:12" x14ac:dyDescent="0.25">
      <c r="A146" s="163" t="s">
        <v>147</v>
      </c>
      <c r="B146" s="169" t="s">
        <v>147</v>
      </c>
      <c r="C146" s="170">
        <f t="shared" ref="C146" si="48">C138-SUM(C139:C145)</f>
        <v>0</v>
      </c>
      <c r="D146" s="170">
        <f t="shared" ref="D146:H146" si="49">D138-SUM(D139:D145)</f>
        <v>5987</v>
      </c>
      <c r="E146" s="170">
        <f t="shared" si="49"/>
        <v>36898</v>
      </c>
      <c r="F146" s="170">
        <f t="shared" si="49"/>
        <v>36707</v>
      </c>
      <c r="G146" s="170">
        <f t="shared" si="49"/>
        <v>37162</v>
      </c>
      <c r="H146" s="170">
        <f t="shared" si="49"/>
        <v>37546</v>
      </c>
      <c r="I146" s="171">
        <f t="shared" si="46"/>
        <v>1.0333135999138987E-2</v>
      </c>
      <c r="J146" s="170">
        <f>H146-G146</f>
        <v>384</v>
      </c>
      <c r="K146" s="171">
        <f t="shared" si="47"/>
        <v>1.3719663706362802E-2</v>
      </c>
      <c r="L146" s="81"/>
    </row>
    <row r="147" spans="1:12" s="147" customFormat="1" x14ac:dyDescent="0.25">
      <c r="A147" s="163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</row>
    <row r="148" spans="1:12" x14ac:dyDescent="0.25">
      <c r="A148" s="163"/>
      <c r="B148" s="157" t="s">
        <v>70</v>
      </c>
      <c r="C148" s="177">
        <v>0</v>
      </c>
      <c r="D148" s="177">
        <v>17642</v>
      </c>
      <c r="E148" s="177">
        <v>48121</v>
      </c>
      <c r="F148" s="177">
        <v>57419</v>
      </c>
      <c r="G148" s="177">
        <v>56629</v>
      </c>
      <c r="H148" s="177">
        <v>52635</v>
      </c>
      <c r="I148" s="178">
        <f>IFERROR(H148/G148-1,"-")</f>
        <v>-7.0529234137985841E-2</v>
      </c>
      <c r="J148" s="177">
        <f>H148-G148</f>
        <v>-3994</v>
      </c>
      <c r="K148" s="178">
        <f>H148/H$8</f>
        <v>1.9233327097011827E-2</v>
      </c>
      <c r="L148" s="81"/>
    </row>
    <row r="149" spans="1:12" x14ac:dyDescent="0.25">
      <c r="A149" s="163" t="s">
        <v>98</v>
      </c>
      <c r="B149" s="160" t="s">
        <v>99</v>
      </c>
      <c r="C149" s="161">
        <v>0</v>
      </c>
      <c r="D149" s="161">
        <v>10241</v>
      </c>
      <c r="E149" s="161">
        <v>27350</v>
      </c>
      <c r="F149" s="161">
        <v>28926</v>
      </c>
      <c r="G149" s="161">
        <v>31174</v>
      </c>
      <c r="H149" s="161">
        <v>25696</v>
      </c>
      <c r="I149" s="162">
        <f>IFERROR(H149/G149-1,"-")</f>
        <v>-0.1757233592095977</v>
      </c>
      <c r="J149" s="161">
        <f t="shared" ref="J149:J159" si="50">H149-G149</f>
        <v>-5478</v>
      </c>
      <c r="K149" s="162">
        <f>H149/H$8</f>
        <v>9.3895615671096399E-3</v>
      </c>
      <c r="L149" s="81"/>
    </row>
    <row r="150" spans="1:12" x14ac:dyDescent="0.25">
      <c r="A150" s="163" t="s">
        <v>105</v>
      </c>
      <c r="B150" s="164" t="s">
        <v>105</v>
      </c>
      <c r="C150" s="165">
        <v>0</v>
      </c>
      <c r="D150" s="165">
        <v>7754</v>
      </c>
      <c r="E150" s="165">
        <v>14534</v>
      </c>
      <c r="F150" s="165">
        <v>16854</v>
      </c>
      <c r="G150" s="165">
        <v>18994</v>
      </c>
      <c r="H150" s="165">
        <v>12504</v>
      </c>
      <c r="I150" s="166">
        <f>IFERROR(H150/G150-1,"-")</f>
        <v>-0.34168684847846686</v>
      </c>
      <c r="J150" s="165">
        <f t="shared" si="50"/>
        <v>-6490</v>
      </c>
      <c r="K150" s="166">
        <f>H150/H$8</f>
        <v>4.5690799282043486E-3</v>
      </c>
      <c r="L150" s="81"/>
    </row>
    <row r="151" spans="1:12" x14ac:dyDescent="0.25">
      <c r="A151" s="163" t="s">
        <v>102</v>
      </c>
      <c r="B151" s="164" t="s">
        <v>102</v>
      </c>
      <c r="C151" s="165">
        <v>0</v>
      </c>
      <c r="D151" s="165">
        <v>2487</v>
      </c>
      <c r="E151" s="165">
        <v>12816</v>
      </c>
      <c r="F151" s="165">
        <v>12072</v>
      </c>
      <c r="G151" s="165">
        <v>12180</v>
      </c>
      <c r="H151" s="165">
        <v>13192</v>
      </c>
      <c r="I151" s="166">
        <f>IFERROR(H151/G151-1,"-")</f>
        <v>8.3087027914614087E-2</v>
      </c>
      <c r="J151" s="165">
        <f t="shared" si="50"/>
        <v>1012</v>
      </c>
      <c r="K151" s="166">
        <f>H151/H$8</f>
        <v>4.8204816389052921E-3</v>
      </c>
      <c r="L151" s="81"/>
    </row>
    <row r="152" spans="1:12" x14ac:dyDescent="0.25">
      <c r="A152" s="163"/>
      <c r="B152" s="160" t="s">
        <v>109</v>
      </c>
      <c r="C152" s="161">
        <v>0</v>
      </c>
      <c r="D152" s="161">
        <v>7401</v>
      </c>
      <c r="E152" s="161">
        <v>20771</v>
      </c>
      <c r="F152" s="161">
        <v>28493</v>
      </c>
      <c r="G152" s="161">
        <v>25455</v>
      </c>
      <c r="H152" s="161">
        <v>26939</v>
      </c>
      <c r="I152" s="162">
        <f>IFERROR(H152/G152-1,"-")</f>
        <v>5.8298958947161639E-2</v>
      </c>
      <c r="J152" s="161">
        <f t="shared" si="50"/>
        <v>1484</v>
      </c>
      <c r="K152" s="162">
        <f>H152/H$8</f>
        <v>9.8437655299021872E-3</v>
      </c>
      <c r="L152" s="81"/>
    </row>
    <row r="153" spans="1:12" s="57" customFormat="1" x14ac:dyDescent="0.25">
      <c r="A153" s="163"/>
      <c r="B153" s="164" t="s">
        <v>112</v>
      </c>
      <c r="C153" s="165">
        <v>0</v>
      </c>
      <c r="D153" s="165">
        <v>206</v>
      </c>
      <c r="E153" s="165">
        <v>8256</v>
      </c>
      <c r="F153" s="165">
        <v>11774</v>
      </c>
      <c r="G153" s="165">
        <v>11470</v>
      </c>
      <c r="H153" s="165">
        <v>6995</v>
      </c>
      <c r="I153" s="166">
        <f t="shared" ref="I153:I160" si="51">IFERROR(H153/G153-1,"-")</f>
        <v>-0.39014821272885791</v>
      </c>
      <c r="J153" s="165">
        <f t="shared" si="50"/>
        <v>-4475</v>
      </c>
      <c r="K153" s="166">
        <f t="shared" ref="K153:K160" si="52">H153/H$8</f>
        <v>2.5560391952806636E-3</v>
      </c>
      <c r="L153" s="167"/>
    </row>
    <row r="154" spans="1:12" s="57" customFormat="1" x14ac:dyDescent="0.25">
      <c r="A154" s="163"/>
      <c r="B154" s="164" t="s">
        <v>115</v>
      </c>
      <c r="C154" s="165">
        <v>0</v>
      </c>
      <c r="D154" s="165">
        <v>2021</v>
      </c>
      <c r="E154" s="165">
        <v>5899</v>
      </c>
      <c r="F154" s="165">
        <v>4639</v>
      </c>
      <c r="G154" s="165">
        <v>4070</v>
      </c>
      <c r="H154" s="165">
        <v>3952</v>
      </c>
      <c r="I154" s="166">
        <f t="shared" si="51"/>
        <v>-2.8992628992628999E-2</v>
      </c>
      <c r="J154" s="165">
        <f t="shared" si="50"/>
        <v>-118</v>
      </c>
      <c r="K154" s="166">
        <f t="shared" si="52"/>
        <v>1.44409819867751E-3</v>
      </c>
      <c r="L154" s="167"/>
    </row>
    <row r="155" spans="1:12" x14ac:dyDescent="0.25">
      <c r="A155" s="163"/>
      <c r="B155" s="164" t="s">
        <v>118</v>
      </c>
      <c r="C155" s="165">
        <v>0</v>
      </c>
      <c r="D155" s="165">
        <v>2196</v>
      </c>
      <c r="E155" s="165">
        <v>1855</v>
      </c>
      <c r="F155" s="165">
        <v>4999</v>
      </c>
      <c r="G155" s="165">
        <v>3126</v>
      </c>
      <c r="H155" s="165">
        <v>10778</v>
      </c>
      <c r="I155" s="166">
        <f t="shared" si="51"/>
        <v>2.4478566858605246</v>
      </c>
      <c r="J155" s="165">
        <f t="shared" si="50"/>
        <v>7652</v>
      </c>
      <c r="K155" s="166">
        <f t="shared" si="52"/>
        <v>3.9383831946726219E-3</v>
      </c>
      <c r="L155" s="81"/>
    </row>
    <row r="156" spans="1:12" x14ac:dyDescent="0.25">
      <c r="A156" s="163"/>
      <c r="B156" s="164" t="s">
        <v>125</v>
      </c>
      <c r="C156" s="165">
        <v>0</v>
      </c>
      <c r="D156" s="165">
        <v>206</v>
      </c>
      <c r="E156" s="165">
        <v>411</v>
      </c>
      <c r="F156" s="165">
        <v>839</v>
      </c>
      <c r="G156" s="165">
        <v>848</v>
      </c>
      <c r="H156" s="165">
        <v>622</v>
      </c>
      <c r="I156" s="166">
        <f t="shared" si="51"/>
        <v>-0.26650943396226412</v>
      </c>
      <c r="J156" s="165">
        <f t="shared" si="50"/>
        <v>-226</v>
      </c>
      <c r="K156" s="166">
        <f t="shared" si="52"/>
        <v>2.2728468612788746E-4</v>
      </c>
      <c r="L156" s="81"/>
    </row>
    <row r="157" spans="1:12" x14ac:dyDescent="0.25">
      <c r="A157" s="163"/>
      <c r="B157" s="164" t="s">
        <v>121</v>
      </c>
      <c r="C157" s="165">
        <v>0</v>
      </c>
      <c r="D157" s="165">
        <v>410</v>
      </c>
      <c r="E157" s="165">
        <v>1866</v>
      </c>
      <c r="F157" s="165">
        <v>1686</v>
      </c>
      <c r="G157" s="165">
        <v>1218</v>
      </c>
      <c r="H157" s="165">
        <v>773</v>
      </c>
      <c r="I157" s="166">
        <f t="shared" si="51"/>
        <v>-0.36535303776683092</v>
      </c>
      <c r="J157" s="165">
        <f t="shared" si="50"/>
        <v>-445</v>
      </c>
      <c r="K157" s="166">
        <f t="shared" si="52"/>
        <v>2.8246151507533283E-4</v>
      </c>
      <c r="L157" s="81"/>
    </row>
    <row r="158" spans="1:12" x14ac:dyDescent="0.25">
      <c r="A158" s="163"/>
      <c r="B158" s="164" t="s">
        <v>130</v>
      </c>
      <c r="C158" s="165">
        <v>0</v>
      </c>
      <c r="D158" s="165">
        <v>4</v>
      </c>
      <c r="E158" s="165">
        <v>26</v>
      </c>
      <c r="F158" s="165">
        <v>90</v>
      </c>
      <c r="G158" s="165">
        <v>14</v>
      </c>
      <c r="H158" s="165">
        <v>10</v>
      </c>
      <c r="I158" s="166">
        <f t="shared" si="51"/>
        <v>-0.2857142857142857</v>
      </c>
      <c r="J158" s="165">
        <f t="shared" si="50"/>
        <v>-4</v>
      </c>
      <c r="K158" s="166">
        <f t="shared" si="52"/>
        <v>3.6540946322811488E-6</v>
      </c>
      <c r="L158" s="81"/>
    </row>
    <row r="159" spans="1:12" x14ac:dyDescent="0.25">
      <c r="A159" s="163" t="s">
        <v>146</v>
      </c>
      <c r="B159" s="164" t="s">
        <v>133</v>
      </c>
      <c r="C159" s="165">
        <v>0</v>
      </c>
      <c r="D159" s="165">
        <v>11</v>
      </c>
      <c r="E159" s="165">
        <v>57</v>
      </c>
      <c r="F159" s="165">
        <v>21</v>
      </c>
      <c r="G159" s="165">
        <v>9</v>
      </c>
      <c r="H159" s="165">
        <v>18</v>
      </c>
      <c r="I159" s="166">
        <f t="shared" si="51"/>
        <v>1</v>
      </c>
      <c r="J159" s="165">
        <f t="shared" si="50"/>
        <v>9</v>
      </c>
      <c r="K159" s="166">
        <f t="shared" si="52"/>
        <v>6.5773703381060685E-6</v>
      </c>
      <c r="L159" s="81"/>
    </row>
    <row r="160" spans="1:12" x14ac:dyDescent="0.25">
      <c r="A160" s="163" t="s">
        <v>147</v>
      </c>
      <c r="B160" s="169" t="s">
        <v>147</v>
      </c>
      <c r="C160" s="170">
        <f t="shared" ref="C160" si="53">C152-SUM(C153:C159)</f>
        <v>0</v>
      </c>
      <c r="D160" s="170">
        <f t="shared" ref="D160:H160" si="54">D152-SUM(D153:D159)</f>
        <v>2347</v>
      </c>
      <c r="E160" s="170">
        <f t="shared" si="54"/>
        <v>2401</v>
      </c>
      <c r="F160" s="170">
        <f t="shared" si="54"/>
        <v>4445</v>
      </c>
      <c r="G160" s="170">
        <f t="shared" si="54"/>
        <v>4700</v>
      </c>
      <c r="H160" s="170">
        <f t="shared" si="54"/>
        <v>3791</v>
      </c>
      <c r="I160" s="171">
        <f t="shared" si="51"/>
        <v>-0.19340425531914895</v>
      </c>
      <c r="J160" s="170">
        <f>H160-G160</f>
        <v>-909</v>
      </c>
      <c r="K160" s="171">
        <f t="shared" si="52"/>
        <v>1.3852672750977837E-3</v>
      </c>
      <c r="L160" s="81"/>
    </row>
    <row r="161" spans="1:14" ht="6" customHeight="1" x14ac:dyDescent="0.25">
      <c r="A161" s="163"/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</row>
    <row r="162" spans="1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1">
    <mergeCell ref="B4:K4"/>
  </mergeCells>
  <pageMargins left="0.25" right="0.25" top="0.75" bottom="0.75" header="0.3" footer="0.3"/>
  <pageSetup paperSize="9" scale="2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5E4B-25FC-47D8-94EE-4357F3D77801}">
  <sheetPr>
    <tabColor rgb="FFF29140"/>
    <pageSetUpPr fitToPage="1"/>
  </sheetPr>
  <dimension ref="A1:N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</cols>
  <sheetData>
    <row r="1" spans="1:12" ht="42.75" customHeight="1" x14ac:dyDescent="0.25"/>
    <row r="3" spans="1:12" ht="42" customHeight="1" thickBot="1" x14ac:dyDescent="0.3">
      <c r="B3" s="278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3" s="278"/>
      <c r="D3" s="278"/>
      <c r="E3" s="278"/>
      <c r="F3" s="278"/>
      <c r="G3" s="278"/>
      <c r="H3" s="278"/>
      <c r="I3" s="278"/>
      <c r="J3" s="278"/>
      <c r="K3" s="278"/>
    </row>
    <row r="4" spans="1:12" ht="6" customHeight="1" x14ac:dyDescent="0.25"/>
    <row r="5" spans="1:12" ht="15.75" x14ac:dyDescent="0.25">
      <c r="B5" s="146"/>
      <c r="C5" s="311" t="s">
        <v>45</v>
      </c>
      <c r="D5" s="312"/>
      <c r="E5" s="312"/>
      <c r="F5" s="312"/>
      <c r="G5" s="312"/>
      <c r="H5" s="312"/>
      <c r="I5" s="312"/>
      <c r="J5" s="312"/>
      <c r="K5" s="312"/>
    </row>
    <row r="6" spans="1:12" s="147" customFormat="1" ht="72" customHeight="1" x14ac:dyDescent="0.25">
      <c r="B6" s="148"/>
      <c r="C6" s="173" t="s">
        <v>260</v>
      </c>
      <c r="D6" s="173" t="s">
        <v>261</v>
      </c>
      <c r="E6" s="173" t="s">
        <v>262</v>
      </c>
      <c r="F6" s="173" t="s">
        <v>263</v>
      </c>
      <c r="G6" s="173" t="s">
        <v>264</v>
      </c>
      <c r="H6" s="173" t="s">
        <v>265</v>
      </c>
      <c r="I6" s="174" t="str">
        <f>CONCATENATE("var. ",RIGHT(H6,2),"/",RIGHT(G6,2))</f>
        <v>var. 25/24</v>
      </c>
      <c r="J6" s="173" t="str">
        <f>CONCATENATE("dif. ",RIGHT(H6,2),"/",RIGHT(G6,2))</f>
        <v>dif. 25/24</v>
      </c>
      <c r="K6" s="174" t="str">
        <f>CONCATENATE("Cuota s/ total lugares de residencia ",RIGHT(H6,4))</f>
        <v>Cuota s/ total lugares de residencia 2025</v>
      </c>
    </row>
    <row r="7" spans="1:12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</row>
    <row r="8" spans="1:12" x14ac:dyDescent="0.25">
      <c r="A8" s="1"/>
      <c r="B8" s="157" t="s">
        <v>70</v>
      </c>
      <c r="C8" s="177">
        <v>7213069</v>
      </c>
      <c r="D8" s="177">
        <v>2368548</v>
      </c>
      <c r="E8" s="177">
        <v>14358521</v>
      </c>
      <c r="F8" s="177">
        <v>16459932</v>
      </c>
      <c r="G8" s="177">
        <v>17554900</v>
      </c>
      <c r="H8" s="177">
        <v>16983898</v>
      </c>
      <c r="I8" s="178">
        <f>IFERROR(H8/G8-1,"-")</f>
        <v>-3.2526644982312614E-2</v>
      </c>
      <c r="J8" s="177">
        <f>H8-G8</f>
        <v>-571002</v>
      </c>
      <c r="K8" s="178">
        <f>H8/H$8</f>
        <v>1</v>
      </c>
      <c r="L8" s="81"/>
    </row>
    <row r="9" spans="1:12" x14ac:dyDescent="0.25">
      <c r="A9" s="1" t="s">
        <v>98</v>
      </c>
      <c r="B9" s="160" t="s">
        <v>99</v>
      </c>
      <c r="C9" s="161">
        <v>635952</v>
      </c>
      <c r="D9" s="161">
        <v>753096</v>
      </c>
      <c r="E9" s="161">
        <v>1755026</v>
      </c>
      <c r="F9" s="161">
        <v>1899221</v>
      </c>
      <c r="G9" s="161">
        <v>1879401</v>
      </c>
      <c r="H9" s="161">
        <v>1820886</v>
      </c>
      <c r="I9" s="162">
        <f>IFERROR(H9/G9-1,"-")</f>
        <v>-3.1134920115504894E-2</v>
      </c>
      <c r="J9" s="161">
        <f t="shared" ref="J9:J19" si="0">H9-G9</f>
        <v>-58515</v>
      </c>
      <c r="K9" s="162">
        <f>H9/H$8</f>
        <v>0.10721249032465928</v>
      </c>
      <c r="L9" s="81"/>
    </row>
    <row r="10" spans="1:12" x14ac:dyDescent="0.25">
      <c r="A10" s="163" t="s">
        <v>105</v>
      </c>
      <c r="B10" s="164" t="s">
        <v>105</v>
      </c>
      <c r="C10" s="165">
        <v>160644</v>
      </c>
      <c r="D10" s="165">
        <v>424682</v>
      </c>
      <c r="E10" s="165">
        <v>504192</v>
      </c>
      <c r="F10" s="165">
        <v>576863</v>
      </c>
      <c r="G10" s="165">
        <v>597150</v>
      </c>
      <c r="H10" s="165">
        <v>504286</v>
      </c>
      <c r="I10" s="166">
        <f>IFERROR(H10/G10-1,"-")</f>
        <v>-0.15551201540651427</v>
      </c>
      <c r="J10" s="165">
        <f t="shared" si="0"/>
        <v>-92864</v>
      </c>
      <c r="K10" s="166">
        <f>H10/H$8</f>
        <v>2.969200592231536E-2</v>
      </c>
      <c r="L10" s="81"/>
    </row>
    <row r="11" spans="1:12" x14ac:dyDescent="0.25">
      <c r="A11" s="163" t="s">
        <v>102</v>
      </c>
      <c r="B11" s="164" t="s">
        <v>102</v>
      </c>
      <c r="C11" s="165">
        <v>475308</v>
      </c>
      <c r="D11" s="165">
        <v>328414</v>
      </c>
      <c r="E11" s="165">
        <v>1250834</v>
      </c>
      <c r="F11" s="165">
        <v>1322358</v>
      </c>
      <c r="G11" s="165">
        <v>1282251</v>
      </c>
      <c r="H11" s="165">
        <v>1316600</v>
      </c>
      <c r="I11" s="166">
        <f>IFERROR(H11/G11-1,"-")</f>
        <v>2.678804695804482E-2</v>
      </c>
      <c r="J11" s="165">
        <f t="shared" si="0"/>
        <v>34349</v>
      </c>
      <c r="K11" s="166">
        <f>H11/H$8</f>
        <v>7.7520484402343909E-2</v>
      </c>
      <c r="L11" s="81"/>
    </row>
    <row r="12" spans="1:12" x14ac:dyDescent="0.25">
      <c r="A12" s="1"/>
      <c r="B12" s="160" t="s">
        <v>109</v>
      </c>
      <c r="C12" s="161">
        <v>6577117</v>
      </c>
      <c r="D12" s="161">
        <v>1615452</v>
      </c>
      <c r="E12" s="161">
        <v>12603495</v>
      </c>
      <c r="F12" s="161">
        <v>14560711</v>
      </c>
      <c r="G12" s="161">
        <v>15675499</v>
      </c>
      <c r="H12" s="161">
        <v>15163012</v>
      </c>
      <c r="I12" s="162">
        <f>IFERROR(H12/G12-1,"-")</f>
        <v>-3.269350468524157E-2</v>
      </c>
      <c r="J12" s="161">
        <f t="shared" si="0"/>
        <v>-512487</v>
      </c>
      <c r="K12" s="162">
        <f>H12/H$8</f>
        <v>0.89278750967534071</v>
      </c>
      <c r="L12" s="81"/>
    </row>
    <row r="13" spans="1:12" s="57" customFormat="1" x14ac:dyDescent="0.25">
      <c r="A13" s="163"/>
      <c r="B13" s="164" t="s">
        <v>112</v>
      </c>
      <c r="C13" s="165">
        <v>2637397</v>
      </c>
      <c r="D13" s="165">
        <v>123063</v>
      </c>
      <c r="E13" s="165">
        <v>5625002</v>
      </c>
      <c r="F13" s="165">
        <v>6422185</v>
      </c>
      <c r="G13" s="165">
        <v>6978702</v>
      </c>
      <c r="H13" s="165">
        <v>6814372</v>
      </c>
      <c r="I13" s="166">
        <f t="shared" ref="I13:I20" si="1">IFERROR(H13/G13-1,"-")</f>
        <v>-2.3547358806838337E-2</v>
      </c>
      <c r="J13" s="165">
        <f t="shared" si="0"/>
        <v>-164330</v>
      </c>
      <c r="K13" s="166">
        <f t="shared" ref="K13:K20" si="2">H13/H$8</f>
        <v>0.40122544306377722</v>
      </c>
      <c r="L13" s="167"/>
    </row>
    <row r="14" spans="1:12" s="57" customFormat="1" x14ac:dyDescent="0.25">
      <c r="A14" s="163"/>
      <c r="B14" s="164" t="s">
        <v>115</v>
      </c>
      <c r="C14" s="165">
        <v>984001</v>
      </c>
      <c r="D14" s="165">
        <v>284057</v>
      </c>
      <c r="E14" s="165">
        <v>1508875</v>
      </c>
      <c r="F14" s="165">
        <v>1798043</v>
      </c>
      <c r="G14" s="165">
        <v>1923711</v>
      </c>
      <c r="H14" s="165">
        <v>1819538</v>
      </c>
      <c r="I14" s="166">
        <f t="shared" si="1"/>
        <v>-5.4152104967949977E-2</v>
      </c>
      <c r="J14" s="165">
        <f t="shared" si="0"/>
        <v>-104173</v>
      </c>
      <c r="K14" s="166">
        <f t="shared" si="2"/>
        <v>0.10713312103028409</v>
      </c>
      <c r="L14" s="167"/>
    </row>
    <row r="15" spans="1:12" x14ac:dyDescent="0.25">
      <c r="A15" s="163"/>
      <c r="B15" s="164" t="s">
        <v>118</v>
      </c>
      <c r="C15" s="165">
        <v>257553</v>
      </c>
      <c r="D15" s="165">
        <v>249859</v>
      </c>
      <c r="E15" s="165">
        <v>599710</v>
      </c>
      <c r="F15" s="165">
        <v>735409</v>
      </c>
      <c r="G15" s="165">
        <v>803310</v>
      </c>
      <c r="H15" s="165">
        <v>751344</v>
      </c>
      <c r="I15" s="166">
        <f t="shared" si="1"/>
        <v>-6.4689845763154952E-2</v>
      </c>
      <c r="J15" s="165">
        <f t="shared" si="0"/>
        <v>-51966</v>
      </c>
      <c r="K15" s="166">
        <f t="shared" si="2"/>
        <v>4.4238607650611182E-2</v>
      </c>
      <c r="L15" s="81"/>
    </row>
    <row r="16" spans="1:12" x14ac:dyDescent="0.25">
      <c r="A16" s="163"/>
      <c r="B16" s="164" t="s">
        <v>125</v>
      </c>
      <c r="C16" s="165">
        <v>215644</v>
      </c>
      <c r="D16" s="165">
        <v>66617</v>
      </c>
      <c r="E16" s="165">
        <v>631180</v>
      </c>
      <c r="F16" s="165">
        <v>592295</v>
      </c>
      <c r="G16" s="165">
        <v>644516</v>
      </c>
      <c r="H16" s="165">
        <v>593115</v>
      </c>
      <c r="I16" s="166">
        <f t="shared" si="1"/>
        <v>-7.975131726753093E-2</v>
      </c>
      <c r="J16" s="165">
        <f t="shared" si="0"/>
        <v>-51401</v>
      </c>
      <c r="K16" s="166">
        <f t="shared" si="2"/>
        <v>3.4922195128585909E-2</v>
      </c>
      <c r="L16" s="81"/>
    </row>
    <row r="17" spans="1:12" x14ac:dyDescent="0.25">
      <c r="A17" s="163"/>
      <c r="B17" s="164" t="s">
        <v>121</v>
      </c>
      <c r="C17" s="165">
        <v>250889</v>
      </c>
      <c r="D17" s="165">
        <v>106688</v>
      </c>
      <c r="E17" s="165">
        <v>545121</v>
      </c>
      <c r="F17" s="165">
        <v>540701</v>
      </c>
      <c r="G17" s="165">
        <v>576082</v>
      </c>
      <c r="H17" s="165">
        <v>527185</v>
      </c>
      <c r="I17" s="166">
        <f t="shared" si="1"/>
        <v>-8.4878541596508872E-2</v>
      </c>
      <c r="J17" s="165">
        <f t="shared" si="0"/>
        <v>-48897</v>
      </c>
      <c r="K17" s="166">
        <f t="shared" si="2"/>
        <v>3.1040282978618924E-2</v>
      </c>
      <c r="L17" s="81"/>
    </row>
    <row r="18" spans="1:12" x14ac:dyDescent="0.25">
      <c r="A18" s="163"/>
      <c r="B18" s="164" t="s">
        <v>130</v>
      </c>
      <c r="C18" s="165">
        <v>239007</v>
      </c>
      <c r="D18" s="165">
        <v>4033</v>
      </c>
      <c r="E18" s="165">
        <v>263411</v>
      </c>
      <c r="F18" s="165">
        <v>333863</v>
      </c>
      <c r="G18" s="165">
        <v>312478</v>
      </c>
      <c r="H18" s="165">
        <v>303207</v>
      </c>
      <c r="I18" s="166">
        <f t="shared" si="1"/>
        <v>-2.9669288717925735E-2</v>
      </c>
      <c r="J18" s="165">
        <f t="shared" si="0"/>
        <v>-9271</v>
      </c>
      <c r="K18" s="166">
        <f t="shared" si="2"/>
        <v>1.7852615459654785E-2</v>
      </c>
      <c r="L18" s="81"/>
    </row>
    <row r="19" spans="1:12" x14ac:dyDescent="0.25">
      <c r="A19" s="163" t="s">
        <v>146</v>
      </c>
      <c r="B19" s="164" t="s">
        <v>133</v>
      </c>
      <c r="C19" s="165">
        <v>338231</v>
      </c>
      <c r="D19" s="165">
        <v>21344</v>
      </c>
      <c r="E19" s="165">
        <v>207192</v>
      </c>
      <c r="F19" s="165">
        <v>303795</v>
      </c>
      <c r="G19" s="165">
        <v>324486</v>
      </c>
      <c r="H19" s="165">
        <v>276550</v>
      </c>
      <c r="I19" s="166">
        <f t="shared" si="1"/>
        <v>-0.14772902374832808</v>
      </c>
      <c r="J19" s="165">
        <f t="shared" si="0"/>
        <v>-47936</v>
      </c>
      <c r="K19" s="166">
        <f t="shared" si="2"/>
        <v>1.6283069999596087E-2</v>
      </c>
      <c r="L19" s="81"/>
    </row>
    <row r="20" spans="1:12" x14ac:dyDescent="0.25">
      <c r="A20" s="163" t="s">
        <v>147</v>
      </c>
      <c r="B20" s="169" t="s">
        <v>147</v>
      </c>
      <c r="C20" s="170">
        <f t="shared" ref="C20" si="3">C12-SUM(C13:C19)</f>
        <v>1654395</v>
      </c>
      <c r="D20" s="170">
        <f t="shared" ref="D20:H20" si="4">D12-SUM(D13:D19)</f>
        <v>759791</v>
      </c>
      <c r="E20" s="170">
        <f t="shared" si="4"/>
        <v>3223004</v>
      </c>
      <c r="F20" s="170">
        <f t="shared" si="4"/>
        <v>3834420</v>
      </c>
      <c r="G20" s="170">
        <f t="shared" si="4"/>
        <v>4112214</v>
      </c>
      <c r="H20" s="170">
        <f t="shared" si="4"/>
        <v>4077701</v>
      </c>
      <c r="I20" s="171">
        <f t="shared" si="1"/>
        <v>-8.3928025146551288E-3</v>
      </c>
      <c r="J20" s="170">
        <f>H20-G20</f>
        <v>-34513</v>
      </c>
      <c r="K20" s="171">
        <f t="shared" si="2"/>
        <v>0.24009217436421251</v>
      </c>
      <c r="L20" s="81"/>
    </row>
    <row r="21" spans="1:12" s="147" customFormat="1" x14ac:dyDescent="0.25">
      <c r="A21" s="163"/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</row>
    <row r="22" spans="1:12" x14ac:dyDescent="0.25">
      <c r="A22" s="163"/>
      <c r="B22" s="157" t="s">
        <v>70</v>
      </c>
      <c r="C22" s="177">
        <v>2766306</v>
      </c>
      <c r="D22" s="177">
        <v>942171</v>
      </c>
      <c r="E22" s="177">
        <v>5898536</v>
      </c>
      <c r="F22" s="177">
        <v>6497274</v>
      </c>
      <c r="G22" s="177">
        <v>6720449</v>
      </c>
      <c r="H22" s="177">
        <v>6373385</v>
      </c>
      <c r="I22" s="178">
        <f>IFERROR(H22/G22-1,"-")</f>
        <v>-5.1642978021260166E-2</v>
      </c>
      <c r="J22" s="177">
        <f>H22-G22</f>
        <v>-347064</v>
      </c>
      <c r="K22" s="178">
        <f>H22/H$8</f>
        <v>0.37526043785708085</v>
      </c>
      <c r="L22" s="81"/>
    </row>
    <row r="23" spans="1:12" x14ac:dyDescent="0.25">
      <c r="A23" s="163" t="s">
        <v>98</v>
      </c>
      <c r="B23" s="160" t="s">
        <v>99</v>
      </c>
      <c r="C23" s="161">
        <v>95533</v>
      </c>
      <c r="D23" s="161">
        <v>272132</v>
      </c>
      <c r="E23" s="161">
        <v>359578</v>
      </c>
      <c r="F23" s="161">
        <v>335748</v>
      </c>
      <c r="G23" s="161">
        <v>301115</v>
      </c>
      <c r="H23" s="161">
        <v>259573</v>
      </c>
      <c r="I23" s="162">
        <f>IFERROR(H23/G23-1,"-")</f>
        <v>-0.13796057984490973</v>
      </c>
      <c r="J23" s="161">
        <f t="shared" ref="J23:J33" si="5">H23-G23</f>
        <v>-41542</v>
      </c>
      <c r="K23" s="162">
        <f>H23/H$8</f>
        <v>1.5283476148997126E-2</v>
      </c>
      <c r="L23" s="81"/>
    </row>
    <row r="24" spans="1:12" x14ac:dyDescent="0.25">
      <c r="A24" s="163" t="s">
        <v>105</v>
      </c>
      <c r="B24" s="164" t="s">
        <v>105</v>
      </c>
      <c r="C24" s="165">
        <v>36093</v>
      </c>
      <c r="D24" s="165">
        <v>140083</v>
      </c>
      <c r="E24" s="165">
        <v>116432</v>
      </c>
      <c r="F24" s="165">
        <v>112273</v>
      </c>
      <c r="G24" s="165">
        <v>95168</v>
      </c>
      <c r="H24" s="165">
        <v>80646</v>
      </c>
      <c r="I24" s="166">
        <f>IFERROR(H24/G24-1,"-")</f>
        <v>-0.15259330867518495</v>
      </c>
      <c r="J24" s="165">
        <f t="shared" si="5"/>
        <v>-14522</v>
      </c>
      <c r="K24" s="166">
        <f>H24/H$8</f>
        <v>4.7483799066621807E-3</v>
      </c>
      <c r="L24" s="81"/>
    </row>
    <row r="25" spans="1:12" x14ac:dyDescent="0.25">
      <c r="A25" s="163" t="s">
        <v>102</v>
      </c>
      <c r="B25" s="164" t="s">
        <v>102</v>
      </c>
      <c r="C25" s="165">
        <v>59440</v>
      </c>
      <c r="D25" s="165">
        <v>132049</v>
      </c>
      <c r="E25" s="165">
        <v>243146</v>
      </c>
      <c r="F25" s="165">
        <v>223475</v>
      </c>
      <c r="G25" s="165">
        <v>205947</v>
      </c>
      <c r="H25" s="165">
        <v>178927</v>
      </c>
      <c r="I25" s="166">
        <f>IFERROR(H25/G25-1,"-")</f>
        <v>-0.13119880357567726</v>
      </c>
      <c r="J25" s="165">
        <f t="shared" si="5"/>
        <v>-27020</v>
      </c>
      <c r="K25" s="166">
        <f>H25/H$8</f>
        <v>1.0535096242334946E-2</v>
      </c>
      <c r="L25" s="81"/>
    </row>
    <row r="26" spans="1:12" x14ac:dyDescent="0.25">
      <c r="A26" s="163"/>
      <c r="B26" s="160" t="s">
        <v>109</v>
      </c>
      <c r="C26" s="161">
        <v>2670773</v>
      </c>
      <c r="D26" s="161">
        <v>670039</v>
      </c>
      <c r="E26" s="161">
        <v>5538958</v>
      </c>
      <c r="F26" s="161">
        <v>6161526</v>
      </c>
      <c r="G26" s="161">
        <v>6419334</v>
      </c>
      <c r="H26" s="161">
        <v>6113812</v>
      </c>
      <c r="I26" s="162">
        <f>IFERROR(H26/G26-1,"-")</f>
        <v>-4.7594033898220589E-2</v>
      </c>
      <c r="J26" s="161">
        <f t="shared" si="5"/>
        <v>-305522</v>
      </c>
      <c r="K26" s="162">
        <f>H26/H$8</f>
        <v>0.35997696170808374</v>
      </c>
      <c r="L26" s="81"/>
    </row>
    <row r="27" spans="1:12" s="57" customFormat="1" x14ac:dyDescent="0.25">
      <c r="A27" s="163"/>
      <c r="B27" s="164" t="s">
        <v>112</v>
      </c>
      <c r="C27" s="165">
        <v>1178371</v>
      </c>
      <c r="D27" s="165">
        <v>41502</v>
      </c>
      <c r="E27" s="165">
        <v>2657629</v>
      </c>
      <c r="F27" s="165">
        <v>3037228</v>
      </c>
      <c r="G27" s="165">
        <v>3192749</v>
      </c>
      <c r="H27" s="165">
        <v>3086870</v>
      </c>
      <c r="I27" s="166">
        <f t="shared" ref="I27:I34" si="6">IFERROR(H27/G27-1,"-")</f>
        <v>-3.3162331270012113E-2</v>
      </c>
      <c r="J27" s="165">
        <f t="shared" si="5"/>
        <v>-105879</v>
      </c>
      <c r="K27" s="166">
        <f t="shared" ref="K27:K34" si="7">H27/H$8</f>
        <v>0.18175274015423315</v>
      </c>
      <c r="L27" s="167"/>
    </row>
    <row r="28" spans="1:12" s="57" customFormat="1" x14ac:dyDescent="0.25">
      <c r="A28" s="163"/>
      <c r="B28" s="164" t="s">
        <v>115</v>
      </c>
      <c r="C28" s="165">
        <v>362212</v>
      </c>
      <c r="D28" s="165">
        <v>115206</v>
      </c>
      <c r="E28" s="165">
        <v>670064</v>
      </c>
      <c r="F28" s="165">
        <v>731883</v>
      </c>
      <c r="G28" s="165">
        <v>725205</v>
      </c>
      <c r="H28" s="165">
        <v>669931</v>
      </c>
      <c r="I28" s="166">
        <f t="shared" si="6"/>
        <v>-7.6218448576609421E-2</v>
      </c>
      <c r="J28" s="165">
        <f t="shared" si="5"/>
        <v>-55274</v>
      </c>
      <c r="K28" s="166">
        <f t="shared" si="7"/>
        <v>3.9445067322001107E-2</v>
      </c>
      <c r="L28" s="167"/>
    </row>
    <row r="29" spans="1:12" x14ac:dyDescent="0.25">
      <c r="A29" s="163"/>
      <c r="B29" s="164" t="s">
        <v>118</v>
      </c>
      <c r="C29" s="165">
        <v>111783</v>
      </c>
      <c r="D29" s="165">
        <v>107535</v>
      </c>
      <c r="E29" s="165">
        <v>231829</v>
      </c>
      <c r="F29" s="165">
        <v>253475</v>
      </c>
      <c r="G29" s="165">
        <v>263028</v>
      </c>
      <c r="H29" s="165">
        <v>198083</v>
      </c>
      <c r="I29" s="166">
        <f t="shared" si="6"/>
        <v>-0.24691287619569025</v>
      </c>
      <c r="J29" s="165">
        <f t="shared" si="5"/>
        <v>-64945</v>
      </c>
      <c r="K29" s="166">
        <f t="shared" si="7"/>
        <v>1.1662988084360846E-2</v>
      </c>
      <c r="L29" s="81"/>
    </row>
    <row r="30" spans="1:12" x14ac:dyDescent="0.25">
      <c r="A30" s="163"/>
      <c r="B30" s="164" t="s">
        <v>125</v>
      </c>
      <c r="C30" s="165">
        <v>100752</v>
      </c>
      <c r="D30" s="165">
        <v>28577</v>
      </c>
      <c r="E30" s="165">
        <v>302430</v>
      </c>
      <c r="F30" s="165">
        <v>258171</v>
      </c>
      <c r="G30" s="165">
        <v>268488</v>
      </c>
      <c r="H30" s="165">
        <v>254851</v>
      </c>
      <c r="I30" s="166">
        <f t="shared" si="6"/>
        <v>-5.0791841721045228E-2</v>
      </c>
      <c r="J30" s="165">
        <f t="shared" si="5"/>
        <v>-13637</v>
      </c>
      <c r="K30" s="166">
        <f t="shared" si="7"/>
        <v>1.5005448101490012E-2</v>
      </c>
      <c r="L30" s="81"/>
    </row>
    <row r="31" spans="1:12" x14ac:dyDescent="0.25">
      <c r="A31" s="163"/>
      <c r="B31" s="164" t="s">
        <v>121</v>
      </c>
      <c r="C31" s="165">
        <v>139238</v>
      </c>
      <c r="D31" s="165">
        <v>61223</v>
      </c>
      <c r="E31" s="165">
        <v>322667</v>
      </c>
      <c r="F31" s="165">
        <v>289767</v>
      </c>
      <c r="G31" s="165">
        <v>303476</v>
      </c>
      <c r="H31" s="165">
        <v>288687</v>
      </c>
      <c r="I31" s="166">
        <f t="shared" si="6"/>
        <v>-4.8732024937721552E-2</v>
      </c>
      <c r="J31" s="165">
        <f t="shared" si="5"/>
        <v>-14789</v>
      </c>
      <c r="K31" s="166">
        <f t="shared" si="7"/>
        <v>1.6997688045465181E-2</v>
      </c>
      <c r="L31" s="81"/>
    </row>
    <row r="32" spans="1:12" x14ac:dyDescent="0.25">
      <c r="A32" s="163"/>
      <c r="B32" s="164" t="s">
        <v>130</v>
      </c>
      <c r="C32" s="165">
        <v>94416</v>
      </c>
      <c r="D32" s="165">
        <v>1024</v>
      </c>
      <c r="E32" s="165">
        <v>101891</v>
      </c>
      <c r="F32" s="165">
        <v>115246</v>
      </c>
      <c r="G32" s="165">
        <v>108485</v>
      </c>
      <c r="H32" s="165">
        <v>101767</v>
      </c>
      <c r="I32" s="166">
        <f t="shared" si="6"/>
        <v>-6.1925611835737637E-2</v>
      </c>
      <c r="J32" s="165">
        <f t="shared" si="5"/>
        <v>-6718</v>
      </c>
      <c r="K32" s="166">
        <f t="shared" si="7"/>
        <v>5.9919695702364672E-3</v>
      </c>
      <c r="L32" s="81"/>
    </row>
    <row r="33" spans="1:12" x14ac:dyDescent="0.25">
      <c r="A33" s="163" t="s">
        <v>146</v>
      </c>
      <c r="B33" s="164" t="s">
        <v>133</v>
      </c>
      <c r="C33" s="165">
        <v>102903</v>
      </c>
      <c r="D33" s="165">
        <v>2755</v>
      </c>
      <c r="E33" s="165">
        <v>62434</v>
      </c>
      <c r="F33" s="165">
        <v>102312</v>
      </c>
      <c r="G33" s="165">
        <v>98553</v>
      </c>
      <c r="H33" s="165">
        <v>85183</v>
      </c>
      <c r="I33" s="166">
        <f t="shared" si="6"/>
        <v>-0.13566304425030185</v>
      </c>
      <c r="J33" s="165">
        <f t="shared" si="5"/>
        <v>-13370</v>
      </c>
      <c r="K33" s="166">
        <f t="shared" si="7"/>
        <v>5.0155152839471834E-3</v>
      </c>
      <c r="L33" s="81"/>
    </row>
    <row r="34" spans="1:12" x14ac:dyDescent="0.25">
      <c r="A34" s="163" t="s">
        <v>147</v>
      </c>
      <c r="B34" s="169" t="s">
        <v>147</v>
      </c>
      <c r="C34" s="170">
        <f t="shared" ref="C34" si="8">C26-SUM(C27:C33)</f>
        <v>581098</v>
      </c>
      <c r="D34" s="170">
        <f t="shared" ref="D34:H34" si="9">D26-SUM(D27:D33)</f>
        <v>312217</v>
      </c>
      <c r="E34" s="170">
        <f t="shared" si="9"/>
        <v>1190014</v>
      </c>
      <c r="F34" s="170">
        <f t="shared" si="9"/>
        <v>1373444</v>
      </c>
      <c r="G34" s="170">
        <f t="shared" si="9"/>
        <v>1459350</v>
      </c>
      <c r="H34" s="170">
        <f t="shared" si="9"/>
        <v>1428440</v>
      </c>
      <c r="I34" s="171">
        <f t="shared" si="6"/>
        <v>-2.118066262377083E-2</v>
      </c>
      <c r="J34" s="170">
        <f>H34-G34</f>
        <v>-30910</v>
      </c>
      <c r="K34" s="171">
        <f t="shared" si="7"/>
        <v>8.4105545146349797E-2</v>
      </c>
      <c r="L34" s="81"/>
    </row>
    <row r="35" spans="1:12" s="147" customFormat="1" x14ac:dyDescent="0.25">
      <c r="A35" s="163"/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</row>
    <row r="36" spans="1:12" x14ac:dyDescent="0.25">
      <c r="A36" s="163"/>
      <c r="B36" s="157" t="s">
        <v>70</v>
      </c>
      <c r="C36" s="177">
        <v>2107837</v>
      </c>
      <c r="D36" s="177">
        <v>435324</v>
      </c>
      <c r="E36" s="177">
        <v>3984750</v>
      </c>
      <c r="F36" s="177">
        <v>4577973</v>
      </c>
      <c r="G36" s="177">
        <v>4852701</v>
      </c>
      <c r="H36" s="177">
        <v>4821619</v>
      </c>
      <c r="I36" s="178">
        <f>IFERROR(H36/G36-1,"-")</f>
        <v>-6.4050927514388567E-3</v>
      </c>
      <c r="J36" s="177">
        <f>H36-G36</f>
        <v>-31082</v>
      </c>
      <c r="K36" s="178">
        <f>H36/H$8</f>
        <v>0.28389354434417824</v>
      </c>
      <c r="L36" s="81"/>
    </row>
    <row r="37" spans="1:12" x14ac:dyDescent="0.25">
      <c r="A37" s="163" t="s">
        <v>98</v>
      </c>
      <c r="B37" s="160" t="s">
        <v>99</v>
      </c>
      <c r="C37" s="161">
        <v>83093</v>
      </c>
      <c r="D37" s="161">
        <v>80680</v>
      </c>
      <c r="E37" s="161">
        <v>202461</v>
      </c>
      <c r="F37" s="161">
        <v>197417</v>
      </c>
      <c r="G37" s="161">
        <v>224668</v>
      </c>
      <c r="H37" s="161">
        <v>231789</v>
      </c>
      <c r="I37" s="162">
        <f>IFERROR(H37/G37-1,"-")</f>
        <v>3.1695657592536453E-2</v>
      </c>
      <c r="J37" s="161">
        <f t="shared" ref="J37:J47" si="10">H37-G37</f>
        <v>7121</v>
      </c>
      <c r="K37" s="162">
        <f>H37/H$8</f>
        <v>1.3647573719531288E-2</v>
      </c>
      <c r="L37" s="81"/>
    </row>
    <row r="38" spans="1:12" x14ac:dyDescent="0.25">
      <c r="A38" s="163" t="s">
        <v>105</v>
      </c>
      <c r="B38" s="164" t="s">
        <v>105</v>
      </c>
      <c r="C38" s="165">
        <v>30721</v>
      </c>
      <c r="D38" s="165">
        <v>50465</v>
      </c>
      <c r="E38" s="165">
        <v>66284</v>
      </c>
      <c r="F38" s="165">
        <v>61758</v>
      </c>
      <c r="G38" s="165">
        <v>102567</v>
      </c>
      <c r="H38" s="165">
        <v>86666</v>
      </c>
      <c r="I38" s="166">
        <f>IFERROR(H38/G38-1,"-")</f>
        <v>-0.15503037039203638</v>
      </c>
      <c r="J38" s="165">
        <f t="shared" si="10"/>
        <v>-15901</v>
      </c>
      <c r="K38" s="166">
        <f>H38/H$8</f>
        <v>5.1028332836195785E-3</v>
      </c>
      <c r="L38" s="81"/>
    </row>
    <row r="39" spans="1:12" x14ac:dyDescent="0.25">
      <c r="A39" s="163" t="s">
        <v>102</v>
      </c>
      <c r="B39" s="164" t="s">
        <v>102</v>
      </c>
      <c r="C39" s="165">
        <v>52372</v>
      </c>
      <c r="D39" s="165">
        <v>30215</v>
      </c>
      <c r="E39" s="165">
        <v>136177</v>
      </c>
      <c r="F39" s="165">
        <v>135659</v>
      </c>
      <c r="G39" s="165">
        <v>122101</v>
      </c>
      <c r="H39" s="165">
        <v>145123</v>
      </c>
      <c r="I39" s="166">
        <f>IFERROR(H39/G39-1,"-")</f>
        <v>0.18854882433395304</v>
      </c>
      <c r="J39" s="165">
        <f t="shared" si="10"/>
        <v>23022</v>
      </c>
      <c r="K39" s="166">
        <f>H39/H$8</f>
        <v>8.5447404359117081E-3</v>
      </c>
      <c r="L39" s="81"/>
    </row>
    <row r="40" spans="1:12" x14ac:dyDescent="0.25">
      <c r="A40" s="163"/>
      <c r="B40" s="160" t="s">
        <v>109</v>
      </c>
      <c r="C40" s="161">
        <v>2024744</v>
      </c>
      <c r="D40" s="161">
        <v>354644</v>
      </c>
      <c r="E40" s="161">
        <v>3782289</v>
      </c>
      <c r="F40" s="161">
        <v>4380556</v>
      </c>
      <c r="G40" s="161">
        <v>4628033</v>
      </c>
      <c r="H40" s="161">
        <v>4589830</v>
      </c>
      <c r="I40" s="162">
        <f>IFERROR(H40/G40-1,"-")</f>
        <v>-8.2546948131095865E-3</v>
      </c>
      <c r="J40" s="161">
        <f t="shared" si="10"/>
        <v>-38203</v>
      </c>
      <c r="K40" s="162">
        <f>H40/H$8</f>
        <v>0.27024597062464695</v>
      </c>
      <c r="L40" s="81"/>
    </row>
    <row r="41" spans="1:12" s="57" customFormat="1" x14ac:dyDescent="0.25">
      <c r="A41" s="163"/>
      <c r="B41" s="164" t="s">
        <v>112</v>
      </c>
      <c r="C41" s="165">
        <v>902556</v>
      </c>
      <c r="D41" s="165">
        <v>23001</v>
      </c>
      <c r="E41" s="165">
        <v>1837539</v>
      </c>
      <c r="F41" s="165">
        <v>2103148</v>
      </c>
      <c r="G41" s="165">
        <v>2290536</v>
      </c>
      <c r="H41" s="165">
        <v>2284613</v>
      </c>
      <c r="I41" s="166">
        <f t="shared" ref="I41:I48" si="11">IFERROR(H41/G41-1,"-")</f>
        <v>-2.5858576333225303E-3</v>
      </c>
      <c r="J41" s="165">
        <f t="shared" si="10"/>
        <v>-5923</v>
      </c>
      <c r="K41" s="166">
        <f t="shared" ref="K41:K48" si="12">H41/H$8</f>
        <v>0.13451641077919804</v>
      </c>
      <c r="L41" s="167"/>
    </row>
    <row r="42" spans="1:12" s="57" customFormat="1" x14ac:dyDescent="0.25">
      <c r="A42" s="163"/>
      <c r="B42" s="164" t="s">
        <v>115</v>
      </c>
      <c r="C42" s="165">
        <v>105694</v>
      </c>
      <c r="D42" s="165">
        <v>29903</v>
      </c>
      <c r="E42" s="165">
        <v>145140</v>
      </c>
      <c r="F42" s="165">
        <v>180829</v>
      </c>
      <c r="G42" s="165">
        <v>174965</v>
      </c>
      <c r="H42" s="165">
        <v>176081</v>
      </c>
      <c r="I42" s="166">
        <f t="shared" si="11"/>
        <v>6.378418540851083E-3</v>
      </c>
      <c r="J42" s="165">
        <f t="shared" si="10"/>
        <v>1116</v>
      </c>
      <c r="K42" s="166">
        <f t="shared" si="12"/>
        <v>1.0367525758809903E-2</v>
      </c>
      <c r="L42" s="167"/>
    </row>
    <row r="43" spans="1:12" x14ac:dyDescent="0.25">
      <c r="A43" s="163"/>
      <c r="B43" s="164" t="s">
        <v>118</v>
      </c>
      <c r="C43" s="165">
        <v>43618</v>
      </c>
      <c r="D43" s="165">
        <v>38808</v>
      </c>
      <c r="E43" s="165">
        <v>88186</v>
      </c>
      <c r="F43" s="165">
        <v>119475</v>
      </c>
      <c r="G43" s="165">
        <v>117531</v>
      </c>
      <c r="H43" s="165">
        <v>116798</v>
      </c>
      <c r="I43" s="166">
        <f t="shared" si="11"/>
        <v>-6.2366524576494831E-3</v>
      </c>
      <c r="J43" s="165">
        <f t="shared" si="10"/>
        <v>-733</v>
      </c>
      <c r="K43" s="166">
        <f t="shared" si="12"/>
        <v>6.8769843059585025E-3</v>
      </c>
      <c r="L43" s="81"/>
    </row>
    <row r="44" spans="1:12" x14ac:dyDescent="0.25">
      <c r="A44" s="163"/>
      <c r="B44" s="164" t="s">
        <v>125</v>
      </c>
      <c r="C44" s="165">
        <v>87975</v>
      </c>
      <c r="D44" s="165">
        <v>21823</v>
      </c>
      <c r="E44" s="165">
        <v>222483</v>
      </c>
      <c r="F44" s="165">
        <v>225943</v>
      </c>
      <c r="G44" s="165">
        <v>232398</v>
      </c>
      <c r="H44" s="165">
        <v>209274</v>
      </c>
      <c r="I44" s="166">
        <f t="shared" si="11"/>
        <v>-9.9501716882245073E-2</v>
      </c>
      <c r="J44" s="165">
        <f t="shared" si="10"/>
        <v>-23124</v>
      </c>
      <c r="K44" s="166">
        <f t="shared" si="12"/>
        <v>1.232190631385092E-2</v>
      </c>
      <c r="L44" s="81"/>
    </row>
    <row r="45" spans="1:12" x14ac:dyDescent="0.25">
      <c r="A45" s="163"/>
      <c r="B45" s="164" t="s">
        <v>121</v>
      </c>
      <c r="C45" s="165">
        <v>80980</v>
      </c>
      <c r="D45" s="165">
        <v>17757</v>
      </c>
      <c r="E45" s="165">
        <v>144266</v>
      </c>
      <c r="F45" s="165">
        <v>171083</v>
      </c>
      <c r="G45" s="165">
        <v>180469</v>
      </c>
      <c r="H45" s="165">
        <v>155710</v>
      </c>
      <c r="I45" s="166">
        <f t="shared" si="11"/>
        <v>-0.13719253722245928</v>
      </c>
      <c r="J45" s="165">
        <f t="shared" si="10"/>
        <v>-24759</v>
      </c>
      <c r="K45" s="166">
        <f t="shared" si="12"/>
        <v>9.1680955691090475E-3</v>
      </c>
      <c r="L45" s="81"/>
    </row>
    <row r="46" spans="1:12" x14ac:dyDescent="0.25">
      <c r="A46" s="163"/>
      <c r="B46" s="164" t="s">
        <v>130</v>
      </c>
      <c r="C46" s="165">
        <v>85742</v>
      </c>
      <c r="D46" s="165">
        <v>1370</v>
      </c>
      <c r="E46" s="165">
        <v>103985</v>
      </c>
      <c r="F46" s="165">
        <v>119178</v>
      </c>
      <c r="G46" s="165">
        <v>112983</v>
      </c>
      <c r="H46" s="165">
        <v>119895</v>
      </c>
      <c r="I46" s="166">
        <f t="shared" si="11"/>
        <v>6.1177345264331828E-2</v>
      </c>
      <c r="J46" s="165">
        <f t="shared" si="10"/>
        <v>6912</v>
      </c>
      <c r="K46" s="166">
        <f t="shared" si="12"/>
        <v>7.0593334934065197E-3</v>
      </c>
      <c r="L46" s="81"/>
    </row>
    <row r="47" spans="1:12" x14ac:dyDescent="0.25">
      <c r="A47" s="163" t="s">
        <v>146</v>
      </c>
      <c r="B47" s="164" t="s">
        <v>133</v>
      </c>
      <c r="C47" s="165">
        <v>138797</v>
      </c>
      <c r="D47" s="165">
        <v>14154</v>
      </c>
      <c r="E47" s="165">
        <v>98497</v>
      </c>
      <c r="F47" s="165">
        <v>123267</v>
      </c>
      <c r="G47" s="165">
        <v>136431</v>
      </c>
      <c r="H47" s="165">
        <v>117085</v>
      </c>
      <c r="I47" s="166">
        <f t="shared" si="11"/>
        <v>-0.14180061716178871</v>
      </c>
      <c r="J47" s="165">
        <f t="shared" si="10"/>
        <v>-19346</v>
      </c>
      <c r="K47" s="166">
        <f t="shared" si="12"/>
        <v>6.8938826646274022E-3</v>
      </c>
      <c r="L47" s="81"/>
    </row>
    <row r="48" spans="1:12" x14ac:dyDescent="0.25">
      <c r="A48" s="163" t="s">
        <v>147</v>
      </c>
      <c r="B48" s="169" t="s">
        <v>147</v>
      </c>
      <c r="C48" s="170">
        <f t="shared" ref="C48" si="13">C40-SUM(C41:C47)</f>
        <v>579382</v>
      </c>
      <c r="D48" s="170">
        <f t="shared" ref="D48:H48" si="14">D40-SUM(D41:D47)</f>
        <v>207828</v>
      </c>
      <c r="E48" s="170">
        <f t="shared" si="14"/>
        <v>1142193</v>
      </c>
      <c r="F48" s="170">
        <f t="shared" si="14"/>
        <v>1337633</v>
      </c>
      <c r="G48" s="170">
        <f t="shared" si="14"/>
        <v>1382720</v>
      </c>
      <c r="H48" s="170">
        <f t="shared" si="14"/>
        <v>1410374</v>
      </c>
      <c r="I48" s="171">
        <f t="shared" si="11"/>
        <v>1.9999710715112196E-2</v>
      </c>
      <c r="J48" s="170">
        <f>H48-G48</f>
        <v>27654</v>
      </c>
      <c r="K48" s="171">
        <f t="shared" si="12"/>
        <v>8.3041831739686614E-2</v>
      </c>
      <c r="L48" s="81"/>
    </row>
    <row r="49" spans="1:12" s="147" customFormat="1" x14ac:dyDescent="0.25">
      <c r="A49" s="163"/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</row>
    <row r="50" spans="1:12" x14ac:dyDescent="0.25">
      <c r="A50" s="163"/>
      <c r="B50" s="157" t="s">
        <v>70</v>
      </c>
      <c r="C50" s="177">
        <v>53738</v>
      </c>
      <c r="D50" s="177">
        <v>21541</v>
      </c>
      <c r="E50" s="177">
        <v>79184</v>
      </c>
      <c r="F50" s="177">
        <v>87423</v>
      </c>
      <c r="G50" s="177">
        <v>95439</v>
      </c>
      <c r="H50" s="177">
        <v>98196</v>
      </c>
      <c r="I50" s="178">
        <f>IFERROR(H50/G50-1,"-")</f>
        <v>2.8887561688617946E-2</v>
      </c>
      <c r="J50" s="177">
        <f>H50-G50</f>
        <v>2757</v>
      </c>
      <c r="K50" s="178">
        <f>H50/H$8</f>
        <v>5.7817115953004428E-3</v>
      </c>
      <c r="L50" s="81"/>
    </row>
    <row r="51" spans="1:12" x14ac:dyDescent="0.25">
      <c r="A51" s="163" t="s">
        <v>98</v>
      </c>
      <c r="B51" s="160" t="s">
        <v>99</v>
      </c>
      <c r="C51" s="161">
        <v>2905</v>
      </c>
      <c r="D51" s="161">
        <v>5270</v>
      </c>
      <c r="E51" s="161">
        <v>7015</v>
      </c>
      <c r="F51" s="161">
        <v>22749</v>
      </c>
      <c r="G51" s="161">
        <v>13891</v>
      </c>
      <c r="H51" s="161">
        <v>13820</v>
      </c>
      <c r="I51" s="162">
        <f>IFERROR(H51/G51-1,"-")</f>
        <v>-5.1112230940897341E-3</v>
      </c>
      <c r="J51" s="161">
        <f t="shared" ref="J51:J61" si="15">H51-G51</f>
        <v>-71</v>
      </c>
      <c r="K51" s="162">
        <f>H51/H$8</f>
        <v>8.1371190524107009E-4</v>
      </c>
      <c r="L51" s="81"/>
    </row>
    <row r="52" spans="1:12" x14ac:dyDescent="0.25">
      <c r="A52" s="163" t="s">
        <v>105</v>
      </c>
      <c r="B52" s="164" t="s">
        <v>105</v>
      </c>
      <c r="C52" s="165">
        <v>1316</v>
      </c>
      <c r="D52" s="165">
        <v>2786</v>
      </c>
      <c r="E52" s="165">
        <v>1379</v>
      </c>
      <c r="F52" s="165">
        <v>15526</v>
      </c>
      <c r="G52" s="165">
        <v>7458</v>
      </c>
      <c r="H52" s="165">
        <v>8829</v>
      </c>
      <c r="I52" s="166">
        <f>IFERROR(H52/G52-1,"-")</f>
        <v>0.18382944489139175</v>
      </c>
      <c r="J52" s="165">
        <f t="shared" si="15"/>
        <v>1371</v>
      </c>
      <c r="K52" s="166">
        <f>H52/H$8</f>
        <v>5.198453264380179E-4</v>
      </c>
      <c r="L52" s="81"/>
    </row>
    <row r="53" spans="1:12" x14ac:dyDescent="0.25">
      <c r="A53" s="163" t="s">
        <v>102</v>
      </c>
      <c r="B53" s="164" t="s">
        <v>102</v>
      </c>
      <c r="C53" s="165">
        <v>1589</v>
      </c>
      <c r="D53" s="165">
        <v>2484</v>
      </c>
      <c r="E53" s="165">
        <v>5636</v>
      </c>
      <c r="F53" s="165">
        <v>7223</v>
      </c>
      <c r="G53" s="165">
        <v>6433</v>
      </c>
      <c r="H53" s="165">
        <v>4991</v>
      </c>
      <c r="I53" s="166">
        <f>IFERROR(H53/G53-1,"-")</f>
        <v>-0.22415669205658328</v>
      </c>
      <c r="J53" s="165">
        <f t="shared" si="15"/>
        <v>-1442</v>
      </c>
      <c r="K53" s="166">
        <f>H53/H$8</f>
        <v>2.9386657880305214E-4</v>
      </c>
      <c r="L53" s="81"/>
    </row>
    <row r="54" spans="1:12" x14ac:dyDescent="0.25">
      <c r="A54" s="163"/>
      <c r="B54" s="160" t="s">
        <v>109</v>
      </c>
      <c r="C54" s="161">
        <v>50833</v>
      </c>
      <c r="D54" s="161">
        <v>16271</v>
      </c>
      <c r="E54" s="161">
        <v>72169</v>
      </c>
      <c r="F54" s="161">
        <v>64674</v>
      </c>
      <c r="G54" s="161">
        <v>81548</v>
      </c>
      <c r="H54" s="161">
        <v>84376</v>
      </c>
      <c r="I54" s="162">
        <f>IFERROR(H54/G54-1,"-")</f>
        <v>3.4678962083680709E-2</v>
      </c>
      <c r="J54" s="161">
        <f t="shared" si="15"/>
        <v>2828</v>
      </c>
      <c r="K54" s="162">
        <f>H54/H$8</f>
        <v>4.9679996900593723E-3</v>
      </c>
      <c r="L54" s="81"/>
    </row>
    <row r="55" spans="1:12" s="57" customFormat="1" x14ac:dyDescent="0.25">
      <c r="A55" s="163"/>
      <c r="B55" s="164" t="s">
        <v>112</v>
      </c>
      <c r="C55" s="165">
        <v>18908</v>
      </c>
      <c r="D55" s="165">
        <v>666</v>
      </c>
      <c r="E55" s="165">
        <v>32932</v>
      </c>
      <c r="F55" s="165">
        <v>27073</v>
      </c>
      <c r="G55" s="165">
        <v>34148</v>
      </c>
      <c r="H55" s="165">
        <v>34514</v>
      </c>
      <c r="I55" s="166">
        <f t="shared" ref="I55:I62" si="16">IFERROR(H55/G55-1,"-")</f>
        <v>1.0718050837530857E-2</v>
      </c>
      <c r="J55" s="165">
        <f t="shared" si="15"/>
        <v>366</v>
      </c>
      <c r="K55" s="166">
        <f t="shared" ref="K55:K62" si="17">H55/H$8</f>
        <v>2.0321601083567505E-3</v>
      </c>
      <c r="L55" s="167"/>
    </row>
    <row r="56" spans="1:12" s="57" customFormat="1" x14ac:dyDescent="0.25">
      <c r="A56" s="163"/>
      <c r="B56" s="164" t="s">
        <v>115</v>
      </c>
      <c r="C56" s="165">
        <v>14632</v>
      </c>
      <c r="D56" s="165">
        <v>6876</v>
      </c>
      <c r="E56" s="165">
        <v>17649</v>
      </c>
      <c r="F56" s="165">
        <v>13761</v>
      </c>
      <c r="G56" s="165">
        <v>19991</v>
      </c>
      <c r="H56" s="165">
        <v>19774</v>
      </c>
      <c r="I56" s="166">
        <f t="shared" si="16"/>
        <v>-1.0854884698114131E-2</v>
      </c>
      <c r="J56" s="165">
        <f t="shared" si="15"/>
        <v>-217</v>
      </c>
      <c r="K56" s="166">
        <f t="shared" si="17"/>
        <v>1.1642792484976064E-3</v>
      </c>
      <c r="L56" s="167"/>
    </row>
    <row r="57" spans="1:12" x14ac:dyDescent="0.25">
      <c r="A57" s="163"/>
      <c r="B57" s="164" t="s">
        <v>118</v>
      </c>
      <c r="C57" s="165">
        <v>1120</v>
      </c>
      <c r="D57" s="165">
        <v>1473</v>
      </c>
      <c r="E57" s="165">
        <v>2581</v>
      </c>
      <c r="F57" s="165">
        <v>3488</v>
      </c>
      <c r="G57" s="165">
        <v>2768</v>
      </c>
      <c r="H57" s="165">
        <v>2691</v>
      </c>
      <c r="I57" s="166">
        <f t="shared" si="16"/>
        <v>-2.7817919075144526E-2</v>
      </c>
      <c r="J57" s="165">
        <f t="shared" si="15"/>
        <v>-77</v>
      </c>
      <c r="K57" s="166">
        <f t="shared" si="17"/>
        <v>1.5844419225786684E-4</v>
      </c>
      <c r="L57" s="81"/>
    </row>
    <row r="58" spans="1:12" x14ac:dyDescent="0.25">
      <c r="A58" s="163"/>
      <c r="B58" s="164" t="s">
        <v>125</v>
      </c>
      <c r="C58" s="165">
        <v>588</v>
      </c>
      <c r="D58" s="165">
        <v>571</v>
      </c>
      <c r="E58" s="165">
        <v>1486</v>
      </c>
      <c r="F58" s="165">
        <v>1059</v>
      </c>
      <c r="G58" s="165">
        <v>2307</v>
      </c>
      <c r="H58" s="165">
        <v>2396</v>
      </c>
      <c r="I58" s="166">
        <f t="shared" si="16"/>
        <v>3.8578240138708253E-2</v>
      </c>
      <c r="J58" s="165">
        <f t="shared" si="15"/>
        <v>89</v>
      </c>
      <c r="K58" s="166">
        <f t="shared" si="17"/>
        <v>1.4107479920098437E-4</v>
      </c>
      <c r="L58" s="81"/>
    </row>
    <row r="59" spans="1:12" x14ac:dyDescent="0.25">
      <c r="A59" s="163"/>
      <c r="B59" s="164" t="s">
        <v>121</v>
      </c>
      <c r="C59" s="165">
        <v>725</v>
      </c>
      <c r="D59" s="165">
        <v>293</v>
      </c>
      <c r="E59" s="165">
        <v>1304</v>
      </c>
      <c r="F59" s="165">
        <v>1436</v>
      </c>
      <c r="G59" s="165">
        <v>1469</v>
      </c>
      <c r="H59" s="165">
        <v>1633</v>
      </c>
      <c r="I59" s="166">
        <f t="shared" si="16"/>
        <v>0.11164057181756304</v>
      </c>
      <c r="J59" s="165">
        <f t="shared" si="15"/>
        <v>164</v>
      </c>
      <c r="K59" s="166">
        <f t="shared" si="17"/>
        <v>9.6149894447081577E-5</v>
      </c>
      <c r="L59" s="81"/>
    </row>
    <row r="60" spans="1:12" x14ac:dyDescent="0.25">
      <c r="A60" s="163"/>
      <c r="B60" s="164" t="s">
        <v>130</v>
      </c>
      <c r="C60" s="165">
        <v>713</v>
      </c>
      <c r="D60" s="165">
        <v>133</v>
      </c>
      <c r="E60" s="165">
        <v>201</v>
      </c>
      <c r="F60" s="165">
        <v>512</v>
      </c>
      <c r="G60" s="165">
        <v>357</v>
      </c>
      <c r="H60" s="165">
        <v>596</v>
      </c>
      <c r="I60" s="166">
        <f t="shared" si="16"/>
        <v>0.669467787114846</v>
      </c>
      <c r="J60" s="165">
        <f t="shared" si="15"/>
        <v>239</v>
      </c>
      <c r="K60" s="166">
        <f t="shared" si="17"/>
        <v>3.509206190475237E-5</v>
      </c>
      <c r="L60" s="81"/>
    </row>
    <row r="61" spans="1:12" x14ac:dyDescent="0.25">
      <c r="A61" s="163" t="s">
        <v>146</v>
      </c>
      <c r="B61" s="164" t="s">
        <v>133</v>
      </c>
      <c r="C61" s="165">
        <v>1488</v>
      </c>
      <c r="D61" s="165">
        <v>55</v>
      </c>
      <c r="E61" s="165">
        <v>243</v>
      </c>
      <c r="F61" s="165">
        <v>443</v>
      </c>
      <c r="G61" s="165">
        <v>365</v>
      </c>
      <c r="H61" s="165">
        <v>957</v>
      </c>
      <c r="I61" s="166">
        <f t="shared" si="16"/>
        <v>1.6219178082191781</v>
      </c>
      <c r="J61" s="165">
        <f t="shared" si="15"/>
        <v>592</v>
      </c>
      <c r="K61" s="166">
        <f t="shared" si="17"/>
        <v>5.6347488662496678E-5</v>
      </c>
      <c r="L61" s="81"/>
    </row>
    <row r="62" spans="1:12" x14ac:dyDescent="0.25">
      <c r="A62" s="163" t="s">
        <v>147</v>
      </c>
      <c r="B62" s="169" t="s">
        <v>147</v>
      </c>
      <c r="C62" s="170">
        <f t="shared" ref="C62" si="18">C54-SUM(C55:C61)</f>
        <v>12659</v>
      </c>
      <c r="D62" s="170">
        <f t="shared" ref="D62:H62" si="19">D54-SUM(D55:D61)</f>
        <v>6204</v>
      </c>
      <c r="E62" s="170">
        <f t="shared" si="19"/>
        <v>15773</v>
      </c>
      <c r="F62" s="170">
        <f t="shared" si="19"/>
        <v>16902</v>
      </c>
      <c r="G62" s="170">
        <f t="shared" si="19"/>
        <v>20143</v>
      </c>
      <c r="H62" s="170">
        <f t="shared" si="19"/>
        <v>21815</v>
      </c>
      <c r="I62" s="171">
        <f t="shared" si="16"/>
        <v>8.3006503499975182E-2</v>
      </c>
      <c r="J62" s="170">
        <f>H62-G62</f>
        <v>1672</v>
      </c>
      <c r="K62" s="171">
        <f t="shared" si="17"/>
        <v>1.2844518967318338E-3</v>
      </c>
      <c r="L62" s="81"/>
    </row>
    <row r="63" spans="1:12" s="147" customFormat="1" x14ac:dyDescent="0.25">
      <c r="A63" s="163"/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2" x14ac:dyDescent="0.25">
      <c r="A64" s="163"/>
      <c r="B64" s="157" t="s">
        <v>70</v>
      </c>
      <c r="C64" s="177">
        <v>148054</v>
      </c>
      <c r="D64" s="177">
        <v>120089</v>
      </c>
      <c r="E64" s="177">
        <v>391208</v>
      </c>
      <c r="F64" s="177">
        <v>518511</v>
      </c>
      <c r="G64" s="177">
        <v>690117</v>
      </c>
      <c r="H64" s="177">
        <v>540830</v>
      </c>
      <c r="I64" s="178">
        <f>IFERROR(H64/G64-1,"-")</f>
        <v>-0.21632129044785164</v>
      </c>
      <c r="J64" s="177">
        <f>H64-G64</f>
        <v>-149287</v>
      </c>
      <c r="K64" s="178">
        <f>H64/H$8</f>
        <v>3.1843691006622862E-2</v>
      </c>
      <c r="L64" s="81"/>
    </row>
    <row r="65" spans="1:12" x14ac:dyDescent="0.25">
      <c r="A65" s="163" t="s">
        <v>98</v>
      </c>
      <c r="B65" s="160" t="s">
        <v>99</v>
      </c>
      <c r="C65" s="161">
        <v>21111</v>
      </c>
      <c r="D65" s="161">
        <v>25646</v>
      </c>
      <c r="E65" s="161">
        <v>53650</v>
      </c>
      <c r="F65" s="161">
        <v>51615</v>
      </c>
      <c r="G65" s="161">
        <v>124642</v>
      </c>
      <c r="H65" s="161">
        <v>75649</v>
      </c>
      <c r="I65" s="162">
        <f>IFERROR(H65/G65-1,"-")</f>
        <v>-0.39306975176906656</v>
      </c>
      <c r="J65" s="161">
        <f t="shared" ref="J65:J75" si="20">H65-G65</f>
        <v>-48993</v>
      </c>
      <c r="K65" s="162">
        <f>H65/H$8</f>
        <v>4.454160052068141E-3</v>
      </c>
      <c r="L65" s="81"/>
    </row>
    <row r="66" spans="1:12" x14ac:dyDescent="0.25">
      <c r="A66" s="163" t="s">
        <v>105</v>
      </c>
      <c r="B66" s="164" t="s">
        <v>105</v>
      </c>
      <c r="C66" s="165">
        <v>5837</v>
      </c>
      <c r="D66" s="165">
        <v>23518</v>
      </c>
      <c r="E66" s="165">
        <v>35133</v>
      </c>
      <c r="F66" s="165">
        <v>31449</v>
      </c>
      <c r="G66" s="165">
        <v>62180</v>
      </c>
      <c r="H66" s="165">
        <v>19756</v>
      </c>
      <c r="I66" s="166">
        <f>IFERROR(H66/G66-1,"-")</f>
        <v>-0.68227725956899321</v>
      </c>
      <c r="J66" s="165">
        <f t="shared" si="20"/>
        <v>-42424</v>
      </c>
      <c r="K66" s="166">
        <f>H66/H$8</f>
        <v>1.1632194211246441E-3</v>
      </c>
      <c r="L66" s="81"/>
    </row>
    <row r="67" spans="1:12" x14ac:dyDescent="0.25">
      <c r="A67" s="163" t="s">
        <v>102</v>
      </c>
      <c r="B67" s="164" t="s">
        <v>102</v>
      </c>
      <c r="C67" s="165">
        <v>15274</v>
      </c>
      <c r="D67" s="165">
        <v>2128</v>
      </c>
      <c r="E67" s="165">
        <v>18517</v>
      </c>
      <c r="F67" s="165">
        <v>20166</v>
      </c>
      <c r="G67" s="165">
        <v>62462</v>
      </c>
      <c r="H67" s="165">
        <v>55893</v>
      </c>
      <c r="I67" s="166">
        <f>IFERROR(H67/G67-1,"-")</f>
        <v>-0.1051679421088022</v>
      </c>
      <c r="J67" s="165">
        <f t="shared" si="20"/>
        <v>-6569</v>
      </c>
      <c r="K67" s="166">
        <f>H67/H$8</f>
        <v>3.2909406309434971E-3</v>
      </c>
      <c r="L67" s="81"/>
    </row>
    <row r="68" spans="1:12" x14ac:dyDescent="0.25">
      <c r="A68" s="163"/>
      <c r="B68" s="160" t="s">
        <v>109</v>
      </c>
      <c r="C68" s="161">
        <v>126943</v>
      </c>
      <c r="D68" s="161">
        <v>94443</v>
      </c>
      <c r="E68" s="161">
        <v>337558</v>
      </c>
      <c r="F68" s="161">
        <v>466896</v>
      </c>
      <c r="G68" s="161">
        <v>565475</v>
      </c>
      <c r="H68" s="161">
        <v>465181</v>
      </c>
      <c r="I68" s="162">
        <f>IFERROR(H68/G68-1,"-")</f>
        <v>-0.17736239444714619</v>
      </c>
      <c r="J68" s="161">
        <f t="shared" si="20"/>
        <v>-100294</v>
      </c>
      <c r="K68" s="162">
        <f>H68/H$8</f>
        <v>2.7389530954554719E-2</v>
      </c>
      <c r="L68" s="81"/>
    </row>
    <row r="69" spans="1:12" s="57" customFormat="1" x14ac:dyDescent="0.25">
      <c r="A69" s="163"/>
      <c r="B69" s="164" t="s">
        <v>112</v>
      </c>
      <c r="C69" s="165">
        <v>48594</v>
      </c>
      <c r="D69" s="165">
        <v>11731</v>
      </c>
      <c r="E69" s="165">
        <v>133540</v>
      </c>
      <c r="F69" s="165">
        <v>163806</v>
      </c>
      <c r="G69" s="165">
        <v>209495</v>
      </c>
      <c r="H69" s="165">
        <v>221197</v>
      </c>
      <c r="I69" s="166">
        <f t="shared" ref="I69:I76" si="21">IFERROR(H69/G69-1,"-")</f>
        <v>5.5858135039022372E-2</v>
      </c>
      <c r="J69" s="165">
        <f t="shared" si="20"/>
        <v>11702</v>
      </c>
      <c r="K69" s="166">
        <f t="shared" ref="K69:K76" si="22">H69/H$8</f>
        <v>1.3023924189841461E-2</v>
      </c>
      <c r="L69" s="167"/>
    </row>
    <row r="70" spans="1:12" s="57" customFormat="1" x14ac:dyDescent="0.25">
      <c r="A70" s="163"/>
      <c r="B70" s="164" t="s">
        <v>115</v>
      </c>
      <c r="C70" s="165">
        <v>16991</v>
      </c>
      <c r="D70" s="165">
        <v>19072</v>
      </c>
      <c r="E70" s="165">
        <v>37859</v>
      </c>
      <c r="F70" s="165">
        <v>42394</v>
      </c>
      <c r="G70" s="165">
        <v>40248</v>
      </c>
      <c r="H70" s="165">
        <v>39552</v>
      </c>
      <c r="I70" s="166">
        <f t="shared" si="21"/>
        <v>-1.7292784734645239E-2</v>
      </c>
      <c r="J70" s="165">
        <f t="shared" si="20"/>
        <v>-696</v>
      </c>
      <c r="K70" s="166">
        <f t="shared" si="22"/>
        <v>2.3287940141892044E-3</v>
      </c>
      <c r="L70" s="167"/>
    </row>
    <row r="71" spans="1:12" x14ac:dyDescent="0.25">
      <c r="A71" s="163"/>
      <c r="B71" s="164" t="s">
        <v>118</v>
      </c>
      <c r="C71" s="165">
        <v>15594</v>
      </c>
      <c r="D71" s="165">
        <v>7055</v>
      </c>
      <c r="E71" s="165">
        <v>44888</v>
      </c>
      <c r="F71" s="165">
        <v>61099</v>
      </c>
      <c r="G71" s="165">
        <v>70677</v>
      </c>
      <c r="H71" s="165">
        <v>32292</v>
      </c>
      <c r="I71" s="166">
        <f t="shared" si="21"/>
        <v>-0.543104546033363</v>
      </c>
      <c r="J71" s="165">
        <f t="shared" si="20"/>
        <v>-38385</v>
      </c>
      <c r="K71" s="166">
        <f t="shared" si="22"/>
        <v>1.9013303070944021E-3</v>
      </c>
      <c r="L71" s="81"/>
    </row>
    <row r="72" spans="1:12" x14ac:dyDescent="0.25">
      <c r="A72" s="163"/>
      <c r="B72" s="164" t="s">
        <v>125</v>
      </c>
      <c r="C72" s="165">
        <v>1231</v>
      </c>
      <c r="D72" s="165">
        <v>3614</v>
      </c>
      <c r="E72" s="165">
        <v>11636</v>
      </c>
      <c r="F72" s="165">
        <v>11751</v>
      </c>
      <c r="G72" s="165">
        <v>23030</v>
      </c>
      <c r="H72" s="165">
        <v>17363</v>
      </c>
      <c r="I72" s="166">
        <f t="shared" si="21"/>
        <v>-0.24607034303082931</v>
      </c>
      <c r="J72" s="165">
        <f t="shared" si="20"/>
        <v>-5667</v>
      </c>
      <c r="K72" s="166">
        <f t="shared" si="22"/>
        <v>1.0223212598191535E-3</v>
      </c>
      <c r="L72" s="81"/>
    </row>
    <row r="73" spans="1:12" x14ac:dyDescent="0.25">
      <c r="A73" s="163"/>
      <c r="B73" s="164" t="s">
        <v>121</v>
      </c>
      <c r="C73" s="165">
        <v>2635</v>
      </c>
      <c r="D73" s="165">
        <v>8757</v>
      </c>
      <c r="E73" s="165">
        <v>9377</v>
      </c>
      <c r="F73" s="165">
        <v>8945</v>
      </c>
      <c r="G73" s="165">
        <v>12849</v>
      </c>
      <c r="H73" s="165">
        <v>10064</v>
      </c>
      <c r="I73" s="166">
        <f t="shared" si="21"/>
        <v>-0.21674838508833372</v>
      </c>
      <c r="J73" s="165">
        <f t="shared" si="20"/>
        <v>-2785</v>
      </c>
      <c r="K73" s="166">
        <f t="shared" si="22"/>
        <v>5.9256126008293264E-4</v>
      </c>
      <c r="L73" s="81"/>
    </row>
    <row r="74" spans="1:12" x14ac:dyDescent="0.25">
      <c r="A74" s="163"/>
      <c r="B74" s="164" t="s">
        <v>130</v>
      </c>
      <c r="C74" s="165">
        <v>5452</v>
      </c>
      <c r="D74" s="165">
        <v>2</v>
      </c>
      <c r="E74" s="165">
        <v>7645</v>
      </c>
      <c r="F74" s="165">
        <v>22895</v>
      </c>
      <c r="G74" s="165">
        <v>17250</v>
      </c>
      <c r="H74" s="165">
        <v>10826</v>
      </c>
      <c r="I74" s="166">
        <f t="shared" si="21"/>
        <v>-0.37240579710144928</v>
      </c>
      <c r="J74" s="165">
        <f t="shared" si="20"/>
        <v>-6424</v>
      </c>
      <c r="K74" s="166">
        <f t="shared" si="22"/>
        <v>6.3742728553833753E-4</v>
      </c>
      <c r="L74" s="81"/>
    </row>
    <row r="75" spans="1:12" x14ac:dyDescent="0.25">
      <c r="A75" s="163" t="s">
        <v>146</v>
      </c>
      <c r="B75" s="164" t="s">
        <v>133</v>
      </c>
      <c r="C75" s="165">
        <v>4537</v>
      </c>
      <c r="D75" s="165">
        <v>0</v>
      </c>
      <c r="E75" s="165">
        <v>2547</v>
      </c>
      <c r="F75" s="165">
        <v>6644</v>
      </c>
      <c r="G75" s="165">
        <v>11802</v>
      </c>
      <c r="H75" s="165">
        <v>14473</v>
      </c>
      <c r="I75" s="166">
        <f t="shared" si="21"/>
        <v>0.22631757329266233</v>
      </c>
      <c r="J75" s="165">
        <f t="shared" si="20"/>
        <v>2671</v>
      </c>
      <c r="K75" s="166">
        <f t="shared" si="22"/>
        <v>8.5216008716020313E-4</v>
      </c>
      <c r="L75" s="81"/>
    </row>
    <row r="76" spans="1:12" x14ac:dyDescent="0.25">
      <c r="A76" s="163" t="s">
        <v>147</v>
      </c>
      <c r="B76" s="169" t="s">
        <v>147</v>
      </c>
      <c r="C76" s="170">
        <f t="shared" ref="C76" si="23">C68-SUM(C69:C75)</f>
        <v>31909</v>
      </c>
      <c r="D76" s="170">
        <f t="shared" ref="D76:H76" si="24">D68-SUM(D69:D75)</f>
        <v>44212</v>
      </c>
      <c r="E76" s="170">
        <f t="shared" si="24"/>
        <v>90066</v>
      </c>
      <c r="F76" s="170">
        <f t="shared" si="24"/>
        <v>149362</v>
      </c>
      <c r="G76" s="170">
        <f t="shared" si="24"/>
        <v>180124</v>
      </c>
      <c r="H76" s="170">
        <f t="shared" si="24"/>
        <v>119414</v>
      </c>
      <c r="I76" s="171">
        <f t="shared" si="21"/>
        <v>-0.33704559081521623</v>
      </c>
      <c r="J76" s="170">
        <f>H76-G76</f>
        <v>-60710</v>
      </c>
      <c r="K76" s="171">
        <f t="shared" si="22"/>
        <v>7.0310125508290262E-3</v>
      </c>
      <c r="L76" s="81"/>
    </row>
    <row r="77" spans="1:12" s="147" customFormat="1" x14ac:dyDescent="0.25">
      <c r="A77" s="163"/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</row>
    <row r="78" spans="1:12" x14ac:dyDescent="0.25">
      <c r="A78" s="163"/>
      <c r="B78" s="157" t="s">
        <v>70</v>
      </c>
      <c r="C78" s="177">
        <v>1142147</v>
      </c>
      <c r="D78" s="177">
        <v>301325</v>
      </c>
      <c r="E78" s="177">
        <v>1952510</v>
      </c>
      <c r="F78" s="177">
        <v>2421026</v>
      </c>
      <c r="G78" s="177">
        <v>2735886</v>
      </c>
      <c r="H78" s="177">
        <v>2729210</v>
      </c>
      <c r="I78" s="178">
        <f>IFERROR(H78/G78-1,"-")</f>
        <v>-2.4401601528718508E-3</v>
      </c>
      <c r="J78" s="177">
        <f>H78-G78</f>
        <v>-6676</v>
      </c>
      <c r="K78" s="178">
        <f>H78/H$8</f>
        <v>0.16069397025347185</v>
      </c>
      <c r="L78" s="81"/>
    </row>
    <row r="79" spans="1:12" x14ac:dyDescent="0.25">
      <c r="A79" s="163" t="s">
        <v>98</v>
      </c>
      <c r="B79" s="160" t="s">
        <v>99</v>
      </c>
      <c r="C79" s="161">
        <v>252645</v>
      </c>
      <c r="D79" s="161">
        <v>125619</v>
      </c>
      <c r="E79" s="161">
        <v>741151</v>
      </c>
      <c r="F79" s="161">
        <v>796409</v>
      </c>
      <c r="G79" s="161">
        <v>754640</v>
      </c>
      <c r="H79" s="161">
        <v>769911</v>
      </c>
      <c r="I79" s="162">
        <f>IFERROR(H79/G79-1,"-")</f>
        <v>2.0236139086186711E-2</v>
      </c>
      <c r="J79" s="161">
        <f t="shared" ref="J79:J89" si="25">H79-G79</f>
        <v>15271</v>
      </c>
      <c r="K79" s="162">
        <f>H79/H$8</f>
        <v>4.5331819585821817E-2</v>
      </c>
      <c r="L79" s="81"/>
    </row>
    <row r="80" spans="1:12" x14ac:dyDescent="0.25">
      <c r="A80" s="163" t="s">
        <v>105</v>
      </c>
      <c r="B80" s="164" t="s">
        <v>105</v>
      </c>
      <c r="C80" s="165">
        <v>22000</v>
      </c>
      <c r="D80" s="165">
        <v>43782</v>
      </c>
      <c r="E80" s="165">
        <v>99148</v>
      </c>
      <c r="F80" s="165">
        <v>122158</v>
      </c>
      <c r="G80" s="165">
        <v>124276</v>
      </c>
      <c r="H80" s="165">
        <v>94759</v>
      </c>
      <c r="I80" s="166">
        <f>IFERROR(H80/G80-1,"-")</f>
        <v>-0.2375116675786153</v>
      </c>
      <c r="J80" s="165">
        <f t="shared" si="25"/>
        <v>-29517</v>
      </c>
      <c r="K80" s="166">
        <f>H80/H$8</f>
        <v>5.5793434463631379E-3</v>
      </c>
      <c r="L80" s="81"/>
    </row>
    <row r="81" spans="1:12" x14ac:dyDescent="0.25">
      <c r="A81" s="163" t="s">
        <v>102</v>
      </c>
      <c r="B81" s="164" t="s">
        <v>102</v>
      </c>
      <c r="C81" s="165">
        <v>230645</v>
      </c>
      <c r="D81" s="165">
        <v>81837</v>
      </c>
      <c r="E81" s="165">
        <v>642003</v>
      </c>
      <c r="F81" s="165">
        <v>674251</v>
      </c>
      <c r="G81" s="165">
        <v>630364</v>
      </c>
      <c r="H81" s="165">
        <v>675152</v>
      </c>
      <c r="I81" s="166">
        <f>IFERROR(H81/G81-1,"-")</f>
        <v>7.1051011796358976E-2</v>
      </c>
      <c r="J81" s="165">
        <f t="shared" si="25"/>
        <v>44788</v>
      </c>
      <c r="K81" s="166">
        <f>H81/H$8</f>
        <v>3.9752476139458683E-2</v>
      </c>
      <c r="L81" s="81"/>
    </row>
    <row r="82" spans="1:12" x14ac:dyDescent="0.25">
      <c r="A82" s="163"/>
      <c r="B82" s="160" t="s">
        <v>109</v>
      </c>
      <c r="C82" s="161">
        <v>889502</v>
      </c>
      <c r="D82" s="161">
        <v>175706</v>
      </c>
      <c r="E82" s="161">
        <v>1211359</v>
      </c>
      <c r="F82" s="161">
        <v>1624617</v>
      </c>
      <c r="G82" s="161">
        <v>1981246</v>
      </c>
      <c r="H82" s="161">
        <v>1959299</v>
      </c>
      <c r="I82" s="162">
        <f>IFERROR(H82/G82-1,"-")</f>
        <v>-1.1077372522140139E-2</v>
      </c>
      <c r="J82" s="161">
        <f t="shared" si="25"/>
        <v>-21947</v>
      </c>
      <c r="K82" s="162">
        <f>H82/H$8</f>
        <v>0.11536215066765003</v>
      </c>
      <c r="L82" s="81"/>
    </row>
    <row r="83" spans="1:12" s="57" customFormat="1" x14ac:dyDescent="0.25">
      <c r="A83" s="163"/>
      <c r="B83" s="164" t="s">
        <v>112</v>
      </c>
      <c r="C83" s="165">
        <v>132162</v>
      </c>
      <c r="D83" s="165">
        <v>12940</v>
      </c>
      <c r="E83" s="165">
        <v>206326</v>
      </c>
      <c r="F83" s="165">
        <v>277847</v>
      </c>
      <c r="G83" s="165">
        <v>357910</v>
      </c>
      <c r="H83" s="165">
        <v>335919</v>
      </c>
      <c r="I83" s="166">
        <f t="shared" ref="I83:I90" si="26">IFERROR(H83/G83-1,"-")</f>
        <v>-6.1442820820876709E-2</v>
      </c>
      <c r="J83" s="165">
        <f t="shared" si="25"/>
        <v>-21991</v>
      </c>
      <c r="K83" s="166">
        <f t="shared" ref="K83:K90" si="27">H83/H$8</f>
        <v>1.977867507211831E-2</v>
      </c>
      <c r="L83" s="167"/>
    </row>
    <row r="84" spans="1:12" s="57" customFormat="1" x14ac:dyDescent="0.25">
      <c r="A84" s="163"/>
      <c r="B84" s="164" t="s">
        <v>115</v>
      </c>
      <c r="C84" s="165">
        <v>383453</v>
      </c>
      <c r="D84" s="165">
        <v>55052</v>
      </c>
      <c r="E84" s="165">
        <v>475887</v>
      </c>
      <c r="F84" s="165">
        <v>618828</v>
      </c>
      <c r="G84" s="165">
        <v>734192</v>
      </c>
      <c r="H84" s="165">
        <v>698671</v>
      </c>
      <c r="I84" s="166">
        <f t="shared" si="26"/>
        <v>-4.8381077429337283E-2</v>
      </c>
      <c r="J84" s="165">
        <f t="shared" si="25"/>
        <v>-35521</v>
      </c>
      <c r="K84" s="166">
        <f t="shared" si="27"/>
        <v>4.1137258360830944E-2</v>
      </c>
      <c r="L84" s="167"/>
    </row>
    <row r="85" spans="1:12" x14ac:dyDescent="0.25">
      <c r="A85" s="163"/>
      <c r="B85" s="164" t="s">
        <v>118</v>
      </c>
      <c r="C85" s="165">
        <v>35742</v>
      </c>
      <c r="D85" s="165">
        <v>25874</v>
      </c>
      <c r="E85" s="165">
        <v>85129</v>
      </c>
      <c r="F85" s="165">
        <v>118722</v>
      </c>
      <c r="G85" s="165">
        <v>183003</v>
      </c>
      <c r="H85" s="165">
        <v>187558</v>
      </c>
      <c r="I85" s="166">
        <f t="shared" si="26"/>
        <v>2.489030234477041E-2</v>
      </c>
      <c r="J85" s="165">
        <f t="shared" si="25"/>
        <v>4555</v>
      </c>
      <c r="K85" s="166">
        <f t="shared" si="27"/>
        <v>1.1043283467670377E-2</v>
      </c>
      <c r="L85" s="81"/>
    </row>
    <row r="86" spans="1:12" x14ac:dyDescent="0.25">
      <c r="A86" s="163"/>
      <c r="B86" s="164" t="s">
        <v>125</v>
      </c>
      <c r="C86" s="165">
        <v>10923</v>
      </c>
      <c r="D86" s="165">
        <v>2716</v>
      </c>
      <c r="E86" s="165">
        <v>30610</v>
      </c>
      <c r="F86" s="165">
        <v>32518</v>
      </c>
      <c r="G86" s="165">
        <v>49547</v>
      </c>
      <c r="H86" s="165">
        <v>51525</v>
      </c>
      <c r="I86" s="166">
        <f t="shared" si="26"/>
        <v>3.9921690516075747E-2</v>
      </c>
      <c r="J86" s="165">
        <f t="shared" si="25"/>
        <v>1978</v>
      </c>
      <c r="K86" s="166">
        <f t="shared" si="27"/>
        <v>3.0337558551046407E-3</v>
      </c>
      <c r="L86" s="81"/>
    </row>
    <row r="87" spans="1:12" x14ac:dyDescent="0.25">
      <c r="A87" s="163"/>
      <c r="B87" s="164" t="s">
        <v>121</v>
      </c>
      <c r="C87" s="165">
        <v>7617</v>
      </c>
      <c r="D87" s="165">
        <v>3448</v>
      </c>
      <c r="E87" s="165">
        <v>15714</v>
      </c>
      <c r="F87" s="165">
        <v>17545</v>
      </c>
      <c r="G87" s="165">
        <v>23533</v>
      </c>
      <c r="H87" s="165">
        <v>24832</v>
      </c>
      <c r="I87" s="166">
        <f t="shared" si="26"/>
        <v>5.519908213997371E-2</v>
      </c>
      <c r="J87" s="165">
        <f t="shared" si="25"/>
        <v>1299</v>
      </c>
      <c r="K87" s="166">
        <f t="shared" si="27"/>
        <v>1.4620907403000182E-3</v>
      </c>
      <c r="L87" s="81"/>
    </row>
    <row r="88" spans="1:12" x14ac:dyDescent="0.25">
      <c r="A88" s="163"/>
      <c r="B88" s="164" t="s">
        <v>130</v>
      </c>
      <c r="C88" s="165">
        <v>30187</v>
      </c>
      <c r="D88" s="165">
        <v>947</v>
      </c>
      <c r="E88" s="165">
        <v>29097</v>
      </c>
      <c r="F88" s="165">
        <v>47225</v>
      </c>
      <c r="G88" s="165">
        <v>42285</v>
      </c>
      <c r="H88" s="165">
        <v>42910</v>
      </c>
      <c r="I88" s="166">
        <f t="shared" si="26"/>
        <v>1.4780655078633131E-2</v>
      </c>
      <c r="J88" s="165">
        <f t="shared" si="25"/>
        <v>625</v>
      </c>
      <c r="K88" s="166">
        <f t="shared" si="27"/>
        <v>2.5265106985451749E-3</v>
      </c>
      <c r="L88" s="81"/>
    </row>
    <row r="89" spans="1:12" x14ac:dyDescent="0.25">
      <c r="A89" s="163" t="s">
        <v>146</v>
      </c>
      <c r="B89" s="164" t="s">
        <v>133</v>
      </c>
      <c r="C89" s="165">
        <v>48638</v>
      </c>
      <c r="D89" s="165">
        <v>3509</v>
      </c>
      <c r="E89" s="165">
        <v>26731</v>
      </c>
      <c r="F89" s="165">
        <v>47157</v>
      </c>
      <c r="G89" s="165">
        <v>50827</v>
      </c>
      <c r="H89" s="165">
        <v>39424</v>
      </c>
      <c r="I89" s="166">
        <f t="shared" si="26"/>
        <v>-0.22434926318688886</v>
      </c>
      <c r="J89" s="165">
        <f t="shared" si="25"/>
        <v>-11403</v>
      </c>
      <c r="K89" s="166">
        <f t="shared" si="27"/>
        <v>2.3212574639814723E-3</v>
      </c>
      <c r="L89" s="81"/>
    </row>
    <row r="90" spans="1:12" x14ac:dyDescent="0.25">
      <c r="A90" s="163" t="s">
        <v>147</v>
      </c>
      <c r="B90" s="169" t="s">
        <v>147</v>
      </c>
      <c r="C90" s="170">
        <f t="shared" ref="C90" si="28">C82-SUM(C83:C89)</f>
        <v>240780</v>
      </c>
      <c r="D90" s="170">
        <f t="shared" ref="D90:H90" si="29">D82-SUM(D83:D89)</f>
        <v>71220</v>
      </c>
      <c r="E90" s="170">
        <f t="shared" si="29"/>
        <v>341865</v>
      </c>
      <c r="F90" s="170">
        <f t="shared" si="29"/>
        <v>464775</v>
      </c>
      <c r="G90" s="170">
        <f t="shared" si="29"/>
        <v>539949</v>
      </c>
      <c r="H90" s="170">
        <f t="shared" si="29"/>
        <v>578460</v>
      </c>
      <c r="I90" s="171">
        <f t="shared" si="26"/>
        <v>7.1323402765816724E-2</v>
      </c>
      <c r="J90" s="170">
        <f>H90-G90</f>
        <v>38511</v>
      </c>
      <c r="K90" s="171">
        <f t="shared" si="27"/>
        <v>3.4059319009099087E-2</v>
      </c>
      <c r="L90" s="81"/>
    </row>
    <row r="91" spans="1:12" s="147" customFormat="1" x14ac:dyDescent="0.25">
      <c r="A91" s="163"/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</row>
    <row r="92" spans="1:12" x14ac:dyDescent="0.25">
      <c r="A92" s="163"/>
      <c r="B92" s="157" t="s">
        <v>70</v>
      </c>
      <c r="C92" s="177">
        <v>33659</v>
      </c>
      <c r="D92" s="177">
        <v>26038</v>
      </c>
      <c r="E92" s="177">
        <v>69048</v>
      </c>
      <c r="F92" s="177">
        <v>80076</v>
      </c>
      <c r="G92" s="177">
        <v>81078</v>
      </c>
      <c r="H92" s="177">
        <v>78508</v>
      </c>
      <c r="I92" s="178">
        <f>IFERROR(H92/G92-1,"-")</f>
        <v>-3.169787118577172E-2</v>
      </c>
      <c r="J92" s="177">
        <f>H92-G92</f>
        <v>-2570</v>
      </c>
      <c r="K92" s="178">
        <f>H92/H$8</f>
        <v>4.6224959664736562E-3</v>
      </c>
      <c r="L92" s="81"/>
    </row>
    <row r="93" spans="1:12" x14ac:dyDescent="0.25">
      <c r="A93" s="163" t="s">
        <v>98</v>
      </c>
      <c r="B93" s="160" t="s">
        <v>99</v>
      </c>
      <c r="C93" s="161">
        <v>13378</v>
      </c>
      <c r="D93" s="161">
        <v>13231</v>
      </c>
      <c r="E93" s="161">
        <v>33904</v>
      </c>
      <c r="F93" s="161">
        <v>37789</v>
      </c>
      <c r="G93" s="161">
        <v>32863</v>
      </c>
      <c r="H93" s="161">
        <v>34589</v>
      </c>
      <c r="I93" s="162">
        <f>IFERROR(H93/G93-1,"-")</f>
        <v>5.2521072330584451E-2</v>
      </c>
      <c r="J93" s="161">
        <f t="shared" ref="J93:J103" si="30">H93-G93</f>
        <v>1726</v>
      </c>
      <c r="K93" s="162">
        <f>H93/H$8</f>
        <v>2.0365760557440938E-3</v>
      </c>
      <c r="L93" s="81"/>
    </row>
    <row r="94" spans="1:12" x14ac:dyDescent="0.25">
      <c r="A94" s="163" t="s">
        <v>105</v>
      </c>
      <c r="B94" s="164" t="s">
        <v>105</v>
      </c>
      <c r="C94" s="165">
        <v>6425</v>
      </c>
      <c r="D94" s="165">
        <v>7411</v>
      </c>
      <c r="E94" s="165">
        <v>15076</v>
      </c>
      <c r="F94" s="165">
        <v>9333</v>
      </c>
      <c r="G94" s="165">
        <v>8218</v>
      </c>
      <c r="H94" s="165">
        <v>11547</v>
      </c>
      <c r="I94" s="166">
        <f>IFERROR(H94/G94-1,"-")</f>
        <v>0.40508639571671945</v>
      </c>
      <c r="J94" s="165">
        <f t="shared" si="30"/>
        <v>3329</v>
      </c>
      <c r="K94" s="166">
        <f>H94/H$8</f>
        <v>6.7987925975532824E-4</v>
      </c>
      <c r="L94" s="81"/>
    </row>
    <row r="95" spans="1:12" x14ac:dyDescent="0.25">
      <c r="A95" s="163" t="s">
        <v>102</v>
      </c>
      <c r="B95" s="164" t="s">
        <v>102</v>
      </c>
      <c r="C95" s="165">
        <v>6953</v>
      </c>
      <c r="D95" s="165">
        <v>5820</v>
      </c>
      <c r="E95" s="165">
        <v>18828</v>
      </c>
      <c r="F95" s="165">
        <v>28456</v>
      </c>
      <c r="G95" s="165">
        <v>24645</v>
      </c>
      <c r="H95" s="165">
        <v>23042</v>
      </c>
      <c r="I95" s="166">
        <f>IFERROR(H95/G95-1,"-")</f>
        <v>-6.504361939541492E-2</v>
      </c>
      <c r="J95" s="165">
        <f t="shared" si="30"/>
        <v>-1603</v>
      </c>
      <c r="K95" s="166">
        <f>H95/H$8</f>
        <v>1.3566967959887653E-3</v>
      </c>
      <c r="L95" s="81"/>
    </row>
    <row r="96" spans="1:12" x14ac:dyDescent="0.25">
      <c r="A96" s="163"/>
      <c r="B96" s="160" t="s">
        <v>109</v>
      </c>
      <c r="C96" s="161">
        <v>20281</v>
      </c>
      <c r="D96" s="161">
        <v>12807</v>
      </c>
      <c r="E96" s="161">
        <v>35144</v>
      </c>
      <c r="F96" s="161">
        <v>42287</v>
      </c>
      <c r="G96" s="161">
        <v>48215</v>
      </c>
      <c r="H96" s="161">
        <v>43919</v>
      </c>
      <c r="I96" s="162">
        <f>IFERROR(H96/G96-1,"-")</f>
        <v>-8.9100902208856136E-2</v>
      </c>
      <c r="J96" s="161">
        <f t="shared" si="30"/>
        <v>-4296</v>
      </c>
      <c r="K96" s="162">
        <f>H96/H$8</f>
        <v>2.5859199107295628E-3</v>
      </c>
      <c r="L96" s="81"/>
    </row>
    <row r="97" spans="1:12" s="57" customFormat="1" x14ac:dyDescent="0.25">
      <c r="A97" s="163"/>
      <c r="B97" s="164" t="s">
        <v>112</v>
      </c>
      <c r="C97" s="165">
        <v>4441</v>
      </c>
      <c r="D97" s="165">
        <v>349</v>
      </c>
      <c r="E97" s="165">
        <v>5018</v>
      </c>
      <c r="F97" s="165">
        <v>6758</v>
      </c>
      <c r="G97" s="165">
        <v>8020</v>
      </c>
      <c r="H97" s="165">
        <v>5925</v>
      </c>
      <c r="I97" s="166">
        <f t="shared" ref="I97:I104" si="31">IFERROR(H97/G97-1,"-")</f>
        <v>-0.26122194513715713</v>
      </c>
      <c r="J97" s="165">
        <f t="shared" si="30"/>
        <v>-2095</v>
      </c>
      <c r="K97" s="166">
        <f t="shared" ref="K97:K104" si="32">H97/H$8</f>
        <v>3.4885984360009698E-4</v>
      </c>
      <c r="L97" s="167"/>
    </row>
    <row r="98" spans="1:12" s="57" customFormat="1" x14ac:dyDescent="0.25">
      <c r="A98" s="163"/>
      <c r="B98" s="164" t="s">
        <v>115</v>
      </c>
      <c r="C98" s="165">
        <v>6467</v>
      </c>
      <c r="D98" s="165">
        <v>3892</v>
      </c>
      <c r="E98" s="165">
        <v>11276</v>
      </c>
      <c r="F98" s="165">
        <v>12995</v>
      </c>
      <c r="G98" s="165">
        <v>14949</v>
      </c>
      <c r="H98" s="165">
        <v>13487</v>
      </c>
      <c r="I98" s="166">
        <f t="shared" si="31"/>
        <v>-9.7799183891899122E-2</v>
      </c>
      <c r="J98" s="165">
        <f t="shared" si="30"/>
        <v>-1462</v>
      </c>
      <c r="K98" s="166">
        <f t="shared" si="32"/>
        <v>7.9410509884126723E-4</v>
      </c>
      <c r="L98" s="167"/>
    </row>
    <row r="99" spans="1:12" x14ac:dyDescent="0.25">
      <c r="A99" s="163"/>
      <c r="B99" s="164" t="s">
        <v>118</v>
      </c>
      <c r="C99" s="165">
        <v>2656</v>
      </c>
      <c r="D99" s="165">
        <v>3536</v>
      </c>
      <c r="E99" s="165">
        <v>4174</v>
      </c>
      <c r="F99" s="165">
        <v>4919</v>
      </c>
      <c r="G99" s="165">
        <v>5636</v>
      </c>
      <c r="H99" s="165">
        <v>5180</v>
      </c>
      <c r="I99" s="166">
        <f t="shared" si="31"/>
        <v>-8.0908445706174614E-2</v>
      </c>
      <c r="J99" s="165">
        <f t="shared" si="30"/>
        <v>-456</v>
      </c>
      <c r="K99" s="166">
        <f t="shared" si="32"/>
        <v>3.0499476621915654E-4</v>
      </c>
      <c r="L99" s="81"/>
    </row>
    <row r="100" spans="1:12" x14ac:dyDescent="0.25">
      <c r="A100" s="163"/>
      <c r="B100" s="164" t="s">
        <v>125</v>
      </c>
      <c r="C100" s="165">
        <v>839</v>
      </c>
      <c r="D100" s="165">
        <v>228</v>
      </c>
      <c r="E100" s="165">
        <v>2565</v>
      </c>
      <c r="F100" s="165">
        <v>2147</v>
      </c>
      <c r="G100" s="165">
        <v>2688</v>
      </c>
      <c r="H100" s="165">
        <v>1787</v>
      </c>
      <c r="I100" s="166">
        <f t="shared" si="31"/>
        <v>-0.33519345238095233</v>
      </c>
      <c r="J100" s="165">
        <f t="shared" si="30"/>
        <v>-901</v>
      </c>
      <c r="K100" s="166">
        <f t="shared" si="32"/>
        <v>1.0521730641575921E-4</v>
      </c>
      <c r="L100" s="81"/>
    </row>
    <row r="101" spans="1:12" x14ac:dyDescent="0.25">
      <c r="A101" s="163"/>
      <c r="B101" s="164" t="s">
        <v>121</v>
      </c>
      <c r="C101" s="165">
        <v>294</v>
      </c>
      <c r="D101" s="165">
        <v>411</v>
      </c>
      <c r="E101" s="165">
        <v>1072</v>
      </c>
      <c r="F101" s="165">
        <v>875</v>
      </c>
      <c r="G101" s="165">
        <v>1340</v>
      </c>
      <c r="H101" s="165">
        <v>1609</v>
      </c>
      <c r="I101" s="166">
        <f t="shared" si="31"/>
        <v>0.20074626865671652</v>
      </c>
      <c r="J101" s="165">
        <f t="shared" si="30"/>
        <v>269</v>
      </c>
      <c r="K101" s="166">
        <f t="shared" si="32"/>
        <v>9.4736791283131828E-5</v>
      </c>
      <c r="L101" s="81"/>
    </row>
    <row r="102" spans="1:12" x14ac:dyDescent="0.25">
      <c r="A102" s="163"/>
      <c r="B102" s="164" t="s">
        <v>130</v>
      </c>
      <c r="C102" s="165">
        <v>565</v>
      </c>
      <c r="D102" s="165">
        <v>38</v>
      </c>
      <c r="E102" s="165">
        <v>523</v>
      </c>
      <c r="F102" s="165">
        <v>243</v>
      </c>
      <c r="G102" s="165">
        <v>547</v>
      </c>
      <c r="H102" s="165">
        <v>310</v>
      </c>
      <c r="I102" s="166">
        <f t="shared" si="31"/>
        <v>-0.43327239488116998</v>
      </c>
      <c r="J102" s="165">
        <f t="shared" si="30"/>
        <v>-237</v>
      </c>
      <c r="K102" s="166">
        <f t="shared" si="32"/>
        <v>1.8252582534351066E-5</v>
      </c>
      <c r="L102" s="81"/>
    </row>
    <row r="103" spans="1:12" x14ac:dyDescent="0.25">
      <c r="A103" s="163" t="s">
        <v>146</v>
      </c>
      <c r="B103" s="164" t="s">
        <v>133</v>
      </c>
      <c r="C103" s="165">
        <v>210</v>
      </c>
      <c r="D103" s="165">
        <v>111</v>
      </c>
      <c r="E103" s="165">
        <v>217</v>
      </c>
      <c r="F103" s="165">
        <v>577</v>
      </c>
      <c r="G103" s="165">
        <v>822</v>
      </c>
      <c r="H103" s="165">
        <v>433</v>
      </c>
      <c r="I103" s="166">
        <f t="shared" si="31"/>
        <v>-0.47323600973236013</v>
      </c>
      <c r="J103" s="165">
        <f t="shared" si="30"/>
        <v>-389</v>
      </c>
      <c r="K103" s="166">
        <f t="shared" si="32"/>
        <v>2.5494736249593586E-5</v>
      </c>
      <c r="L103" s="81"/>
    </row>
    <row r="104" spans="1:12" x14ac:dyDescent="0.25">
      <c r="A104" s="163" t="s">
        <v>147</v>
      </c>
      <c r="B104" s="169" t="s">
        <v>147</v>
      </c>
      <c r="C104" s="170">
        <f t="shared" ref="C104" si="33">C96-SUM(C97:C103)</f>
        <v>4809</v>
      </c>
      <c r="D104" s="170">
        <f t="shared" ref="D104:H104" si="34">D96-SUM(D97:D103)</f>
        <v>4242</v>
      </c>
      <c r="E104" s="170">
        <f t="shared" si="34"/>
        <v>10299</v>
      </c>
      <c r="F104" s="170">
        <f t="shared" si="34"/>
        <v>13773</v>
      </c>
      <c r="G104" s="170">
        <f t="shared" si="34"/>
        <v>14213</v>
      </c>
      <c r="H104" s="170">
        <f t="shared" si="34"/>
        <v>15188</v>
      </c>
      <c r="I104" s="171">
        <f t="shared" si="31"/>
        <v>6.859916977415037E-2</v>
      </c>
      <c r="J104" s="170">
        <f>H104-G104</f>
        <v>975</v>
      </c>
      <c r="K104" s="171">
        <f t="shared" si="32"/>
        <v>8.9425878558620643E-4</v>
      </c>
      <c r="L104" s="81"/>
    </row>
    <row r="105" spans="1:12" s="147" customFormat="1" x14ac:dyDescent="0.25">
      <c r="A105" s="163"/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</row>
    <row r="106" spans="1:12" x14ac:dyDescent="0.25">
      <c r="A106" s="163"/>
      <c r="B106" s="157" t="s">
        <v>70</v>
      </c>
      <c r="C106" s="177">
        <v>248643</v>
      </c>
      <c r="D106" s="177">
        <v>197056</v>
      </c>
      <c r="E106" s="177">
        <v>616496</v>
      </c>
      <c r="F106" s="177">
        <v>677250</v>
      </c>
      <c r="G106" s="177">
        <v>706701</v>
      </c>
      <c r="H106" s="177">
        <v>709471</v>
      </c>
      <c r="I106" s="178">
        <f>IFERROR(H106/G106-1,"-")</f>
        <v>3.9196208863436777E-3</v>
      </c>
      <c r="J106" s="177">
        <f>H106-G106</f>
        <v>2770</v>
      </c>
      <c r="K106" s="178">
        <f>H106/H$8</f>
        <v>4.1773154784608336E-2</v>
      </c>
      <c r="L106" s="81"/>
    </row>
    <row r="107" spans="1:12" x14ac:dyDescent="0.25">
      <c r="A107" s="163" t="s">
        <v>98</v>
      </c>
      <c r="B107" s="160" t="s">
        <v>99</v>
      </c>
      <c r="C107" s="161">
        <v>42776</v>
      </c>
      <c r="D107" s="161">
        <v>69110</v>
      </c>
      <c r="E107" s="161">
        <v>72454</v>
      </c>
      <c r="F107" s="161">
        <v>92875</v>
      </c>
      <c r="G107" s="161">
        <v>92141</v>
      </c>
      <c r="H107" s="161">
        <v>98264</v>
      </c>
      <c r="I107" s="162">
        <f>IFERROR(H107/G107-1,"-")</f>
        <v>6.6452502143454106E-2</v>
      </c>
      <c r="J107" s="161">
        <f t="shared" ref="J107:J117" si="35">H107-G107</f>
        <v>6123</v>
      </c>
      <c r="K107" s="162">
        <f>H107/H$8</f>
        <v>5.7857153875983001E-3</v>
      </c>
      <c r="L107" s="81"/>
    </row>
    <row r="108" spans="1:12" x14ac:dyDescent="0.25">
      <c r="A108" s="163" t="s">
        <v>105</v>
      </c>
      <c r="B108" s="164" t="s">
        <v>105</v>
      </c>
      <c r="C108" s="165">
        <v>3635</v>
      </c>
      <c r="D108" s="165">
        <v>51412</v>
      </c>
      <c r="E108" s="165">
        <v>28398</v>
      </c>
      <c r="F108" s="165">
        <v>27771</v>
      </c>
      <c r="G108" s="165">
        <v>20310</v>
      </c>
      <c r="H108" s="165">
        <v>33988</v>
      </c>
      <c r="I108" s="166">
        <f>IFERROR(H108/G108-1,"-")</f>
        <v>0.67346134908911859</v>
      </c>
      <c r="J108" s="165">
        <f t="shared" si="35"/>
        <v>13678</v>
      </c>
      <c r="K108" s="166">
        <f>H108/H$8</f>
        <v>2.0011895973468517E-3</v>
      </c>
      <c r="L108" s="81"/>
    </row>
    <row r="109" spans="1:12" x14ac:dyDescent="0.25">
      <c r="A109" s="163" t="s">
        <v>102</v>
      </c>
      <c r="B109" s="164" t="s">
        <v>102</v>
      </c>
      <c r="C109" s="165">
        <v>39141</v>
      </c>
      <c r="D109" s="165">
        <v>17698</v>
      </c>
      <c r="E109" s="165">
        <v>44056</v>
      </c>
      <c r="F109" s="165">
        <v>65104</v>
      </c>
      <c r="G109" s="165">
        <v>71831</v>
      </c>
      <c r="H109" s="165">
        <v>64276</v>
      </c>
      <c r="I109" s="166">
        <f>IFERROR(H109/G109-1,"-")</f>
        <v>-0.1051774303573666</v>
      </c>
      <c r="J109" s="165">
        <f t="shared" si="35"/>
        <v>-7555</v>
      </c>
      <c r="K109" s="166">
        <f>H109/H$8</f>
        <v>3.7845257902514489E-3</v>
      </c>
      <c r="L109" s="81"/>
    </row>
    <row r="110" spans="1:12" x14ac:dyDescent="0.25">
      <c r="A110" s="163"/>
      <c r="B110" s="160" t="s">
        <v>109</v>
      </c>
      <c r="C110" s="161">
        <v>205867</v>
      </c>
      <c r="D110" s="161">
        <v>127946</v>
      </c>
      <c r="E110" s="161">
        <v>544042</v>
      </c>
      <c r="F110" s="161">
        <v>584375</v>
      </c>
      <c r="G110" s="161">
        <v>614560</v>
      </c>
      <c r="H110" s="161">
        <v>611207</v>
      </c>
      <c r="I110" s="162">
        <f>IFERROR(H110/G110-1,"-")</f>
        <v>-5.4559359541785923E-3</v>
      </c>
      <c r="J110" s="161">
        <f t="shared" si="35"/>
        <v>-3353</v>
      </c>
      <c r="K110" s="162">
        <f>H110/H$8</f>
        <v>3.5987439397010039E-2</v>
      </c>
      <c r="L110" s="81"/>
    </row>
    <row r="111" spans="1:12" s="57" customFormat="1" x14ac:dyDescent="0.25">
      <c r="A111" s="163"/>
      <c r="B111" s="164" t="s">
        <v>112</v>
      </c>
      <c r="C111" s="165">
        <v>117809</v>
      </c>
      <c r="D111" s="165">
        <v>27862</v>
      </c>
      <c r="E111" s="165">
        <v>330861</v>
      </c>
      <c r="F111" s="165">
        <v>355701</v>
      </c>
      <c r="G111" s="165">
        <v>361764</v>
      </c>
      <c r="H111" s="165">
        <v>342110</v>
      </c>
      <c r="I111" s="166">
        <f t="shared" ref="I111:I118" si="36">IFERROR(H111/G111-1,"-")</f>
        <v>-5.4328236087615167E-2</v>
      </c>
      <c r="J111" s="165">
        <f t="shared" si="35"/>
        <v>-19654</v>
      </c>
      <c r="K111" s="166">
        <f t="shared" ref="K111:K118" si="37">H111/H$8</f>
        <v>2.014319680911885E-2</v>
      </c>
      <c r="L111" s="167"/>
    </row>
    <row r="112" spans="1:12" s="57" customFormat="1" x14ac:dyDescent="0.25">
      <c r="A112" s="163"/>
      <c r="B112" s="164" t="s">
        <v>115</v>
      </c>
      <c r="C112" s="165">
        <v>14803</v>
      </c>
      <c r="D112" s="165">
        <v>27807</v>
      </c>
      <c r="E112" s="165">
        <v>24707</v>
      </c>
      <c r="F112" s="165">
        <v>34456</v>
      </c>
      <c r="G112" s="165">
        <v>29435</v>
      </c>
      <c r="H112" s="165">
        <v>35964</v>
      </c>
      <c r="I112" s="166">
        <f t="shared" si="36"/>
        <v>0.22181076949210121</v>
      </c>
      <c r="J112" s="165">
        <f t="shared" si="35"/>
        <v>6529</v>
      </c>
      <c r="K112" s="166">
        <f t="shared" si="37"/>
        <v>2.1175350911787154E-3</v>
      </c>
      <c r="L112" s="167"/>
    </row>
    <row r="113" spans="1:12" x14ac:dyDescent="0.25">
      <c r="A113" s="163"/>
      <c r="B113" s="164" t="s">
        <v>118</v>
      </c>
      <c r="C113" s="165">
        <v>7410</v>
      </c>
      <c r="D113" s="165">
        <v>26721</v>
      </c>
      <c r="E113" s="165">
        <v>31578</v>
      </c>
      <c r="F113" s="165">
        <v>44537</v>
      </c>
      <c r="G113" s="165">
        <v>36150</v>
      </c>
      <c r="H113" s="165">
        <v>55668</v>
      </c>
      <c r="I113" s="166">
        <f t="shared" si="36"/>
        <v>0.53991701244813273</v>
      </c>
      <c r="J113" s="165">
        <f t="shared" si="35"/>
        <v>19518</v>
      </c>
      <c r="K113" s="166">
        <f t="shared" si="37"/>
        <v>3.2776927887814681E-3</v>
      </c>
      <c r="L113" s="81"/>
    </row>
    <row r="114" spans="1:12" x14ac:dyDescent="0.25">
      <c r="A114" s="163"/>
      <c r="B114" s="164" t="s">
        <v>125</v>
      </c>
      <c r="C114" s="165">
        <v>4179</v>
      </c>
      <c r="D114" s="165">
        <v>6028</v>
      </c>
      <c r="E114" s="165">
        <v>24518</v>
      </c>
      <c r="F114" s="165">
        <v>18718</v>
      </c>
      <c r="G114" s="165">
        <v>22104</v>
      </c>
      <c r="H114" s="165">
        <v>21396</v>
      </c>
      <c r="I114" s="166">
        <f t="shared" si="36"/>
        <v>-3.2030401737242142E-2</v>
      </c>
      <c r="J114" s="165">
        <f t="shared" si="35"/>
        <v>-708</v>
      </c>
      <c r="K114" s="166">
        <f t="shared" si="37"/>
        <v>1.2597814706612109E-3</v>
      </c>
      <c r="L114" s="81"/>
    </row>
    <row r="115" spans="1:12" x14ac:dyDescent="0.25">
      <c r="A115" s="163"/>
      <c r="B115" s="164" t="s">
        <v>121</v>
      </c>
      <c r="C115" s="165">
        <v>5827</v>
      </c>
      <c r="D115" s="165">
        <v>9975</v>
      </c>
      <c r="E115" s="165">
        <v>22305</v>
      </c>
      <c r="F115" s="165">
        <v>16523</v>
      </c>
      <c r="G115" s="165">
        <v>16190</v>
      </c>
      <c r="H115" s="165">
        <v>17300</v>
      </c>
      <c r="I115" s="166">
        <f t="shared" si="36"/>
        <v>6.8560840024706637E-2</v>
      </c>
      <c r="J115" s="165">
        <f t="shared" si="35"/>
        <v>1110</v>
      </c>
      <c r="K115" s="166">
        <f t="shared" si="37"/>
        <v>1.0186118640137852E-3</v>
      </c>
      <c r="L115" s="81"/>
    </row>
    <row r="116" spans="1:12" x14ac:dyDescent="0.25">
      <c r="A116" s="163"/>
      <c r="B116" s="164" t="s">
        <v>130</v>
      </c>
      <c r="C116" s="165">
        <v>2277</v>
      </c>
      <c r="D116" s="165">
        <v>53</v>
      </c>
      <c r="E116" s="165">
        <v>3482</v>
      </c>
      <c r="F116" s="165">
        <v>5193</v>
      </c>
      <c r="G116" s="165">
        <v>9754</v>
      </c>
      <c r="H116" s="165">
        <v>5843</v>
      </c>
      <c r="I116" s="166">
        <f t="shared" si="36"/>
        <v>-0.40096370719704733</v>
      </c>
      <c r="J116" s="165">
        <f t="shared" si="35"/>
        <v>-3911</v>
      </c>
      <c r="K116" s="166">
        <f t="shared" si="37"/>
        <v>3.4403174112326862E-4</v>
      </c>
      <c r="L116" s="81"/>
    </row>
    <row r="117" spans="1:12" x14ac:dyDescent="0.25">
      <c r="A117" s="163" t="s">
        <v>146</v>
      </c>
      <c r="B117" s="164" t="s">
        <v>133</v>
      </c>
      <c r="C117" s="165">
        <v>7210</v>
      </c>
      <c r="D117" s="165">
        <v>97</v>
      </c>
      <c r="E117" s="165">
        <v>5216</v>
      </c>
      <c r="F117" s="165">
        <v>4173</v>
      </c>
      <c r="G117" s="165">
        <v>8486</v>
      </c>
      <c r="H117" s="165">
        <v>4916</v>
      </c>
      <c r="I117" s="166">
        <f t="shared" si="36"/>
        <v>-0.42069290596276221</v>
      </c>
      <c r="J117" s="165">
        <f t="shared" si="35"/>
        <v>-3570</v>
      </c>
      <c r="K117" s="166">
        <f t="shared" si="37"/>
        <v>2.8945063141570918E-4</v>
      </c>
      <c r="L117" s="81"/>
    </row>
    <row r="118" spans="1:12" x14ac:dyDescent="0.25">
      <c r="A118" s="163" t="s">
        <v>147</v>
      </c>
      <c r="B118" s="169" t="s">
        <v>147</v>
      </c>
      <c r="C118" s="170">
        <f t="shared" ref="C118" si="38">C110-SUM(C111:C117)</f>
        <v>46352</v>
      </c>
      <c r="D118" s="170">
        <f t="shared" ref="D118:H118" si="39">D110-SUM(D111:D117)</f>
        <v>29403</v>
      </c>
      <c r="E118" s="170">
        <f t="shared" si="39"/>
        <v>101375</v>
      </c>
      <c r="F118" s="170">
        <f t="shared" si="39"/>
        <v>105074</v>
      </c>
      <c r="G118" s="170">
        <f t="shared" si="39"/>
        <v>130677</v>
      </c>
      <c r="H118" s="170">
        <f t="shared" si="39"/>
        <v>128010</v>
      </c>
      <c r="I118" s="171">
        <f t="shared" si="36"/>
        <v>-2.0409100300741501E-2</v>
      </c>
      <c r="J118" s="170">
        <f>H118-G118</f>
        <v>-2667</v>
      </c>
      <c r="K118" s="171">
        <f t="shared" si="37"/>
        <v>7.5371390007170323E-3</v>
      </c>
      <c r="L118" s="81"/>
    </row>
    <row r="119" spans="1:12" s="147" customFormat="1" x14ac:dyDescent="0.25">
      <c r="A119" s="163"/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</row>
    <row r="120" spans="1:12" x14ac:dyDescent="0.25">
      <c r="A120" s="163"/>
      <c r="B120" s="157" t="s">
        <v>70</v>
      </c>
      <c r="C120" s="177">
        <v>118261</v>
      </c>
      <c r="D120" s="177">
        <v>116916</v>
      </c>
      <c r="E120" s="177">
        <v>257944</v>
      </c>
      <c r="F120" s="177">
        <v>294093</v>
      </c>
      <c r="G120" s="177">
        <v>301774</v>
      </c>
      <c r="H120" s="177">
        <v>301669</v>
      </c>
      <c r="I120" s="178">
        <f>IFERROR(H120/G120-1,"-")</f>
        <v>-3.4794250001657367E-4</v>
      </c>
      <c r="J120" s="177">
        <f>H120-G120</f>
        <v>-105</v>
      </c>
      <c r="K120" s="178">
        <f>H120/H$8</f>
        <v>1.7762059098565007E-2</v>
      </c>
      <c r="L120" s="81"/>
    </row>
    <row r="121" spans="1:12" x14ac:dyDescent="0.25">
      <c r="A121" s="163" t="s">
        <v>98</v>
      </c>
      <c r="B121" s="160" t="s">
        <v>99</v>
      </c>
      <c r="C121" s="161">
        <v>50965</v>
      </c>
      <c r="D121" s="161">
        <v>71639</v>
      </c>
      <c r="E121" s="161">
        <v>127914</v>
      </c>
      <c r="F121" s="161">
        <v>154628</v>
      </c>
      <c r="G121" s="161">
        <v>151013</v>
      </c>
      <c r="H121" s="161">
        <v>166691</v>
      </c>
      <c r="I121" s="162">
        <f>IFERROR(H121/G121-1,"-")</f>
        <v>0.10381887652056454</v>
      </c>
      <c r="J121" s="161">
        <f t="shared" ref="J121:J131" si="40">H121-G121</f>
        <v>15678</v>
      </c>
      <c r="K121" s="162">
        <f>H121/H$8</f>
        <v>9.8146491459145599E-3</v>
      </c>
      <c r="L121" s="81"/>
    </row>
    <row r="122" spans="1:12" x14ac:dyDescent="0.25">
      <c r="A122" s="163" t="s">
        <v>105</v>
      </c>
      <c r="B122" s="164" t="s">
        <v>105</v>
      </c>
      <c r="C122" s="165">
        <v>23473</v>
      </c>
      <c r="D122" s="165">
        <v>34847</v>
      </c>
      <c r="E122" s="165">
        <v>58276</v>
      </c>
      <c r="F122" s="165">
        <v>65154</v>
      </c>
      <c r="G122" s="165">
        <v>61289</v>
      </c>
      <c r="H122" s="165">
        <v>74048</v>
      </c>
      <c r="I122" s="166">
        <f>IFERROR(H122/G122-1,"-")</f>
        <v>0.20817765014929268</v>
      </c>
      <c r="J122" s="165">
        <f t="shared" si="40"/>
        <v>12759</v>
      </c>
      <c r="K122" s="166">
        <f>H122/H$8</f>
        <v>4.3598942951729924E-3</v>
      </c>
      <c r="L122" s="81"/>
    </row>
    <row r="123" spans="1:12" x14ac:dyDescent="0.25">
      <c r="A123" s="163" t="s">
        <v>102</v>
      </c>
      <c r="B123" s="164" t="s">
        <v>102</v>
      </c>
      <c r="C123" s="165">
        <v>27492</v>
      </c>
      <c r="D123" s="165">
        <v>36792</v>
      </c>
      <c r="E123" s="165">
        <v>69638</v>
      </c>
      <c r="F123" s="165">
        <v>89474</v>
      </c>
      <c r="G123" s="165">
        <v>89724</v>
      </c>
      <c r="H123" s="165">
        <v>92643</v>
      </c>
      <c r="I123" s="166">
        <f>IFERROR(H123/G123-1,"-")</f>
        <v>3.2533101511301288E-2</v>
      </c>
      <c r="J123" s="165">
        <f t="shared" si="40"/>
        <v>2919</v>
      </c>
      <c r="K123" s="166">
        <f>H123/H$8</f>
        <v>5.4547548507415675E-3</v>
      </c>
      <c r="L123" s="81"/>
    </row>
    <row r="124" spans="1:12" x14ac:dyDescent="0.25">
      <c r="A124" s="163"/>
      <c r="B124" s="160" t="s">
        <v>109</v>
      </c>
      <c r="C124" s="161">
        <v>67296</v>
      </c>
      <c r="D124" s="161">
        <v>45277</v>
      </c>
      <c r="E124" s="161">
        <v>130030</v>
      </c>
      <c r="F124" s="161">
        <v>139465</v>
      </c>
      <c r="G124" s="161">
        <v>150761</v>
      </c>
      <c r="H124" s="161">
        <v>134978</v>
      </c>
      <c r="I124" s="162">
        <f>IFERROR(H124/G124-1,"-")</f>
        <v>-0.10468887842346497</v>
      </c>
      <c r="J124" s="161">
        <f t="shared" si="40"/>
        <v>-15783</v>
      </c>
      <c r="K124" s="162">
        <f>H124/H$8</f>
        <v>7.9474099526504454E-3</v>
      </c>
      <c r="L124" s="81"/>
    </row>
    <row r="125" spans="1:12" s="57" customFormat="1" x14ac:dyDescent="0.25">
      <c r="A125" s="163"/>
      <c r="B125" s="164" t="s">
        <v>112</v>
      </c>
      <c r="C125" s="165">
        <v>8916</v>
      </c>
      <c r="D125" s="165">
        <v>1857</v>
      </c>
      <c r="E125" s="165">
        <v>16908</v>
      </c>
      <c r="F125" s="165">
        <v>17121</v>
      </c>
      <c r="G125" s="165">
        <v>21680</v>
      </c>
      <c r="H125" s="165">
        <v>16383</v>
      </c>
      <c r="I125" s="166">
        <f t="shared" ref="I125:I132" si="41">IFERROR(H125/G125-1,"-")</f>
        <v>-0.24432656826568266</v>
      </c>
      <c r="J125" s="165">
        <f t="shared" si="40"/>
        <v>-5297</v>
      </c>
      <c r="K125" s="166">
        <f t="shared" ref="K125:K132" si="42">H125/H$8</f>
        <v>9.6461954729120487E-4</v>
      </c>
      <c r="L125" s="167"/>
    </row>
    <row r="126" spans="1:12" s="57" customFormat="1" x14ac:dyDescent="0.25">
      <c r="A126" s="163"/>
      <c r="B126" s="164" t="s">
        <v>115</v>
      </c>
      <c r="C126" s="165">
        <v>8926</v>
      </c>
      <c r="D126" s="165">
        <v>4845</v>
      </c>
      <c r="E126" s="165">
        <v>16067</v>
      </c>
      <c r="F126" s="165">
        <v>22538</v>
      </c>
      <c r="G126" s="165">
        <v>22392</v>
      </c>
      <c r="H126" s="165">
        <v>21635</v>
      </c>
      <c r="I126" s="166">
        <f t="shared" si="41"/>
        <v>-3.3806716684530169E-2</v>
      </c>
      <c r="J126" s="165">
        <f t="shared" si="40"/>
        <v>-757</v>
      </c>
      <c r="K126" s="166">
        <f t="shared" si="42"/>
        <v>1.2738536230022107E-3</v>
      </c>
      <c r="L126" s="167"/>
    </row>
    <row r="127" spans="1:12" x14ac:dyDescent="0.25">
      <c r="A127" s="163"/>
      <c r="B127" s="164" t="s">
        <v>118</v>
      </c>
      <c r="C127" s="165">
        <v>4918</v>
      </c>
      <c r="D127" s="165">
        <v>6774</v>
      </c>
      <c r="E127" s="165">
        <v>11413</v>
      </c>
      <c r="F127" s="165">
        <v>13936</v>
      </c>
      <c r="G127" s="165">
        <v>12912</v>
      </c>
      <c r="H127" s="165">
        <v>10908</v>
      </c>
      <c r="I127" s="166">
        <f t="shared" si="41"/>
        <v>-0.15520446096654272</v>
      </c>
      <c r="J127" s="165">
        <f t="shared" si="40"/>
        <v>-2004</v>
      </c>
      <c r="K127" s="166">
        <f t="shared" si="42"/>
        <v>6.4225538801516589E-4</v>
      </c>
      <c r="L127" s="81"/>
    </row>
    <row r="128" spans="1:12" x14ac:dyDescent="0.25">
      <c r="A128" s="163"/>
      <c r="B128" s="164" t="s">
        <v>125</v>
      </c>
      <c r="C128" s="165">
        <v>1311</v>
      </c>
      <c r="D128" s="165">
        <v>640</v>
      </c>
      <c r="E128" s="165">
        <v>3239</v>
      </c>
      <c r="F128" s="165">
        <v>3269</v>
      </c>
      <c r="G128" s="165">
        <v>3704</v>
      </c>
      <c r="H128" s="165">
        <v>3821</v>
      </c>
      <c r="I128" s="166">
        <f t="shared" si="41"/>
        <v>3.1587473002159916E-2</v>
      </c>
      <c r="J128" s="165">
        <f t="shared" si="40"/>
        <v>117</v>
      </c>
      <c r="K128" s="166">
        <f t="shared" si="42"/>
        <v>2.2497779956050137E-4</v>
      </c>
      <c r="L128" s="81"/>
    </row>
    <row r="129" spans="1:12" x14ac:dyDescent="0.25">
      <c r="A129" s="163"/>
      <c r="B129" s="164" t="s">
        <v>121</v>
      </c>
      <c r="C129" s="165">
        <v>1120</v>
      </c>
      <c r="D129" s="165">
        <v>643</v>
      </c>
      <c r="E129" s="165">
        <v>2327</v>
      </c>
      <c r="F129" s="165">
        <v>2889</v>
      </c>
      <c r="G129" s="165">
        <v>2976</v>
      </c>
      <c r="H129" s="165">
        <v>2890</v>
      </c>
      <c r="I129" s="166">
        <f t="shared" si="41"/>
        <v>-2.8897849462365621E-2</v>
      </c>
      <c r="J129" s="165">
        <f t="shared" si="40"/>
        <v>-86</v>
      </c>
      <c r="K129" s="166">
        <f t="shared" si="42"/>
        <v>1.7016117265895026E-4</v>
      </c>
      <c r="L129" s="81"/>
    </row>
    <row r="130" spans="1:12" x14ac:dyDescent="0.25">
      <c r="A130" s="163"/>
      <c r="B130" s="164" t="s">
        <v>130</v>
      </c>
      <c r="C130" s="165">
        <v>1580</v>
      </c>
      <c r="D130" s="165">
        <v>70</v>
      </c>
      <c r="E130" s="165">
        <v>1460</v>
      </c>
      <c r="F130" s="165">
        <v>1881</v>
      </c>
      <c r="G130" s="165">
        <v>2514</v>
      </c>
      <c r="H130" s="165">
        <v>1669</v>
      </c>
      <c r="I130" s="166">
        <f t="shared" si="41"/>
        <v>-0.3361177406523469</v>
      </c>
      <c r="J130" s="165">
        <f t="shared" si="40"/>
        <v>-845</v>
      </c>
      <c r="K130" s="166">
        <f t="shared" si="42"/>
        <v>9.8269549193006221E-5</v>
      </c>
      <c r="L130" s="81"/>
    </row>
    <row r="131" spans="1:12" x14ac:dyDescent="0.25">
      <c r="A131" s="163" t="s">
        <v>146</v>
      </c>
      <c r="B131" s="164" t="s">
        <v>133</v>
      </c>
      <c r="C131" s="165">
        <v>1898</v>
      </c>
      <c r="D131" s="165">
        <v>319</v>
      </c>
      <c r="E131" s="165">
        <v>2371</v>
      </c>
      <c r="F131" s="165">
        <v>2821</v>
      </c>
      <c r="G131" s="165">
        <v>3103</v>
      </c>
      <c r="H131" s="165">
        <v>2618</v>
      </c>
      <c r="I131" s="166">
        <f t="shared" si="41"/>
        <v>-0.15630035449564939</v>
      </c>
      <c r="J131" s="165">
        <f t="shared" si="40"/>
        <v>-485</v>
      </c>
      <c r="K131" s="166">
        <f t="shared" si="42"/>
        <v>1.5414600346751964E-4</v>
      </c>
      <c r="L131" s="81"/>
    </row>
    <row r="132" spans="1:12" x14ac:dyDescent="0.25">
      <c r="A132" s="163" t="s">
        <v>147</v>
      </c>
      <c r="B132" s="169" t="s">
        <v>147</v>
      </c>
      <c r="C132" s="170">
        <f t="shared" ref="C132" si="43">C124-SUM(C125:C131)</f>
        <v>38627</v>
      </c>
      <c r="D132" s="170">
        <f t="shared" ref="D132:H132" si="44">D124-SUM(D125:D131)</f>
        <v>30129</v>
      </c>
      <c r="E132" s="170">
        <f t="shared" si="44"/>
        <v>76245</v>
      </c>
      <c r="F132" s="170">
        <f t="shared" si="44"/>
        <v>75010</v>
      </c>
      <c r="G132" s="170">
        <f t="shared" si="44"/>
        <v>81480</v>
      </c>
      <c r="H132" s="170">
        <f t="shared" si="44"/>
        <v>75054</v>
      </c>
      <c r="I132" s="171">
        <f t="shared" si="41"/>
        <v>-7.8865979381443352E-2</v>
      </c>
      <c r="J132" s="170">
        <f>H132-G132</f>
        <v>-6426</v>
      </c>
      <c r="K132" s="171">
        <f t="shared" si="42"/>
        <v>4.4191268694618868E-3</v>
      </c>
      <c r="L132" s="81"/>
    </row>
    <row r="133" spans="1:12" s="147" customFormat="1" x14ac:dyDescent="0.25">
      <c r="A133" s="163"/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</row>
    <row r="134" spans="1:12" x14ac:dyDescent="0.25">
      <c r="A134" s="163"/>
      <c r="B134" s="157" t="s">
        <v>70</v>
      </c>
      <c r="C134" s="177">
        <v>412691</v>
      </c>
      <c r="D134" s="177">
        <v>132161</v>
      </c>
      <c r="E134" s="177">
        <v>815705</v>
      </c>
      <c r="F134" s="177">
        <v>894003</v>
      </c>
      <c r="G134" s="177">
        <v>988736</v>
      </c>
      <c r="H134" s="177">
        <v>963996</v>
      </c>
      <c r="I134" s="178">
        <f>IFERROR(H134/G134-1,"-")</f>
        <v>-2.5021846074179566E-2</v>
      </c>
      <c r="J134" s="177">
        <f>H134-G134</f>
        <v>-24740</v>
      </c>
      <c r="K134" s="178">
        <f>H134/H$8</f>
        <v>5.6759408234788034E-2</v>
      </c>
      <c r="L134" s="81"/>
    </row>
    <row r="135" spans="1:12" x14ac:dyDescent="0.25">
      <c r="A135" s="163" t="s">
        <v>98</v>
      </c>
      <c r="B135" s="160" t="s">
        <v>99</v>
      </c>
      <c r="C135" s="161">
        <v>9152</v>
      </c>
      <c r="D135" s="161">
        <v>49027</v>
      </c>
      <c r="E135" s="161">
        <v>36395</v>
      </c>
      <c r="F135" s="161">
        <v>49948</v>
      </c>
      <c r="G135" s="161">
        <v>36539</v>
      </c>
      <c r="H135" s="161">
        <v>34981</v>
      </c>
      <c r="I135" s="162">
        <f>IFERROR(H135/G135-1,"-")</f>
        <v>-4.2639371630312839E-2</v>
      </c>
      <c r="J135" s="161">
        <f t="shared" ref="J135:J145" si="45">H135-G135</f>
        <v>-1558</v>
      </c>
      <c r="K135" s="162">
        <f>H135/H$8</f>
        <v>2.0596567407552731E-3</v>
      </c>
      <c r="L135" s="81"/>
    </row>
    <row r="136" spans="1:12" x14ac:dyDescent="0.25">
      <c r="A136" s="163" t="s">
        <v>105</v>
      </c>
      <c r="B136" s="164" t="s">
        <v>105</v>
      </c>
      <c r="C136" s="165">
        <v>5032</v>
      </c>
      <c r="D136" s="165">
        <v>36324</v>
      </c>
      <c r="E136" s="165">
        <v>19559</v>
      </c>
      <c r="F136" s="165">
        <v>28534</v>
      </c>
      <c r="G136" s="165">
        <v>18361</v>
      </c>
      <c r="H136" s="165">
        <v>11115</v>
      </c>
      <c r="I136" s="166">
        <f>IFERROR(H136/G136-1,"-")</f>
        <v>-0.39464081477043733</v>
      </c>
      <c r="J136" s="165">
        <f t="shared" si="45"/>
        <v>-7246</v>
      </c>
      <c r="K136" s="166">
        <f>H136/H$8</f>
        <v>6.5444340280423256E-4</v>
      </c>
      <c r="L136" s="81"/>
    </row>
    <row r="137" spans="1:12" x14ac:dyDescent="0.25">
      <c r="A137" s="163" t="s">
        <v>102</v>
      </c>
      <c r="B137" s="164" t="s">
        <v>102</v>
      </c>
      <c r="C137" s="165">
        <v>4120</v>
      </c>
      <c r="D137" s="165">
        <v>12703</v>
      </c>
      <c r="E137" s="165">
        <v>16836</v>
      </c>
      <c r="F137" s="165">
        <v>21414</v>
      </c>
      <c r="G137" s="165">
        <v>18178</v>
      </c>
      <c r="H137" s="165">
        <v>23866</v>
      </c>
      <c r="I137" s="166">
        <f>IFERROR(H137/G137-1,"-")</f>
        <v>0.31290571019914193</v>
      </c>
      <c r="J137" s="165">
        <f t="shared" si="45"/>
        <v>5688</v>
      </c>
      <c r="K137" s="166">
        <f>H137/H$8</f>
        <v>1.4052133379510404E-3</v>
      </c>
      <c r="L137" s="81"/>
    </row>
    <row r="138" spans="1:12" x14ac:dyDescent="0.25">
      <c r="A138" s="163"/>
      <c r="B138" s="160" t="s">
        <v>109</v>
      </c>
      <c r="C138" s="161">
        <v>403539</v>
      </c>
      <c r="D138" s="161">
        <v>83134</v>
      </c>
      <c r="E138" s="161">
        <v>779310</v>
      </c>
      <c r="F138" s="161">
        <v>844055</v>
      </c>
      <c r="G138" s="161">
        <v>952197</v>
      </c>
      <c r="H138" s="161">
        <v>929015</v>
      </c>
      <c r="I138" s="162">
        <f>IFERROR(H138/G138-1,"-")</f>
        <v>-2.4345802391732008E-2</v>
      </c>
      <c r="J138" s="161">
        <f t="shared" si="45"/>
        <v>-23182</v>
      </c>
      <c r="K138" s="162">
        <f>H138/H$8</f>
        <v>5.4699751494032757E-2</v>
      </c>
      <c r="L138" s="81"/>
    </row>
    <row r="139" spans="1:12" s="57" customFormat="1" x14ac:dyDescent="0.25">
      <c r="A139" s="163"/>
      <c r="B139" s="164" t="s">
        <v>112</v>
      </c>
      <c r="C139" s="165">
        <v>198194</v>
      </c>
      <c r="D139" s="165">
        <v>2110</v>
      </c>
      <c r="E139" s="165">
        <v>341843</v>
      </c>
      <c r="F139" s="165">
        <v>331680</v>
      </c>
      <c r="G139" s="165">
        <v>414214</v>
      </c>
      <c r="H139" s="165">
        <v>432280</v>
      </c>
      <c r="I139" s="166">
        <f t="shared" ref="I139:I146" si="46">IFERROR(H139/G139-1,"-")</f>
        <v>4.3615136137358901E-2</v>
      </c>
      <c r="J139" s="165">
        <f t="shared" si="45"/>
        <v>18066</v>
      </c>
      <c r="K139" s="166">
        <f t="shared" ref="K139:K146" si="47">H139/H$8</f>
        <v>2.5452343154675094E-2</v>
      </c>
      <c r="L139" s="167"/>
    </row>
    <row r="140" spans="1:12" s="57" customFormat="1" x14ac:dyDescent="0.25">
      <c r="A140" s="163"/>
      <c r="B140" s="164" t="s">
        <v>115</v>
      </c>
      <c r="C140" s="165">
        <v>25529</v>
      </c>
      <c r="D140" s="165">
        <v>10972</v>
      </c>
      <c r="E140" s="165">
        <v>59149</v>
      </c>
      <c r="F140" s="165">
        <v>85182</v>
      </c>
      <c r="G140" s="165">
        <v>104313</v>
      </c>
      <c r="H140" s="165">
        <v>91210</v>
      </c>
      <c r="I140" s="166">
        <f t="shared" si="46"/>
        <v>-0.12561233978506992</v>
      </c>
      <c r="J140" s="165">
        <f t="shared" si="45"/>
        <v>-13103</v>
      </c>
      <c r="K140" s="166">
        <f t="shared" si="47"/>
        <v>5.3703808159940667E-3</v>
      </c>
      <c r="L140" s="167"/>
    </row>
    <row r="141" spans="1:12" x14ac:dyDescent="0.25">
      <c r="A141" s="163"/>
      <c r="B141" s="164" t="s">
        <v>118</v>
      </c>
      <c r="C141" s="165">
        <v>22867</v>
      </c>
      <c r="D141" s="165">
        <v>23155</v>
      </c>
      <c r="E141" s="165">
        <v>84412</v>
      </c>
      <c r="F141" s="165">
        <v>82450</v>
      </c>
      <c r="G141" s="165">
        <v>90003</v>
      </c>
      <c r="H141" s="165">
        <v>77606</v>
      </c>
      <c r="I141" s="166">
        <f t="shared" si="46"/>
        <v>-0.13773985311600723</v>
      </c>
      <c r="J141" s="165">
        <f t="shared" si="45"/>
        <v>-12397</v>
      </c>
      <c r="K141" s="166">
        <f t="shared" si="47"/>
        <v>4.5693868392285442E-3</v>
      </c>
      <c r="L141" s="81"/>
    </row>
    <row r="142" spans="1:12" x14ac:dyDescent="0.25">
      <c r="A142" s="163"/>
      <c r="B142" s="164" t="s">
        <v>125</v>
      </c>
      <c r="C142" s="165">
        <v>5400</v>
      </c>
      <c r="D142" s="165">
        <v>1081</v>
      </c>
      <c r="E142" s="165">
        <v>28804</v>
      </c>
      <c r="F142" s="165">
        <v>32730</v>
      </c>
      <c r="G142" s="165">
        <v>32642</v>
      </c>
      <c r="H142" s="165">
        <v>24051</v>
      </c>
      <c r="I142" s="166">
        <f t="shared" si="46"/>
        <v>-0.26318853011457632</v>
      </c>
      <c r="J142" s="165">
        <f t="shared" si="45"/>
        <v>-8591</v>
      </c>
      <c r="K142" s="166">
        <f t="shared" si="47"/>
        <v>1.4161060081731532E-3</v>
      </c>
      <c r="L142" s="81"/>
    </row>
    <row r="143" spans="1:12" x14ac:dyDescent="0.25">
      <c r="A143" s="163"/>
      <c r="B143" s="164" t="s">
        <v>121</v>
      </c>
      <c r="C143" s="165">
        <v>6566</v>
      </c>
      <c r="D143" s="165">
        <v>2700</v>
      </c>
      <c r="E143" s="165">
        <v>14713</v>
      </c>
      <c r="F143" s="165">
        <v>18976</v>
      </c>
      <c r="G143" s="165">
        <v>24093</v>
      </c>
      <c r="H143" s="165">
        <v>15984</v>
      </c>
      <c r="I143" s="166">
        <f t="shared" si="46"/>
        <v>-0.33657078819574149</v>
      </c>
      <c r="J143" s="165">
        <f t="shared" si="45"/>
        <v>-8109</v>
      </c>
      <c r="K143" s="166">
        <f t="shared" si="47"/>
        <v>9.411267071905401E-4</v>
      </c>
      <c r="L143" s="81"/>
    </row>
    <row r="144" spans="1:12" x14ac:dyDescent="0.25">
      <c r="A144" s="163"/>
      <c r="B144" s="164" t="s">
        <v>130</v>
      </c>
      <c r="C144" s="165">
        <v>15280</v>
      </c>
      <c r="D144" s="165">
        <v>200</v>
      </c>
      <c r="E144" s="165">
        <v>13837</v>
      </c>
      <c r="F144" s="165">
        <v>18455</v>
      </c>
      <c r="G144" s="165">
        <v>16219</v>
      </c>
      <c r="H144" s="165">
        <v>17804</v>
      </c>
      <c r="I144" s="166">
        <f t="shared" si="46"/>
        <v>9.7724890560453748E-2</v>
      </c>
      <c r="J144" s="165">
        <f t="shared" si="45"/>
        <v>1585</v>
      </c>
      <c r="K144" s="166">
        <f t="shared" si="47"/>
        <v>1.0482870304567302E-3</v>
      </c>
      <c r="L144" s="81"/>
    </row>
    <row r="145" spans="1:12" x14ac:dyDescent="0.25">
      <c r="A145" s="163" t="s">
        <v>146</v>
      </c>
      <c r="B145" s="164" t="s">
        <v>133</v>
      </c>
      <c r="C145" s="165">
        <v>28780</v>
      </c>
      <c r="D145" s="165">
        <v>182</v>
      </c>
      <c r="E145" s="165">
        <v>6397</v>
      </c>
      <c r="F145" s="165">
        <v>12560</v>
      </c>
      <c r="G145" s="165">
        <v>10468</v>
      </c>
      <c r="H145" s="165">
        <v>8771</v>
      </c>
      <c r="I145" s="166">
        <f t="shared" si="46"/>
        <v>-0.16211310661062284</v>
      </c>
      <c r="J145" s="165">
        <f t="shared" si="45"/>
        <v>-1697</v>
      </c>
      <c r="K145" s="166">
        <f t="shared" si="47"/>
        <v>5.1643032712513938E-4</v>
      </c>
      <c r="L145" s="81"/>
    </row>
    <row r="146" spans="1:12" x14ac:dyDescent="0.25">
      <c r="A146" s="163" t="s">
        <v>147</v>
      </c>
      <c r="B146" s="169" t="s">
        <v>147</v>
      </c>
      <c r="C146" s="170">
        <f t="shared" ref="C146" si="48">C138-SUM(C139:C145)</f>
        <v>100923</v>
      </c>
      <c r="D146" s="170">
        <f t="shared" ref="D146:H146" si="49">D138-SUM(D139:D145)</f>
        <v>42734</v>
      </c>
      <c r="E146" s="170">
        <f t="shared" si="49"/>
        <v>230155</v>
      </c>
      <c r="F146" s="170">
        <f t="shared" si="49"/>
        <v>262022</v>
      </c>
      <c r="G146" s="170">
        <f t="shared" si="49"/>
        <v>260245</v>
      </c>
      <c r="H146" s="170">
        <f t="shared" si="49"/>
        <v>261309</v>
      </c>
      <c r="I146" s="171">
        <f t="shared" si="46"/>
        <v>4.0884551096083133E-3</v>
      </c>
      <c r="J146" s="170">
        <f>H146-G146</f>
        <v>1064</v>
      </c>
      <c r="K146" s="171">
        <f t="shared" si="47"/>
        <v>1.5385690611189492E-2</v>
      </c>
      <c r="L146" s="81"/>
    </row>
    <row r="147" spans="1:12" s="147" customFormat="1" x14ac:dyDescent="0.25">
      <c r="A147" s="163"/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</row>
    <row r="148" spans="1:12" x14ac:dyDescent="0.25">
      <c r="A148" s="163"/>
      <c r="B148" s="157" t="s">
        <v>70</v>
      </c>
      <c r="C148" s="177">
        <v>167308</v>
      </c>
      <c r="D148" s="177">
        <v>75927</v>
      </c>
      <c r="E148" s="177">
        <v>293140</v>
      </c>
      <c r="F148" s="177">
        <v>412303</v>
      </c>
      <c r="G148" s="177">
        <v>382019</v>
      </c>
      <c r="H148" s="177">
        <v>367014</v>
      </c>
      <c r="I148" s="178">
        <f>IFERROR(H148/G148-1,"-")</f>
        <v>-3.9278151086726054E-2</v>
      </c>
      <c r="J148" s="177">
        <f>H148-G148</f>
        <v>-15005</v>
      </c>
      <c r="K148" s="178">
        <f>H148/H$8</f>
        <v>2.1609526858910717E-2</v>
      </c>
      <c r="L148" s="81"/>
    </row>
    <row r="149" spans="1:12" x14ac:dyDescent="0.25">
      <c r="A149" s="163" t="s">
        <v>98</v>
      </c>
      <c r="B149" s="160" t="s">
        <v>99</v>
      </c>
      <c r="C149" s="161">
        <v>54412</v>
      </c>
      <c r="D149" s="161">
        <v>40742</v>
      </c>
      <c r="E149" s="161">
        <v>120504</v>
      </c>
      <c r="F149" s="161">
        <v>160043</v>
      </c>
      <c r="G149" s="161">
        <v>147889</v>
      </c>
      <c r="H149" s="161">
        <v>135619</v>
      </c>
      <c r="I149" s="162">
        <f>IFERROR(H149/G149-1,"-")</f>
        <v>-8.296763112875194E-2</v>
      </c>
      <c r="J149" s="161">
        <f t="shared" ref="J149:J159" si="50">H149-G149</f>
        <v>-12270</v>
      </c>
      <c r="K149" s="162">
        <f>H149/H$8</f>
        <v>7.9851515829876037E-3</v>
      </c>
      <c r="L149" s="81"/>
    </row>
    <row r="150" spans="1:12" x14ac:dyDescent="0.25">
      <c r="A150" s="163" t="s">
        <v>105</v>
      </c>
      <c r="B150" s="164" t="s">
        <v>105</v>
      </c>
      <c r="C150" s="165">
        <v>21621</v>
      </c>
      <c r="D150" s="165">
        <v>34054</v>
      </c>
      <c r="E150" s="165">
        <v>64507</v>
      </c>
      <c r="F150" s="165">
        <v>102907</v>
      </c>
      <c r="G150" s="165">
        <v>97323</v>
      </c>
      <c r="H150" s="165">
        <v>82932</v>
      </c>
      <c r="I150" s="166">
        <f>IFERROR(H150/G150-1,"-")</f>
        <v>-0.14786843808760519</v>
      </c>
      <c r="J150" s="165">
        <f t="shared" si="50"/>
        <v>-14391</v>
      </c>
      <c r="K150" s="166">
        <f>H150/H$8</f>
        <v>4.8829779830283958E-3</v>
      </c>
      <c r="L150" s="81"/>
    </row>
    <row r="151" spans="1:12" x14ac:dyDescent="0.25">
      <c r="A151" s="163" t="s">
        <v>102</v>
      </c>
      <c r="B151" s="164" t="s">
        <v>102</v>
      </c>
      <c r="C151" s="165">
        <v>32791</v>
      </c>
      <c r="D151" s="165">
        <v>6688</v>
      </c>
      <c r="E151" s="165">
        <v>55997</v>
      </c>
      <c r="F151" s="165">
        <v>57136</v>
      </c>
      <c r="G151" s="165">
        <v>50566</v>
      </c>
      <c r="H151" s="165">
        <v>52687</v>
      </c>
      <c r="I151" s="166">
        <f>IFERROR(H151/G151-1,"-")</f>
        <v>4.1945180556104855E-2</v>
      </c>
      <c r="J151" s="165">
        <f t="shared" si="50"/>
        <v>2121</v>
      </c>
      <c r="K151" s="166">
        <f>H151/H$8</f>
        <v>3.1021735999592084E-3</v>
      </c>
      <c r="L151" s="81"/>
    </row>
    <row r="152" spans="1:12" x14ac:dyDescent="0.25">
      <c r="A152" s="163"/>
      <c r="B152" s="160" t="s">
        <v>109</v>
      </c>
      <c r="C152" s="161">
        <v>112896</v>
      </c>
      <c r="D152" s="161">
        <v>35185</v>
      </c>
      <c r="E152" s="161">
        <v>172636</v>
      </c>
      <c r="F152" s="161">
        <v>252260</v>
      </c>
      <c r="G152" s="161">
        <v>234130</v>
      </c>
      <c r="H152" s="161">
        <v>231395</v>
      </c>
      <c r="I152" s="162">
        <f>IFERROR(H152/G152-1,"-")</f>
        <v>-1.168154444112246E-2</v>
      </c>
      <c r="J152" s="161">
        <f t="shared" si="50"/>
        <v>-2735</v>
      </c>
      <c r="K152" s="162">
        <f>H152/H$8</f>
        <v>1.3624375275923112E-2</v>
      </c>
      <c r="L152" s="81"/>
    </row>
    <row r="153" spans="1:12" s="57" customFormat="1" x14ac:dyDescent="0.25">
      <c r="A153" s="163"/>
      <c r="B153" s="164" t="s">
        <v>112</v>
      </c>
      <c r="C153" s="165">
        <v>26513</v>
      </c>
      <c r="D153" s="165">
        <v>1045</v>
      </c>
      <c r="E153" s="165">
        <v>62406</v>
      </c>
      <c r="F153" s="165">
        <v>101823</v>
      </c>
      <c r="G153" s="165">
        <v>88186</v>
      </c>
      <c r="H153" s="165">
        <v>54561</v>
      </c>
      <c r="I153" s="166">
        <f t="shared" ref="I153:I160" si="51">IFERROR(H153/G153-1,"-")</f>
        <v>-0.38129635089469982</v>
      </c>
      <c r="J153" s="165">
        <f t="shared" si="50"/>
        <v>-33625</v>
      </c>
      <c r="K153" s="166">
        <f t="shared" ref="K153:K160" si="52">H153/H$8</f>
        <v>3.2125134053442857E-3</v>
      </c>
      <c r="L153" s="167"/>
    </row>
    <row r="154" spans="1:12" s="57" customFormat="1" x14ac:dyDescent="0.25">
      <c r="A154" s="163"/>
      <c r="B154" s="164" t="s">
        <v>115</v>
      </c>
      <c r="C154" s="165">
        <v>44172</v>
      </c>
      <c r="D154" s="165">
        <v>10432</v>
      </c>
      <c r="E154" s="165">
        <v>51077</v>
      </c>
      <c r="F154" s="165">
        <v>55177</v>
      </c>
      <c r="G154" s="165">
        <v>58021</v>
      </c>
      <c r="H154" s="165">
        <v>53233</v>
      </c>
      <c r="I154" s="166">
        <f t="shared" si="51"/>
        <v>-8.2521845538684246E-2</v>
      </c>
      <c r="J154" s="165">
        <f t="shared" si="50"/>
        <v>-4788</v>
      </c>
      <c r="K154" s="166">
        <f t="shared" si="52"/>
        <v>3.1343216969390653E-3</v>
      </c>
      <c r="L154" s="167"/>
    </row>
    <row r="155" spans="1:12" x14ac:dyDescent="0.25">
      <c r="A155" s="163"/>
      <c r="B155" s="164" t="s">
        <v>118</v>
      </c>
      <c r="C155" s="165">
        <v>11693</v>
      </c>
      <c r="D155" s="165">
        <v>8928</v>
      </c>
      <c r="E155" s="165">
        <v>15520</v>
      </c>
      <c r="F155" s="165">
        <v>33308</v>
      </c>
      <c r="G155" s="165">
        <v>21602</v>
      </c>
      <c r="H155" s="165">
        <v>64560</v>
      </c>
      <c r="I155" s="166">
        <f t="shared" si="51"/>
        <v>1.9886121655402276</v>
      </c>
      <c r="J155" s="165">
        <f t="shared" si="50"/>
        <v>42958</v>
      </c>
      <c r="K155" s="166">
        <f t="shared" si="52"/>
        <v>3.8012475110248542E-3</v>
      </c>
      <c r="L155" s="81"/>
    </row>
    <row r="156" spans="1:12" x14ac:dyDescent="0.25">
      <c r="A156" s="163"/>
      <c r="B156" s="164" t="s">
        <v>125</v>
      </c>
      <c r="C156" s="165">
        <v>2314</v>
      </c>
      <c r="D156" s="165">
        <v>1339</v>
      </c>
      <c r="E156" s="165">
        <v>3409</v>
      </c>
      <c r="F156" s="165">
        <v>5989</v>
      </c>
      <c r="G156" s="165">
        <v>7608</v>
      </c>
      <c r="H156" s="165">
        <v>6651</v>
      </c>
      <c r="I156" s="166">
        <f t="shared" si="51"/>
        <v>-0.12578864353312302</v>
      </c>
      <c r="J156" s="165">
        <f t="shared" si="50"/>
        <v>-957</v>
      </c>
      <c r="K156" s="166">
        <f t="shared" si="52"/>
        <v>3.9160621430957721E-4</v>
      </c>
      <c r="L156" s="81"/>
    </row>
    <row r="157" spans="1:12" x14ac:dyDescent="0.25">
      <c r="A157" s="163"/>
      <c r="B157" s="164" t="s">
        <v>121</v>
      </c>
      <c r="C157" s="165">
        <v>5589</v>
      </c>
      <c r="D157" s="165">
        <v>1481</v>
      </c>
      <c r="E157" s="165">
        <v>11376</v>
      </c>
      <c r="F157" s="165">
        <v>12662</v>
      </c>
      <c r="G157" s="165">
        <v>9687</v>
      </c>
      <c r="H157" s="165">
        <v>8476</v>
      </c>
      <c r="I157" s="166">
        <f t="shared" si="51"/>
        <v>-0.12501290389181374</v>
      </c>
      <c r="J157" s="165">
        <f t="shared" si="50"/>
        <v>-1211</v>
      </c>
      <c r="K157" s="166">
        <f t="shared" si="52"/>
        <v>4.9906093406825683E-4</v>
      </c>
      <c r="L157" s="81"/>
    </row>
    <row r="158" spans="1:12" x14ac:dyDescent="0.25">
      <c r="A158" s="163"/>
      <c r="B158" s="164" t="s">
        <v>130</v>
      </c>
      <c r="C158" s="165">
        <v>2769</v>
      </c>
      <c r="D158" s="165">
        <v>196</v>
      </c>
      <c r="E158" s="165">
        <v>1290</v>
      </c>
      <c r="F158" s="165">
        <v>3035</v>
      </c>
      <c r="G158" s="165">
        <v>2084</v>
      </c>
      <c r="H158" s="165">
        <v>1587</v>
      </c>
      <c r="I158" s="166">
        <f t="shared" si="51"/>
        <v>-0.23848368522072938</v>
      </c>
      <c r="J158" s="165">
        <f t="shared" si="50"/>
        <v>-497</v>
      </c>
      <c r="K158" s="166">
        <f t="shared" si="52"/>
        <v>9.3441446716177872E-5</v>
      </c>
      <c r="L158" s="81"/>
    </row>
    <row r="159" spans="1:12" x14ac:dyDescent="0.25">
      <c r="A159" s="163" t="s">
        <v>146</v>
      </c>
      <c r="B159" s="164" t="s">
        <v>133</v>
      </c>
      <c r="C159" s="165">
        <v>3726</v>
      </c>
      <c r="D159" s="165">
        <v>162</v>
      </c>
      <c r="E159" s="165">
        <v>2539</v>
      </c>
      <c r="F159" s="165">
        <v>3841</v>
      </c>
      <c r="G159" s="165">
        <v>3629</v>
      </c>
      <c r="H159" s="165">
        <v>2690</v>
      </c>
      <c r="I159" s="166">
        <f t="shared" si="51"/>
        <v>-0.25874896665748137</v>
      </c>
      <c r="J159" s="165">
        <f t="shared" si="50"/>
        <v>-939</v>
      </c>
      <c r="K159" s="166">
        <f t="shared" si="52"/>
        <v>1.5838531295936893E-4</v>
      </c>
      <c r="L159" s="81"/>
    </row>
    <row r="160" spans="1:12" x14ac:dyDescent="0.25">
      <c r="A160" s="163" t="s">
        <v>147</v>
      </c>
      <c r="B160" s="169" t="s">
        <v>147</v>
      </c>
      <c r="C160" s="170">
        <f t="shared" ref="C160" si="53">C152-SUM(C153:C159)</f>
        <v>16120</v>
      </c>
      <c r="D160" s="170">
        <f t="shared" ref="D160:H160" si="54">D152-SUM(D153:D159)</f>
        <v>11602</v>
      </c>
      <c r="E160" s="170">
        <f t="shared" si="54"/>
        <v>25019</v>
      </c>
      <c r="F160" s="170">
        <f t="shared" si="54"/>
        <v>36425</v>
      </c>
      <c r="G160" s="170">
        <f t="shared" si="54"/>
        <v>43313</v>
      </c>
      <c r="H160" s="170">
        <f t="shared" si="54"/>
        <v>39637</v>
      </c>
      <c r="I160" s="171">
        <f t="shared" si="51"/>
        <v>-8.4870593124466098E-2</v>
      </c>
      <c r="J160" s="170">
        <f>H160-G160</f>
        <v>-3676</v>
      </c>
      <c r="K160" s="171">
        <f t="shared" si="52"/>
        <v>2.3337987545615263E-3</v>
      </c>
      <c r="L160" s="81"/>
    </row>
    <row r="161" spans="2:14" ht="6" customHeigh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</row>
    <row r="162" spans="2:14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</sheetData>
  <mergeCells count="2">
    <mergeCell ref="B3:K3"/>
    <mergeCell ref="C5:K5"/>
  </mergeCells>
  <pageMargins left="0.25" right="0.25" top="0.75" bottom="0.75" header="0.3" footer="0.3"/>
  <pageSetup paperSize="9" scale="2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2DDF4-1A7B-48A0-9A70-F0726412300F}">
  <sheetPr>
    <tabColor rgb="FFF29140"/>
    <pageSetUpPr fitToPage="1"/>
  </sheetPr>
  <dimension ref="A1:P162"/>
  <sheetViews>
    <sheetView showGridLines="0" workbookViewId="0"/>
  </sheetViews>
  <sheetFormatPr baseColWidth="10" defaultRowHeight="15" x14ac:dyDescent="0.25"/>
  <cols>
    <col min="1" max="1" width="15.5703125" customWidth="1"/>
    <col min="2" max="2" width="30.140625" customWidth="1"/>
    <col min="3" max="9" width="12" customWidth="1"/>
    <col min="10" max="11" width="10.5703125" customWidth="1"/>
    <col min="12" max="12" width="11.28515625" customWidth="1"/>
    <col min="13" max="13" width="10.5703125" customWidth="1"/>
  </cols>
  <sheetData>
    <row r="1" spans="1:14" ht="42.75" customHeight="1" x14ac:dyDescent="0.25"/>
    <row r="4" spans="1:14" ht="42" customHeight="1" thickBot="1" x14ac:dyDescent="0.3">
      <c r="B4" s="278" t="str">
        <f>CONCATENATE("Pernoctaciones en los establecimientos alojativos de Tenerife según lugar de residencia y municipio de alojamiento (hotel + apartamento)")</f>
        <v>Pernoctaciones en los establecimientos alojativos de Tenerife según lugar de residencia y municipio de alojamiento (hotel + apartamento)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</row>
    <row r="5" spans="1:14" ht="6" customHeight="1" x14ac:dyDescent="0.25"/>
    <row r="6" spans="1:14" s="147" customFormat="1" ht="72" customHeight="1" x14ac:dyDescent="0.25">
      <c r="B6" s="148"/>
      <c r="C6" s="186">
        <v>2019</v>
      </c>
      <c r="D6" s="186">
        <v>2020</v>
      </c>
      <c r="E6" s="186">
        <v>2021</v>
      </c>
      <c r="F6" s="186">
        <v>2022</v>
      </c>
      <c r="G6" s="186">
        <v>2023</v>
      </c>
      <c r="H6" s="186">
        <v>2024</v>
      </c>
      <c r="I6" s="174" t="str">
        <f>CONCATENATE("var. ",RIGHT(H6,2),"/",RIGHT(G6,2))</f>
        <v>var. 24/23</v>
      </c>
      <c r="J6" s="174" t="str">
        <f>CONCATENATE("var. ",RIGHT(H6,2),"/",RIGHT(E6,2))</f>
        <v>var. 24/21</v>
      </c>
      <c r="K6" s="173" t="str">
        <f>CONCATENATE("dif. ",RIGHT(H6,2),"/",RIGHT(G6,2))</f>
        <v>dif. 24/23</v>
      </c>
      <c r="L6" s="173" t="str">
        <f>CONCATENATE("dif. ",RIGHT(H6,2),"/",RIGHT(E6,2))</f>
        <v>dif. 24/21</v>
      </c>
      <c r="M6" s="174" t="str">
        <f>CONCATENATE("Cuota s/ total lugares de residencia ",RIGHT(H6,4))</f>
        <v>Cuota s/ total lugares de residencia 2024</v>
      </c>
    </row>
    <row r="7" spans="1:14" s="147" customFormat="1" x14ac:dyDescent="0.25">
      <c r="B7" s="153" t="s">
        <v>45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1:14" x14ac:dyDescent="0.25">
      <c r="A8" s="1">
        <v>3</v>
      </c>
      <c r="B8" s="157" t="s">
        <v>70</v>
      </c>
      <c r="C8" s="177">
        <v>34034766</v>
      </c>
      <c r="D8" s="177">
        <v>10243785</v>
      </c>
      <c r="E8" s="177">
        <v>13903380</v>
      </c>
      <c r="F8" s="177">
        <v>31405937</v>
      </c>
      <c r="G8" s="177">
        <v>34509923</v>
      </c>
      <c r="H8" s="177">
        <v>36076748</v>
      </c>
      <c r="I8" s="178">
        <f>IFERROR(H8/G8-1,"-")</f>
        <v>4.540215867766495E-2</v>
      </c>
      <c r="J8" s="178">
        <f>IFERROR(H8/E8-1,"-")</f>
        <v>1.5948185261425638</v>
      </c>
      <c r="K8" s="177">
        <f>H8-G8</f>
        <v>1566825</v>
      </c>
      <c r="L8" s="177">
        <f>H8-E8</f>
        <v>22173368</v>
      </c>
      <c r="M8" s="178">
        <f>H8/H$8</f>
        <v>1</v>
      </c>
      <c r="N8" s="81"/>
    </row>
    <row r="9" spans="1:14" x14ac:dyDescent="0.25">
      <c r="A9" s="1" t="s">
        <v>98</v>
      </c>
      <c r="B9" s="160" t="s">
        <v>99</v>
      </c>
      <c r="C9" s="161">
        <v>4613933</v>
      </c>
      <c r="D9" s="161">
        <v>1666329</v>
      </c>
      <c r="E9" s="161">
        <v>2851484</v>
      </c>
      <c r="F9" s="161">
        <v>4154268</v>
      </c>
      <c r="G9" s="161">
        <v>4256196</v>
      </c>
      <c r="H9" s="161">
        <v>4222474</v>
      </c>
      <c r="I9" s="162">
        <f>IFERROR(H9/G9-1,"-")</f>
        <v>-7.9230373789177522E-3</v>
      </c>
      <c r="J9" s="179">
        <f t="shared" ref="J9:J20" si="0">IFERROR(H9/E9-1,"-")</f>
        <v>0.48079877004394911</v>
      </c>
      <c r="K9" s="161">
        <f t="shared" ref="K9:K19" si="1">H9-G9</f>
        <v>-33722</v>
      </c>
      <c r="L9" s="161">
        <f t="shared" ref="L9:L20" si="2">H9-E9</f>
        <v>1370990</v>
      </c>
      <c r="M9" s="162">
        <f>H9/H$8</f>
        <v>0.11704142513066865</v>
      </c>
      <c r="N9" s="81"/>
    </row>
    <row r="10" spans="1:14" x14ac:dyDescent="0.25">
      <c r="A10" s="163" t="s">
        <v>105</v>
      </c>
      <c r="B10" s="164" t="s">
        <v>105</v>
      </c>
      <c r="C10" s="165">
        <v>1301233</v>
      </c>
      <c r="D10" s="165">
        <v>564792</v>
      </c>
      <c r="E10" s="165">
        <v>1116779</v>
      </c>
      <c r="F10" s="165">
        <v>1214668</v>
      </c>
      <c r="G10" s="165">
        <v>1317693</v>
      </c>
      <c r="H10" s="165">
        <v>1326202</v>
      </c>
      <c r="I10" s="166">
        <f>IFERROR(H10/G10-1,"-")</f>
        <v>6.4574980666969317E-3</v>
      </c>
      <c r="J10" s="180">
        <f t="shared" si="0"/>
        <v>0.18752412070785707</v>
      </c>
      <c r="K10" s="165">
        <f t="shared" si="1"/>
        <v>8509</v>
      </c>
      <c r="L10" s="165">
        <f t="shared" si="2"/>
        <v>209423</v>
      </c>
      <c r="M10" s="166">
        <f>H10/H$8</f>
        <v>3.676057498308883E-2</v>
      </c>
      <c r="N10" s="81"/>
    </row>
    <row r="11" spans="1:14" x14ac:dyDescent="0.25">
      <c r="A11" s="163" t="s">
        <v>102</v>
      </c>
      <c r="B11" s="164" t="s">
        <v>102</v>
      </c>
      <c r="C11" s="165">
        <v>3312700</v>
      </c>
      <c r="D11" s="165">
        <v>1101537</v>
      </c>
      <c r="E11" s="165">
        <v>1734705</v>
      </c>
      <c r="F11" s="165">
        <v>2939600</v>
      </c>
      <c r="G11" s="165">
        <v>2938503</v>
      </c>
      <c r="H11" s="165">
        <v>2896272</v>
      </c>
      <c r="I11" s="166">
        <f>IFERROR(H11/G11-1,"-")</f>
        <v>-1.4371603500149543E-2</v>
      </c>
      <c r="J11" s="180">
        <f t="shared" si="0"/>
        <v>0.66960491841552305</v>
      </c>
      <c r="K11" s="165">
        <f t="shared" si="1"/>
        <v>-42231</v>
      </c>
      <c r="L11" s="165">
        <f t="shared" si="2"/>
        <v>1161567</v>
      </c>
      <c r="M11" s="166">
        <f>H11/H$8</f>
        <v>8.0280850147579824E-2</v>
      </c>
      <c r="N11" s="81"/>
    </row>
    <row r="12" spans="1:14" x14ac:dyDescent="0.25">
      <c r="A12" s="1"/>
      <c r="B12" s="160" t="s">
        <v>109</v>
      </c>
      <c r="C12" s="161">
        <v>29420833</v>
      </c>
      <c r="D12" s="161">
        <v>8577456</v>
      </c>
      <c r="E12" s="161">
        <v>11051896</v>
      </c>
      <c r="F12" s="161">
        <v>27251669</v>
      </c>
      <c r="G12" s="161">
        <v>30253727</v>
      </c>
      <c r="H12" s="161">
        <v>31854274</v>
      </c>
      <c r="I12" s="162">
        <f>IFERROR(H12/G12-1,"-")</f>
        <v>5.2904126489936365E-2</v>
      </c>
      <c r="J12" s="179">
        <f t="shared" si="0"/>
        <v>1.8822451821841248</v>
      </c>
      <c r="K12" s="161">
        <f t="shared" si="1"/>
        <v>1600547</v>
      </c>
      <c r="L12" s="161">
        <f t="shared" si="2"/>
        <v>20802378</v>
      </c>
      <c r="M12" s="162">
        <f>H12/H$8</f>
        <v>0.88295857486933138</v>
      </c>
      <c r="N12" s="81"/>
    </row>
    <row r="13" spans="1:14" s="57" customFormat="1" x14ac:dyDescent="0.25">
      <c r="B13" s="164" t="s">
        <v>112</v>
      </c>
      <c r="C13" s="165">
        <v>13160030</v>
      </c>
      <c r="D13" s="165">
        <v>3390819</v>
      </c>
      <c r="E13" s="165">
        <v>3350798</v>
      </c>
      <c r="F13" s="165">
        <v>12657617</v>
      </c>
      <c r="G13" s="165">
        <v>13883101</v>
      </c>
      <c r="H13" s="165">
        <v>14673664</v>
      </c>
      <c r="I13" s="166">
        <f t="shared" ref="I13:I20" si="3">IFERROR(H13/G13-1,"-")</f>
        <v>5.6944266270194221E-2</v>
      </c>
      <c r="J13" s="180">
        <f t="shared" si="0"/>
        <v>3.3791550550048077</v>
      </c>
      <c r="K13" s="165">
        <f t="shared" si="1"/>
        <v>790563</v>
      </c>
      <c r="L13" s="165">
        <f t="shared" si="2"/>
        <v>11322866</v>
      </c>
      <c r="M13" s="166">
        <f t="shared" ref="M13:M20" si="4">H13/H$8</f>
        <v>0.40673466466545155</v>
      </c>
      <c r="N13" s="167"/>
    </row>
    <row r="14" spans="1:14" s="57" customFormat="1" x14ac:dyDescent="0.25">
      <c r="B14" s="164" t="s">
        <v>115</v>
      </c>
      <c r="C14" s="165">
        <v>4424103</v>
      </c>
      <c r="D14" s="165">
        <v>1278654</v>
      </c>
      <c r="E14" s="165">
        <v>1806937</v>
      </c>
      <c r="F14" s="165">
        <v>3169256</v>
      </c>
      <c r="G14" s="165">
        <v>3598054</v>
      </c>
      <c r="H14" s="165">
        <v>3756774</v>
      </c>
      <c r="I14" s="166">
        <f t="shared" si="3"/>
        <v>4.4112734272470533E-2</v>
      </c>
      <c r="J14" s="180">
        <f t="shared" si="0"/>
        <v>1.0790841075256083</v>
      </c>
      <c r="K14" s="165">
        <f t="shared" si="1"/>
        <v>158720</v>
      </c>
      <c r="L14" s="165">
        <f t="shared" si="2"/>
        <v>1949837</v>
      </c>
      <c r="M14" s="166">
        <f t="shared" si="4"/>
        <v>0.10413283370219512</v>
      </c>
      <c r="N14" s="167"/>
    </row>
    <row r="15" spans="1:14" x14ac:dyDescent="0.25">
      <c r="A15" s="1"/>
      <c r="B15" s="164" t="s">
        <v>118</v>
      </c>
      <c r="C15" s="165">
        <v>1180822</v>
      </c>
      <c r="D15" s="165">
        <v>395218</v>
      </c>
      <c r="E15" s="165">
        <v>815902</v>
      </c>
      <c r="F15" s="165">
        <v>1288352</v>
      </c>
      <c r="G15" s="165">
        <v>1520450</v>
      </c>
      <c r="H15" s="165">
        <v>1590542</v>
      </c>
      <c r="I15" s="166">
        <f t="shared" si="3"/>
        <v>4.6099510013482892E-2</v>
      </c>
      <c r="J15" s="180">
        <f t="shared" si="0"/>
        <v>0.94942774990133616</v>
      </c>
      <c r="K15" s="165">
        <f t="shared" si="1"/>
        <v>70092</v>
      </c>
      <c r="L15" s="165">
        <f t="shared" si="2"/>
        <v>774640</v>
      </c>
      <c r="M15" s="166">
        <f t="shared" si="4"/>
        <v>4.408773207607293E-2</v>
      </c>
      <c r="N15" s="81"/>
    </row>
    <row r="16" spans="1:14" x14ac:dyDescent="0.25">
      <c r="A16" s="1"/>
      <c r="B16" s="164" t="s">
        <v>125</v>
      </c>
      <c r="C16" s="165">
        <v>1116998</v>
      </c>
      <c r="D16" s="165">
        <v>302698</v>
      </c>
      <c r="E16" s="165">
        <v>691981</v>
      </c>
      <c r="F16" s="165">
        <v>1287744</v>
      </c>
      <c r="G16" s="165">
        <v>1318357</v>
      </c>
      <c r="H16" s="165">
        <v>1375692</v>
      </c>
      <c r="I16" s="166">
        <f t="shared" si="3"/>
        <v>4.3489737605216128E-2</v>
      </c>
      <c r="J16" s="180">
        <f t="shared" si="0"/>
        <v>0.98804880480822455</v>
      </c>
      <c r="K16" s="165">
        <f t="shared" si="1"/>
        <v>57335</v>
      </c>
      <c r="L16" s="165">
        <f t="shared" si="2"/>
        <v>683711</v>
      </c>
      <c r="M16" s="166">
        <f t="shared" si="4"/>
        <v>3.8132372685032473E-2</v>
      </c>
      <c r="N16" s="81"/>
    </row>
    <row r="17" spans="1:14" x14ac:dyDescent="0.25">
      <c r="A17" s="1"/>
      <c r="B17" s="164" t="s">
        <v>121</v>
      </c>
      <c r="C17" s="165">
        <v>1084813</v>
      </c>
      <c r="D17" s="165">
        <v>443857</v>
      </c>
      <c r="E17" s="165">
        <v>726467</v>
      </c>
      <c r="F17" s="165">
        <v>1124652</v>
      </c>
      <c r="G17" s="165">
        <v>1172687</v>
      </c>
      <c r="H17" s="165">
        <v>1202962</v>
      </c>
      <c r="I17" s="166">
        <f t="shared" si="3"/>
        <v>2.5816778049044586E-2</v>
      </c>
      <c r="J17" s="180">
        <f t="shared" si="0"/>
        <v>0.65590728828701095</v>
      </c>
      <c r="K17" s="165">
        <f t="shared" si="1"/>
        <v>30275</v>
      </c>
      <c r="L17" s="165">
        <f t="shared" si="2"/>
        <v>476495</v>
      </c>
      <c r="M17" s="166">
        <f t="shared" si="4"/>
        <v>3.3344524290271398E-2</v>
      </c>
      <c r="N17" s="81"/>
    </row>
    <row r="18" spans="1:14" x14ac:dyDescent="0.25">
      <c r="A18" s="1"/>
      <c r="B18" s="164" t="s">
        <v>130</v>
      </c>
      <c r="C18" s="165">
        <v>594834</v>
      </c>
      <c r="D18" s="165">
        <v>241432</v>
      </c>
      <c r="E18" s="165">
        <v>191434</v>
      </c>
      <c r="F18" s="165">
        <v>491173</v>
      </c>
      <c r="G18" s="165">
        <v>523681</v>
      </c>
      <c r="H18" s="165">
        <v>511763</v>
      </c>
      <c r="I18" s="166">
        <f t="shared" si="3"/>
        <v>-2.2758129471949551E-2</v>
      </c>
      <c r="J18" s="180">
        <f t="shared" si="0"/>
        <v>1.6733129956016173</v>
      </c>
      <c r="K18" s="165">
        <f t="shared" si="1"/>
        <v>-11918</v>
      </c>
      <c r="L18" s="165">
        <f t="shared" si="2"/>
        <v>320329</v>
      </c>
      <c r="M18" s="166">
        <f t="shared" si="4"/>
        <v>1.4185397198217533E-2</v>
      </c>
      <c r="N18" s="81"/>
    </row>
    <row r="19" spans="1:14" x14ac:dyDescent="0.25">
      <c r="A19" s="163" t="s">
        <v>146</v>
      </c>
      <c r="B19" s="164" t="s">
        <v>133</v>
      </c>
      <c r="C19" s="165">
        <v>847396</v>
      </c>
      <c r="D19" s="165">
        <v>356220</v>
      </c>
      <c r="E19" s="165">
        <v>171613</v>
      </c>
      <c r="F19" s="165">
        <v>432862</v>
      </c>
      <c r="G19" s="165">
        <v>543249</v>
      </c>
      <c r="H19" s="165">
        <v>528059</v>
      </c>
      <c r="I19" s="166">
        <f t="shared" si="3"/>
        <v>-2.796139523496588E-2</v>
      </c>
      <c r="J19" s="180">
        <f t="shared" si="0"/>
        <v>2.0770337911463583</v>
      </c>
      <c r="K19" s="165">
        <f t="shared" si="1"/>
        <v>-15190</v>
      </c>
      <c r="L19" s="165">
        <f t="shared" si="2"/>
        <v>356446</v>
      </c>
      <c r="M19" s="166">
        <f t="shared" si="4"/>
        <v>1.463710088281793E-2</v>
      </c>
      <c r="N19" s="81"/>
    </row>
    <row r="20" spans="1:14" x14ac:dyDescent="0.25">
      <c r="A20" s="168" t="s">
        <v>147</v>
      </c>
      <c r="B20" s="169" t="s">
        <v>147</v>
      </c>
      <c r="C20" s="170">
        <f t="shared" ref="C20" si="5">C12-SUM(C13:C19)</f>
        <v>7011837</v>
      </c>
      <c r="D20" s="170">
        <f t="shared" ref="D20:H20" si="6">D12-SUM(D13:D19)</f>
        <v>2168558</v>
      </c>
      <c r="E20" s="170">
        <f t="shared" si="6"/>
        <v>3296764</v>
      </c>
      <c r="F20" s="170">
        <f t="shared" si="6"/>
        <v>6800013</v>
      </c>
      <c r="G20" s="170">
        <f t="shared" si="6"/>
        <v>7694148</v>
      </c>
      <c r="H20" s="170">
        <f t="shared" si="6"/>
        <v>8214818</v>
      </c>
      <c r="I20" s="171">
        <f t="shared" si="3"/>
        <v>6.7670910411393281E-2</v>
      </c>
      <c r="J20" s="181">
        <f t="shared" si="0"/>
        <v>1.4917822446496021</v>
      </c>
      <c r="K20" s="170">
        <f>H20-G20</f>
        <v>520670</v>
      </c>
      <c r="L20" s="170">
        <f t="shared" si="2"/>
        <v>4918054</v>
      </c>
      <c r="M20" s="171">
        <f t="shared" si="4"/>
        <v>0.22770394936927241</v>
      </c>
      <c r="N20" s="81"/>
    </row>
    <row r="21" spans="1:14" s="147" customFormat="1" x14ac:dyDescent="0.25">
      <c r="B21" s="156" t="s">
        <v>46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</row>
    <row r="22" spans="1:14" x14ac:dyDescent="0.25">
      <c r="A22" s="1">
        <v>3</v>
      </c>
      <c r="B22" s="157" t="s">
        <v>70</v>
      </c>
      <c r="C22" s="177">
        <v>13105945</v>
      </c>
      <c r="D22" s="177">
        <v>3913809</v>
      </c>
      <c r="E22" s="177">
        <v>5763674</v>
      </c>
      <c r="F22" s="177">
        <v>12632387</v>
      </c>
      <c r="G22" s="177">
        <v>13590517</v>
      </c>
      <c r="H22" s="177">
        <v>13839613</v>
      </c>
      <c r="I22" s="178">
        <f>IFERROR(H22/G22-1,"-")</f>
        <v>1.8328662551983843E-2</v>
      </c>
      <c r="J22" s="178">
        <f>IFERROR(H22/E22-1,"-")</f>
        <v>1.4011790049194315</v>
      </c>
      <c r="K22" s="177">
        <f>H22-G22</f>
        <v>249096</v>
      </c>
      <c r="L22" s="177">
        <f>H22-E22</f>
        <v>8075939</v>
      </c>
      <c r="M22" s="178">
        <f>H22/H$8</f>
        <v>0.38361586803777326</v>
      </c>
      <c r="N22" s="81"/>
    </row>
    <row r="23" spans="1:14" x14ac:dyDescent="0.25">
      <c r="A23" s="1" t="s">
        <v>98</v>
      </c>
      <c r="B23" s="160" t="s">
        <v>99</v>
      </c>
      <c r="C23" s="161">
        <v>1013579</v>
      </c>
      <c r="D23" s="161">
        <v>419753</v>
      </c>
      <c r="E23" s="161">
        <v>926094</v>
      </c>
      <c r="F23" s="161">
        <v>924124</v>
      </c>
      <c r="G23" s="161">
        <v>817242</v>
      </c>
      <c r="H23" s="161">
        <v>742610</v>
      </c>
      <c r="I23" s="162">
        <f>IFERROR(H23/G23-1,"-")</f>
        <v>-9.132178718176498E-2</v>
      </c>
      <c r="J23" s="179">
        <f t="shared" ref="J23:J34" si="7">IFERROR(H23/E23-1,"-")</f>
        <v>-0.19812675603124519</v>
      </c>
      <c r="K23" s="161">
        <f t="shared" ref="K23:K33" si="8">H23-G23</f>
        <v>-74632</v>
      </c>
      <c r="L23" s="161">
        <f t="shared" ref="L23:L34" si="9">H23-E23</f>
        <v>-183484</v>
      </c>
      <c r="M23" s="162">
        <f>H23/H$8</f>
        <v>2.0584172387156402E-2</v>
      </c>
      <c r="N23" s="81"/>
    </row>
    <row r="24" spans="1:14" x14ac:dyDescent="0.25">
      <c r="A24" s="163" t="s">
        <v>105</v>
      </c>
      <c r="B24" s="164" t="s">
        <v>105</v>
      </c>
      <c r="C24" s="165">
        <v>409352</v>
      </c>
      <c r="D24" s="165">
        <v>197437</v>
      </c>
      <c r="E24" s="165">
        <v>341894</v>
      </c>
      <c r="F24" s="165">
        <v>286571</v>
      </c>
      <c r="G24" s="165">
        <v>256506</v>
      </c>
      <c r="H24" s="165">
        <v>219209</v>
      </c>
      <c r="I24" s="166">
        <f>IFERROR(H24/G24-1,"-")</f>
        <v>-0.14540400614410576</v>
      </c>
      <c r="J24" s="180">
        <f t="shared" si="7"/>
        <v>-0.35883928937038967</v>
      </c>
      <c r="K24" s="165">
        <f t="shared" si="8"/>
        <v>-37297</v>
      </c>
      <c r="L24" s="165">
        <f t="shared" si="9"/>
        <v>-122685</v>
      </c>
      <c r="M24" s="166">
        <f>H24/H$8</f>
        <v>6.0761851373078305E-3</v>
      </c>
      <c r="N24" s="81"/>
    </row>
    <row r="25" spans="1:14" x14ac:dyDescent="0.25">
      <c r="A25" s="163" t="s">
        <v>102</v>
      </c>
      <c r="B25" s="164" t="s">
        <v>102</v>
      </c>
      <c r="C25" s="165">
        <v>604227</v>
      </c>
      <c r="D25" s="165">
        <v>222316</v>
      </c>
      <c r="E25" s="165">
        <v>584200</v>
      </c>
      <c r="F25" s="165">
        <v>637553</v>
      </c>
      <c r="G25" s="165">
        <v>560736</v>
      </c>
      <c r="H25" s="165">
        <v>523401</v>
      </c>
      <c r="I25" s="166">
        <f>IFERROR(H25/G25-1,"-")</f>
        <v>-6.6582134908406143E-2</v>
      </c>
      <c r="J25" s="180">
        <f t="shared" si="7"/>
        <v>-0.10407223553577538</v>
      </c>
      <c r="K25" s="165">
        <f t="shared" si="8"/>
        <v>-37335</v>
      </c>
      <c r="L25" s="165">
        <f t="shared" si="9"/>
        <v>-60799</v>
      </c>
      <c r="M25" s="166">
        <f>H25/H$8</f>
        <v>1.4507987249848572E-2</v>
      </c>
      <c r="N25" s="81"/>
    </row>
    <row r="26" spans="1:14" x14ac:dyDescent="0.25">
      <c r="A26" s="1"/>
      <c r="B26" s="160" t="s">
        <v>109</v>
      </c>
      <c r="C26" s="161">
        <v>12092366</v>
      </c>
      <c r="D26" s="161">
        <v>3494056</v>
      </c>
      <c r="E26" s="161">
        <v>4837580</v>
      </c>
      <c r="F26" s="161">
        <v>11708263</v>
      </c>
      <c r="G26" s="161">
        <v>12773275</v>
      </c>
      <c r="H26" s="161">
        <v>13097003</v>
      </c>
      <c r="I26" s="162">
        <f>IFERROR(H26/G26-1,"-")</f>
        <v>2.5344165846268973E-2</v>
      </c>
      <c r="J26" s="179">
        <f t="shared" si="7"/>
        <v>1.7073460283860937</v>
      </c>
      <c r="K26" s="161">
        <f t="shared" si="8"/>
        <v>323728</v>
      </c>
      <c r="L26" s="161">
        <f t="shared" si="9"/>
        <v>8259423</v>
      </c>
      <c r="M26" s="162">
        <f>H26/H$8</f>
        <v>0.36303169565061683</v>
      </c>
      <c r="N26" s="81"/>
    </row>
    <row r="27" spans="1:14" s="57" customFormat="1" x14ac:dyDescent="0.25">
      <c r="B27" s="164" t="s">
        <v>112</v>
      </c>
      <c r="C27" s="165">
        <v>5650065</v>
      </c>
      <c r="D27" s="165">
        <v>1483938</v>
      </c>
      <c r="E27" s="165">
        <v>1575483</v>
      </c>
      <c r="F27" s="165">
        <v>5839663</v>
      </c>
      <c r="G27" s="165">
        <v>6456134</v>
      </c>
      <c r="H27" s="165">
        <v>6689570</v>
      </c>
      <c r="I27" s="166">
        <f t="shared" ref="I27:I34" si="10">IFERROR(H27/G27-1,"-")</f>
        <v>3.6157242089460917E-2</v>
      </c>
      <c r="J27" s="180">
        <f t="shared" si="7"/>
        <v>3.2460439116131372</v>
      </c>
      <c r="K27" s="165">
        <f t="shared" si="8"/>
        <v>233436</v>
      </c>
      <c r="L27" s="165">
        <f t="shared" si="9"/>
        <v>5114087</v>
      </c>
      <c r="M27" s="166">
        <f t="shared" ref="M27:M34" si="11">H27/H$8</f>
        <v>0.1854260810869095</v>
      </c>
      <c r="N27" s="167"/>
    </row>
    <row r="28" spans="1:14" s="57" customFormat="1" x14ac:dyDescent="0.25">
      <c r="B28" s="164" t="s">
        <v>115</v>
      </c>
      <c r="C28" s="165">
        <v>1813831</v>
      </c>
      <c r="D28" s="165">
        <v>510569</v>
      </c>
      <c r="E28" s="165">
        <v>851193</v>
      </c>
      <c r="F28" s="165">
        <v>1420539</v>
      </c>
      <c r="G28" s="165">
        <v>1496214</v>
      </c>
      <c r="H28" s="165">
        <v>1483358</v>
      </c>
      <c r="I28" s="166">
        <f t="shared" si="10"/>
        <v>-8.5923537675760553E-3</v>
      </c>
      <c r="J28" s="180">
        <f t="shared" si="7"/>
        <v>0.7426811545677654</v>
      </c>
      <c r="K28" s="165">
        <f t="shared" si="8"/>
        <v>-12856</v>
      </c>
      <c r="L28" s="165">
        <f t="shared" si="9"/>
        <v>632165</v>
      </c>
      <c r="M28" s="166">
        <f t="shared" si="11"/>
        <v>4.111673258354661E-2</v>
      </c>
      <c r="N28" s="167"/>
    </row>
    <row r="29" spans="1:14" x14ac:dyDescent="0.25">
      <c r="A29" s="1"/>
      <c r="B29" s="164" t="s">
        <v>118</v>
      </c>
      <c r="C29" s="165">
        <v>428540</v>
      </c>
      <c r="D29" s="165">
        <v>173273</v>
      </c>
      <c r="E29" s="165">
        <v>321437</v>
      </c>
      <c r="F29" s="165">
        <v>466813</v>
      </c>
      <c r="G29" s="165">
        <v>535409</v>
      </c>
      <c r="H29" s="165">
        <v>462244</v>
      </c>
      <c r="I29" s="166">
        <f t="shared" si="10"/>
        <v>-0.13665254039435271</v>
      </c>
      <c r="J29" s="180">
        <f t="shared" si="7"/>
        <v>0.43805473545360374</v>
      </c>
      <c r="K29" s="165">
        <f t="shared" si="8"/>
        <v>-73165</v>
      </c>
      <c r="L29" s="165">
        <f t="shared" si="9"/>
        <v>140807</v>
      </c>
      <c r="M29" s="166">
        <f t="shared" si="11"/>
        <v>1.281279565441985E-2</v>
      </c>
      <c r="N29" s="81"/>
    </row>
    <row r="30" spans="1:14" x14ac:dyDescent="0.25">
      <c r="A30" s="1"/>
      <c r="B30" s="164" t="s">
        <v>125</v>
      </c>
      <c r="C30" s="165">
        <v>502164</v>
      </c>
      <c r="D30" s="165">
        <v>134940</v>
      </c>
      <c r="E30" s="165">
        <v>321774</v>
      </c>
      <c r="F30" s="165">
        <v>583899</v>
      </c>
      <c r="G30" s="165">
        <v>553235</v>
      </c>
      <c r="H30" s="165">
        <v>562616</v>
      </c>
      <c r="I30" s="166">
        <f t="shared" si="10"/>
        <v>1.695662783446461E-2</v>
      </c>
      <c r="J30" s="180">
        <f t="shared" si="7"/>
        <v>0.7484818537234208</v>
      </c>
      <c r="K30" s="165">
        <f t="shared" si="8"/>
        <v>9381</v>
      </c>
      <c r="L30" s="165">
        <f t="shared" si="9"/>
        <v>240842</v>
      </c>
      <c r="M30" s="166">
        <f t="shared" si="11"/>
        <v>1.5594975467300988E-2</v>
      </c>
      <c r="N30" s="81"/>
    </row>
    <row r="31" spans="1:14" x14ac:dyDescent="0.25">
      <c r="A31" s="1"/>
      <c r="B31" s="164" t="s">
        <v>121</v>
      </c>
      <c r="C31" s="165">
        <v>566275</v>
      </c>
      <c r="D31" s="165">
        <v>241515</v>
      </c>
      <c r="E31" s="165">
        <v>414396</v>
      </c>
      <c r="F31" s="165">
        <v>639629</v>
      </c>
      <c r="G31" s="165">
        <v>619738</v>
      </c>
      <c r="H31" s="165">
        <v>632422</v>
      </c>
      <c r="I31" s="166">
        <f t="shared" si="10"/>
        <v>2.0466713353062049E-2</v>
      </c>
      <c r="J31" s="180">
        <f t="shared" si="7"/>
        <v>0.52612959584551966</v>
      </c>
      <c r="K31" s="165">
        <f t="shared" si="8"/>
        <v>12684</v>
      </c>
      <c r="L31" s="165">
        <f t="shared" si="9"/>
        <v>218026</v>
      </c>
      <c r="M31" s="166">
        <f t="shared" si="11"/>
        <v>1.7529905966025539E-2</v>
      </c>
      <c r="N31" s="81"/>
    </row>
    <row r="32" spans="1:14" x14ac:dyDescent="0.25">
      <c r="A32" s="1"/>
      <c r="B32" s="164" t="s">
        <v>130</v>
      </c>
      <c r="C32" s="165">
        <v>242464</v>
      </c>
      <c r="D32" s="165">
        <v>95128</v>
      </c>
      <c r="E32" s="165">
        <v>58069</v>
      </c>
      <c r="F32" s="165">
        <v>177706</v>
      </c>
      <c r="G32" s="165">
        <v>184473</v>
      </c>
      <c r="H32" s="165">
        <v>184792</v>
      </c>
      <c r="I32" s="166">
        <f t="shared" si="10"/>
        <v>1.7292503509998003E-3</v>
      </c>
      <c r="J32" s="180">
        <f t="shared" si="7"/>
        <v>2.1822831459126211</v>
      </c>
      <c r="K32" s="165">
        <f t="shared" si="8"/>
        <v>319</v>
      </c>
      <c r="L32" s="165">
        <f t="shared" si="9"/>
        <v>126723</v>
      </c>
      <c r="M32" s="166">
        <f t="shared" si="11"/>
        <v>5.122191168671855E-3</v>
      </c>
      <c r="N32" s="81"/>
    </row>
    <row r="33" spans="1:14" x14ac:dyDescent="0.25">
      <c r="A33" s="163" t="s">
        <v>146</v>
      </c>
      <c r="B33" s="164" t="s">
        <v>133</v>
      </c>
      <c r="C33" s="165">
        <v>276453</v>
      </c>
      <c r="D33" s="165">
        <v>106598</v>
      </c>
      <c r="E33" s="165">
        <v>43884</v>
      </c>
      <c r="F33" s="165">
        <v>147837</v>
      </c>
      <c r="G33" s="165">
        <v>187545</v>
      </c>
      <c r="H33" s="165">
        <v>166807</v>
      </c>
      <c r="I33" s="166">
        <f t="shared" si="10"/>
        <v>-0.11057612839585163</v>
      </c>
      <c r="J33" s="180">
        <f t="shared" si="7"/>
        <v>2.8010892352565855</v>
      </c>
      <c r="K33" s="165">
        <f t="shared" si="8"/>
        <v>-20738</v>
      </c>
      <c r="L33" s="165">
        <f t="shared" si="9"/>
        <v>122923</v>
      </c>
      <c r="M33" s="166">
        <f t="shared" si="11"/>
        <v>4.6236706257448707E-3</v>
      </c>
      <c r="N33" s="81"/>
    </row>
    <row r="34" spans="1:14" x14ac:dyDescent="0.25">
      <c r="A34" s="168" t="s">
        <v>147</v>
      </c>
      <c r="B34" s="169" t="s">
        <v>147</v>
      </c>
      <c r="C34" s="170">
        <f t="shared" ref="C34" si="12">C26-SUM(C27:C33)</f>
        <v>2612574</v>
      </c>
      <c r="D34" s="170">
        <f t="shared" ref="D34:H34" si="13">D26-SUM(D27:D33)</f>
        <v>748095</v>
      </c>
      <c r="E34" s="170">
        <f t="shared" si="13"/>
        <v>1251344</v>
      </c>
      <c r="F34" s="170">
        <f t="shared" si="13"/>
        <v>2432177</v>
      </c>
      <c r="G34" s="170">
        <f t="shared" si="13"/>
        <v>2740527</v>
      </c>
      <c r="H34" s="170">
        <f t="shared" si="13"/>
        <v>2915194</v>
      </c>
      <c r="I34" s="171">
        <f t="shared" si="10"/>
        <v>6.3734821806170849E-2</v>
      </c>
      <c r="J34" s="181">
        <f t="shared" si="7"/>
        <v>1.3296503599329998</v>
      </c>
      <c r="K34" s="170">
        <f>H34-G34</f>
        <v>174667</v>
      </c>
      <c r="L34" s="170">
        <f t="shared" si="9"/>
        <v>1663850</v>
      </c>
      <c r="M34" s="171">
        <f t="shared" si="11"/>
        <v>8.0805343097997639E-2</v>
      </c>
      <c r="N34" s="81"/>
    </row>
    <row r="35" spans="1:14" s="147" customFormat="1" x14ac:dyDescent="0.25">
      <c r="B35" s="156" t="s">
        <v>47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</row>
    <row r="36" spans="1:14" x14ac:dyDescent="0.25">
      <c r="A36" s="1">
        <v>3</v>
      </c>
      <c r="B36" s="157" t="s">
        <v>70</v>
      </c>
      <c r="C36" s="177">
        <v>10093577</v>
      </c>
      <c r="D36" s="177">
        <v>2858440</v>
      </c>
      <c r="E36" s="177">
        <v>3367162</v>
      </c>
      <c r="F36" s="177">
        <v>8865243</v>
      </c>
      <c r="G36" s="177">
        <v>9739308</v>
      </c>
      <c r="H36" s="177">
        <v>10014981</v>
      </c>
      <c r="I36" s="178">
        <f>IFERROR(H36/G36-1,"-")</f>
        <v>2.8305193757092395E-2</v>
      </c>
      <c r="J36" s="178">
        <f>IFERROR(H36/E36-1,"-")</f>
        <v>1.9743092253951549</v>
      </c>
      <c r="K36" s="177">
        <f>H36-G36</f>
        <v>275673</v>
      </c>
      <c r="L36" s="177">
        <f>H36-E36</f>
        <v>6647819</v>
      </c>
      <c r="M36" s="178">
        <f>H36/H$8</f>
        <v>0.2776020998344973</v>
      </c>
      <c r="N36" s="81"/>
    </row>
    <row r="37" spans="1:14" x14ac:dyDescent="0.25">
      <c r="A37" s="1" t="s">
        <v>98</v>
      </c>
      <c r="B37" s="160" t="s">
        <v>99</v>
      </c>
      <c r="C37" s="161">
        <v>614530</v>
      </c>
      <c r="D37" s="161">
        <v>241430</v>
      </c>
      <c r="E37" s="161">
        <v>350874</v>
      </c>
      <c r="F37" s="161">
        <v>513218</v>
      </c>
      <c r="G37" s="161">
        <v>576863</v>
      </c>
      <c r="H37" s="161">
        <v>551747</v>
      </c>
      <c r="I37" s="162">
        <f>IFERROR(H37/G37-1,"-")</f>
        <v>-4.3538933854312067E-2</v>
      </c>
      <c r="J37" s="179">
        <f t="shared" ref="J37:J48" si="14">IFERROR(H37/E37-1,"-")</f>
        <v>0.57249325968866316</v>
      </c>
      <c r="K37" s="161">
        <f t="shared" ref="K37:K47" si="15">H37-G37</f>
        <v>-25116</v>
      </c>
      <c r="L37" s="161">
        <f t="shared" ref="L37:L48" si="16">H37-E37</f>
        <v>200873</v>
      </c>
      <c r="M37" s="162">
        <f>H37/H$8</f>
        <v>1.529370108414428E-2</v>
      </c>
      <c r="N37" s="81"/>
    </row>
    <row r="38" spans="1:14" x14ac:dyDescent="0.25">
      <c r="A38" s="163" t="s">
        <v>105</v>
      </c>
      <c r="B38" s="164" t="s">
        <v>105</v>
      </c>
      <c r="C38" s="165">
        <v>210543</v>
      </c>
      <c r="D38" s="165">
        <v>92534</v>
      </c>
      <c r="E38" s="165">
        <v>131066</v>
      </c>
      <c r="F38" s="165">
        <v>155108</v>
      </c>
      <c r="G38" s="165">
        <v>218201</v>
      </c>
      <c r="H38" s="165">
        <v>239030</v>
      </c>
      <c r="I38" s="166">
        <f>IFERROR(H38/G38-1,"-")</f>
        <v>9.5457857663347134E-2</v>
      </c>
      <c r="J38" s="180">
        <f t="shared" si="14"/>
        <v>0.82373765888941453</v>
      </c>
      <c r="K38" s="165">
        <f t="shared" si="15"/>
        <v>20829</v>
      </c>
      <c r="L38" s="165">
        <f t="shared" si="16"/>
        <v>107964</v>
      </c>
      <c r="M38" s="166">
        <f>H38/H$8</f>
        <v>6.6255971852008395E-3</v>
      </c>
      <c r="N38" s="81"/>
    </row>
    <row r="39" spans="1:14" x14ac:dyDescent="0.25">
      <c r="A39" s="163" t="s">
        <v>102</v>
      </c>
      <c r="B39" s="164" t="s">
        <v>102</v>
      </c>
      <c r="C39" s="165">
        <v>403987</v>
      </c>
      <c r="D39" s="165">
        <v>148896</v>
      </c>
      <c r="E39" s="165">
        <v>219808</v>
      </c>
      <c r="F39" s="165">
        <v>358110</v>
      </c>
      <c r="G39" s="165">
        <v>358662</v>
      </c>
      <c r="H39" s="165">
        <v>312717</v>
      </c>
      <c r="I39" s="166">
        <f>IFERROR(H39/G39-1,"-")</f>
        <v>-0.1281011091222376</v>
      </c>
      <c r="J39" s="180">
        <f t="shared" si="14"/>
        <v>0.4226825229291018</v>
      </c>
      <c r="K39" s="165">
        <f t="shared" si="15"/>
        <v>-45945</v>
      </c>
      <c r="L39" s="165">
        <f t="shared" si="16"/>
        <v>92909</v>
      </c>
      <c r="M39" s="166">
        <f>H39/H$8</f>
        <v>8.6681038989434422E-3</v>
      </c>
      <c r="N39" s="81"/>
    </row>
    <row r="40" spans="1:14" x14ac:dyDescent="0.25">
      <c r="A40" s="1"/>
      <c r="B40" s="160" t="s">
        <v>109</v>
      </c>
      <c r="C40" s="161">
        <v>9479047</v>
      </c>
      <c r="D40" s="161">
        <v>2617010</v>
      </c>
      <c r="E40" s="161">
        <v>3016288</v>
      </c>
      <c r="F40" s="161">
        <v>8352025</v>
      </c>
      <c r="G40" s="161">
        <v>9162445</v>
      </c>
      <c r="H40" s="161">
        <v>9463234</v>
      </c>
      <c r="I40" s="162">
        <f>IFERROR(H40/G40-1,"-")</f>
        <v>3.2828464454629724E-2</v>
      </c>
      <c r="J40" s="179">
        <f t="shared" si="14"/>
        <v>2.1373774652818298</v>
      </c>
      <c r="K40" s="161">
        <f t="shared" si="15"/>
        <v>300789</v>
      </c>
      <c r="L40" s="161">
        <f t="shared" si="16"/>
        <v>6446946</v>
      </c>
      <c r="M40" s="162">
        <f>H40/H$8</f>
        <v>0.262308398750353</v>
      </c>
      <c r="N40" s="81"/>
    </row>
    <row r="41" spans="1:14" s="57" customFormat="1" x14ac:dyDescent="0.25">
      <c r="B41" s="164" t="s">
        <v>112</v>
      </c>
      <c r="C41" s="165">
        <v>5094935</v>
      </c>
      <c r="D41" s="165">
        <v>1173619</v>
      </c>
      <c r="E41" s="165">
        <v>1066343</v>
      </c>
      <c r="F41" s="165">
        <v>4256430</v>
      </c>
      <c r="G41" s="165">
        <v>4628153</v>
      </c>
      <c r="H41" s="165">
        <v>4858902</v>
      </c>
      <c r="I41" s="166">
        <f t="shared" ref="I41:I48" si="17">IFERROR(H41/G41-1,"-")</f>
        <v>4.9857686208731655E-2</v>
      </c>
      <c r="J41" s="180">
        <f t="shared" si="14"/>
        <v>3.5566032693045297</v>
      </c>
      <c r="K41" s="165">
        <f t="shared" si="15"/>
        <v>230749</v>
      </c>
      <c r="L41" s="165">
        <f t="shared" si="16"/>
        <v>3792559</v>
      </c>
      <c r="M41" s="166">
        <f t="shared" ref="M41:M48" si="18">H41/H$8</f>
        <v>0.13468237214728998</v>
      </c>
      <c r="N41" s="167"/>
    </row>
    <row r="42" spans="1:14" s="57" customFormat="1" x14ac:dyDescent="0.25">
      <c r="B42" s="164" t="s">
        <v>115</v>
      </c>
      <c r="C42" s="165">
        <v>470924</v>
      </c>
      <c r="D42" s="165">
        <v>139836</v>
      </c>
      <c r="E42" s="165">
        <v>174981</v>
      </c>
      <c r="F42" s="165">
        <v>311196</v>
      </c>
      <c r="G42" s="165">
        <v>358380</v>
      </c>
      <c r="H42" s="165">
        <v>358116</v>
      </c>
      <c r="I42" s="166">
        <f t="shared" si="17"/>
        <v>-7.3664825046038107E-4</v>
      </c>
      <c r="J42" s="180">
        <f t="shared" si="14"/>
        <v>1.0465993450717508</v>
      </c>
      <c r="K42" s="165">
        <f t="shared" si="15"/>
        <v>-264</v>
      </c>
      <c r="L42" s="165">
        <f t="shared" si="16"/>
        <v>183135</v>
      </c>
      <c r="M42" s="166">
        <f t="shared" si="18"/>
        <v>9.9265044620984125E-3</v>
      </c>
      <c r="N42" s="167"/>
    </row>
    <row r="43" spans="1:14" x14ac:dyDescent="0.25">
      <c r="A43" s="1"/>
      <c r="B43" s="164" t="s">
        <v>118</v>
      </c>
      <c r="C43" s="165">
        <v>178407</v>
      </c>
      <c r="D43" s="165">
        <v>67848</v>
      </c>
      <c r="E43" s="165">
        <v>127385</v>
      </c>
      <c r="F43" s="165">
        <v>198903</v>
      </c>
      <c r="G43" s="165">
        <v>247793</v>
      </c>
      <c r="H43" s="165">
        <v>245648</v>
      </c>
      <c r="I43" s="166">
        <f t="shared" si="17"/>
        <v>-8.6564188657468621E-3</v>
      </c>
      <c r="J43" s="180">
        <f t="shared" si="14"/>
        <v>0.92839031283118101</v>
      </c>
      <c r="K43" s="165">
        <f t="shared" si="15"/>
        <v>-2145</v>
      </c>
      <c r="L43" s="165">
        <f t="shared" si="16"/>
        <v>118263</v>
      </c>
      <c r="M43" s="166">
        <f t="shared" si="18"/>
        <v>6.8090394400293509E-3</v>
      </c>
      <c r="N43" s="81"/>
    </row>
    <row r="44" spans="1:14" x14ac:dyDescent="0.25">
      <c r="A44" s="1"/>
      <c r="B44" s="164" t="s">
        <v>125</v>
      </c>
      <c r="C44" s="165">
        <v>451476</v>
      </c>
      <c r="D44" s="165">
        <v>124287</v>
      </c>
      <c r="E44" s="165">
        <v>239923</v>
      </c>
      <c r="F44" s="165">
        <v>477050</v>
      </c>
      <c r="G44" s="165">
        <v>501096</v>
      </c>
      <c r="H44" s="165">
        <v>499671</v>
      </c>
      <c r="I44" s="166">
        <f t="shared" si="17"/>
        <v>-2.8437664639111571E-3</v>
      </c>
      <c r="J44" s="180">
        <f t="shared" si="14"/>
        <v>1.0826306773423138</v>
      </c>
      <c r="K44" s="165">
        <f t="shared" si="15"/>
        <v>-1425</v>
      </c>
      <c r="L44" s="165">
        <f t="shared" si="16"/>
        <v>259748</v>
      </c>
      <c r="M44" s="166">
        <f t="shared" si="18"/>
        <v>1.3850222863768098E-2</v>
      </c>
      <c r="N44" s="81"/>
    </row>
    <row r="45" spans="1:14" x14ac:dyDescent="0.25">
      <c r="A45" s="1"/>
      <c r="B45" s="164" t="s">
        <v>121</v>
      </c>
      <c r="C45" s="165">
        <v>353625</v>
      </c>
      <c r="D45" s="165">
        <v>131712</v>
      </c>
      <c r="E45" s="165">
        <v>184201</v>
      </c>
      <c r="F45" s="165">
        <v>318686</v>
      </c>
      <c r="G45" s="165">
        <v>374932</v>
      </c>
      <c r="H45" s="165">
        <v>372782</v>
      </c>
      <c r="I45" s="166">
        <f t="shared" si="17"/>
        <v>-5.7343731663341835E-3</v>
      </c>
      <c r="J45" s="180">
        <f t="shared" si="14"/>
        <v>1.0237783725386942</v>
      </c>
      <c r="K45" s="165">
        <f t="shared" si="15"/>
        <v>-2150</v>
      </c>
      <c r="L45" s="165">
        <f t="shared" si="16"/>
        <v>188581</v>
      </c>
      <c r="M45" s="166">
        <f t="shared" si="18"/>
        <v>1.0333026690764921E-2</v>
      </c>
      <c r="N45" s="81"/>
    </row>
    <row r="46" spans="1:14" x14ac:dyDescent="0.25">
      <c r="A46" s="1"/>
      <c r="B46" s="164" t="s">
        <v>130</v>
      </c>
      <c r="C46" s="165">
        <v>227686</v>
      </c>
      <c r="D46" s="165">
        <v>86739</v>
      </c>
      <c r="E46" s="165">
        <v>81833</v>
      </c>
      <c r="F46" s="165">
        <v>185692</v>
      </c>
      <c r="G46" s="165">
        <v>188339</v>
      </c>
      <c r="H46" s="165">
        <v>187108</v>
      </c>
      <c r="I46" s="166">
        <f t="shared" si="17"/>
        <v>-6.5360865248301758E-3</v>
      </c>
      <c r="J46" s="180">
        <f t="shared" si="14"/>
        <v>1.2864614519814745</v>
      </c>
      <c r="K46" s="165">
        <f t="shared" si="15"/>
        <v>-1231</v>
      </c>
      <c r="L46" s="165">
        <f t="shared" si="16"/>
        <v>105275</v>
      </c>
      <c r="M46" s="166">
        <f t="shared" si="18"/>
        <v>5.1863876422564474E-3</v>
      </c>
      <c r="N46" s="81"/>
    </row>
    <row r="47" spans="1:14" x14ac:dyDescent="0.25">
      <c r="A47" s="163" t="s">
        <v>146</v>
      </c>
      <c r="B47" s="164" t="s">
        <v>133</v>
      </c>
      <c r="C47" s="165">
        <v>366669</v>
      </c>
      <c r="D47" s="165">
        <v>150036</v>
      </c>
      <c r="E47" s="165">
        <v>88248</v>
      </c>
      <c r="F47" s="165">
        <v>188228</v>
      </c>
      <c r="G47" s="165">
        <v>224522</v>
      </c>
      <c r="H47" s="165">
        <v>217369</v>
      </c>
      <c r="I47" s="166">
        <f t="shared" si="17"/>
        <v>-3.1858793347645187E-2</v>
      </c>
      <c r="J47" s="180">
        <f t="shared" si="14"/>
        <v>1.4631606382014324</v>
      </c>
      <c r="K47" s="165">
        <f t="shared" si="15"/>
        <v>-7153</v>
      </c>
      <c r="L47" s="165">
        <f t="shared" si="16"/>
        <v>129121</v>
      </c>
      <c r="M47" s="166">
        <f t="shared" si="18"/>
        <v>6.0251827576033182E-3</v>
      </c>
      <c r="N47" s="81"/>
    </row>
    <row r="48" spans="1:14" x14ac:dyDescent="0.25">
      <c r="A48" s="168" t="s">
        <v>147</v>
      </c>
      <c r="B48" s="169" t="s">
        <v>147</v>
      </c>
      <c r="C48" s="170">
        <f t="shared" ref="C48:H48" si="19">C40-SUM(C41:C47)</f>
        <v>2335325</v>
      </c>
      <c r="D48" s="170">
        <f t="shared" si="19"/>
        <v>742933</v>
      </c>
      <c r="E48" s="170">
        <f t="shared" si="19"/>
        <v>1053374</v>
      </c>
      <c r="F48" s="170">
        <f t="shared" si="19"/>
        <v>2415840</v>
      </c>
      <c r="G48" s="170">
        <f t="shared" si="19"/>
        <v>2639230</v>
      </c>
      <c r="H48" s="170">
        <f t="shared" si="19"/>
        <v>2723638</v>
      </c>
      <c r="I48" s="171">
        <f t="shared" si="17"/>
        <v>3.1982055372210771E-2</v>
      </c>
      <c r="J48" s="181">
        <f t="shared" si="14"/>
        <v>1.5856324534305952</v>
      </c>
      <c r="K48" s="170">
        <f>H48-G48</f>
        <v>84408</v>
      </c>
      <c r="L48" s="170">
        <f t="shared" si="16"/>
        <v>1670264</v>
      </c>
      <c r="M48" s="171">
        <f t="shared" si="18"/>
        <v>7.5495662746542458E-2</v>
      </c>
      <c r="N48" s="81"/>
    </row>
    <row r="49" spans="1:14" s="147" customFormat="1" x14ac:dyDescent="0.25">
      <c r="B49" s="156" t="s">
        <v>48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</row>
    <row r="50" spans="1:14" x14ac:dyDescent="0.25">
      <c r="A50" s="1">
        <v>3</v>
      </c>
      <c r="B50" s="157" t="s">
        <v>70</v>
      </c>
      <c r="C50" s="177">
        <v>234787</v>
      </c>
      <c r="D50" s="177">
        <v>65275</v>
      </c>
      <c r="E50" s="177">
        <v>98762</v>
      </c>
      <c r="F50" s="177">
        <v>168339</v>
      </c>
      <c r="G50" s="177">
        <v>182035</v>
      </c>
      <c r="H50" s="177">
        <v>194642</v>
      </c>
      <c r="I50" s="178">
        <f>IFERROR(H50/G50-1,"-")</f>
        <v>6.925591232455286E-2</v>
      </c>
      <c r="J50" s="178">
        <f>IFERROR(H50/E50-1,"-")</f>
        <v>0.97081873595107426</v>
      </c>
      <c r="K50" s="177">
        <f>H50-G50</f>
        <v>12607</v>
      </c>
      <c r="L50" s="177">
        <f>H50-E50</f>
        <v>95880</v>
      </c>
      <c r="M50" s="178">
        <f>H50/H$8</f>
        <v>5.3952202121987274E-3</v>
      </c>
      <c r="N50" s="81"/>
    </row>
    <row r="51" spans="1:14" x14ac:dyDescent="0.25">
      <c r="A51" s="1" t="s">
        <v>98</v>
      </c>
      <c r="B51" s="160" t="s">
        <v>99</v>
      </c>
      <c r="C51" s="161">
        <v>30969</v>
      </c>
      <c r="D51" s="161">
        <v>6950</v>
      </c>
      <c r="E51" s="161">
        <v>17286</v>
      </c>
      <c r="F51" s="161">
        <v>21218</v>
      </c>
      <c r="G51" s="161">
        <v>40235</v>
      </c>
      <c r="H51" s="161">
        <v>25819</v>
      </c>
      <c r="I51" s="162">
        <f>IFERROR(H51/G51-1,"-")</f>
        <v>-0.35829501677643838</v>
      </c>
      <c r="J51" s="179">
        <f t="shared" ref="J51:J62" si="20">IFERROR(H51/E51-1,"-")</f>
        <v>0.49363646881869716</v>
      </c>
      <c r="K51" s="161">
        <f t="shared" ref="K51:K61" si="21">H51-G51</f>
        <v>-14416</v>
      </c>
      <c r="L51" s="161">
        <f t="shared" ref="L51:L62" si="22">H51-E51</f>
        <v>8533</v>
      </c>
      <c r="M51" s="162">
        <f>H51/H$8</f>
        <v>7.1566871825586942E-4</v>
      </c>
      <c r="N51" s="81"/>
    </row>
    <row r="52" spans="1:14" x14ac:dyDescent="0.25">
      <c r="A52" s="163" t="s">
        <v>105</v>
      </c>
      <c r="B52" s="164" t="s">
        <v>105</v>
      </c>
      <c r="C52" s="165">
        <v>12961</v>
      </c>
      <c r="D52" s="165">
        <v>5003</v>
      </c>
      <c r="E52" s="165">
        <v>6990</v>
      </c>
      <c r="F52" s="165">
        <v>6990</v>
      </c>
      <c r="G52" s="165">
        <v>25164</v>
      </c>
      <c r="H52" s="165">
        <v>14324</v>
      </c>
      <c r="I52" s="166">
        <f>IFERROR(H52/G52-1,"-")</f>
        <v>-0.43077412176124619</v>
      </c>
      <c r="J52" s="180">
        <f t="shared" si="20"/>
        <v>1.0492131616595137</v>
      </c>
      <c r="K52" s="165">
        <f t="shared" si="21"/>
        <v>-10840</v>
      </c>
      <c r="L52" s="165">
        <f t="shared" si="22"/>
        <v>7334</v>
      </c>
      <c r="M52" s="166">
        <f>H52/H$8</f>
        <v>3.9704243852577842E-4</v>
      </c>
      <c r="N52" s="81"/>
    </row>
    <row r="53" spans="1:14" x14ac:dyDescent="0.25">
      <c r="A53" s="163" t="s">
        <v>102</v>
      </c>
      <c r="B53" s="164" t="s">
        <v>102</v>
      </c>
      <c r="C53" s="165">
        <v>18008</v>
      </c>
      <c r="D53" s="165">
        <v>1947</v>
      </c>
      <c r="E53" s="165">
        <v>10296</v>
      </c>
      <c r="F53" s="165">
        <v>14228</v>
      </c>
      <c r="G53" s="165">
        <v>15071</v>
      </c>
      <c r="H53" s="165">
        <v>11495</v>
      </c>
      <c r="I53" s="166">
        <f>IFERROR(H53/G53-1,"-")</f>
        <v>-0.23727688939021963</v>
      </c>
      <c r="J53" s="180">
        <f t="shared" si="20"/>
        <v>0.11645299145299148</v>
      </c>
      <c r="K53" s="165">
        <f t="shared" si="21"/>
        <v>-3576</v>
      </c>
      <c r="L53" s="165">
        <f t="shared" si="22"/>
        <v>1199</v>
      </c>
      <c r="M53" s="166">
        <f>H53/H$8</f>
        <v>3.1862627973009095E-4</v>
      </c>
      <c r="N53" s="81"/>
    </row>
    <row r="54" spans="1:14" x14ac:dyDescent="0.25">
      <c r="A54" s="1"/>
      <c r="B54" s="160" t="s">
        <v>109</v>
      </c>
      <c r="C54" s="161">
        <v>203818</v>
      </c>
      <c r="D54" s="161">
        <v>58325</v>
      </c>
      <c r="E54" s="161">
        <v>81476</v>
      </c>
      <c r="F54" s="161">
        <v>147121</v>
      </c>
      <c r="G54" s="161">
        <v>141800</v>
      </c>
      <c r="H54" s="161">
        <v>168823</v>
      </c>
      <c r="I54" s="162">
        <f>IFERROR(H54/G54-1,"-")</f>
        <v>0.19057122708039498</v>
      </c>
      <c r="J54" s="179">
        <f t="shared" si="20"/>
        <v>1.0720580293583386</v>
      </c>
      <c r="K54" s="161">
        <f t="shared" si="21"/>
        <v>27023</v>
      </c>
      <c r="L54" s="161">
        <f t="shared" si="22"/>
        <v>87347</v>
      </c>
      <c r="M54" s="162">
        <f>H54/H$8</f>
        <v>4.6795514939428576E-3</v>
      </c>
      <c r="N54" s="81"/>
    </row>
    <row r="55" spans="1:14" s="57" customFormat="1" x14ac:dyDescent="0.25">
      <c r="B55" s="164" t="s">
        <v>112</v>
      </c>
      <c r="C55" s="165">
        <v>67733</v>
      </c>
      <c r="D55" s="165">
        <v>19771</v>
      </c>
      <c r="E55" s="165">
        <v>20693</v>
      </c>
      <c r="F55" s="165">
        <v>65122</v>
      </c>
      <c r="G55" s="165">
        <v>55484</v>
      </c>
      <c r="H55" s="165">
        <v>69733</v>
      </c>
      <c r="I55" s="166">
        <f t="shared" ref="I55:I62" si="23">IFERROR(H55/G55-1,"-")</f>
        <v>0.25681277485401188</v>
      </c>
      <c r="J55" s="180">
        <f t="shared" si="20"/>
        <v>2.3698835354950951</v>
      </c>
      <c r="K55" s="165">
        <f t="shared" si="21"/>
        <v>14249</v>
      </c>
      <c r="L55" s="165">
        <f t="shared" si="22"/>
        <v>49040</v>
      </c>
      <c r="M55" s="166">
        <f t="shared" ref="M55:M62" si="24">H55/H$8</f>
        <v>1.9329070347471452E-3</v>
      </c>
      <c r="N55" s="167"/>
    </row>
    <row r="56" spans="1:14" s="57" customFormat="1" x14ac:dyDescent="0.25">
      <c r="B56" s="164" t="s">
        <v>115</v>
      </c>
      <c r="C56" s="165">
        <v>69940</v>
      </c>
      <c r="D56" s="165">
        <v>18669</v>
      </c>
      <c r="E56" s="165">
        <v>31230</v>
      </c>
      <c r="F56" s="165">
        <v>34084</v>
      </c>
      <c r="G56" s="165">
        <v>34465</v>
      </c>
      <c r="H56" s="165">
        <v>39071</v>
      </c>
      <c r="I56" s="166">
        <f t="shared" si="23"/>
        <v>0.13364282605541855</v>
      </c>
      <c r="J56" s="180">
        <f t="shared" si="20"/>
        <v>0.25107268651937242</v>
      </c>
      <c r="K56" s="165">
        <f t="shared" si="21"/>
        <v>4606</v>
      </c>
      <c r="L56" s="165">
        <f t="shared" si="22"/>
        <v>7841</v>
      </c>
      <c r="M56" s="166">
        <f t="shared" si="24"/>
        <v>1.0829967268668451E-3</v>
      </c>
      <c r="N56" s="167"/>
    </row>
    <row r="57" spans="1:14" x14ac:dyDescent="0.25">
      <c r="A57" s="1"/>
      <c r="B57" s="164" t="s">
        <v>118</v>
      </c>
      <c r="C57" s="165">
        <v>6792</v>
      </c>
      <c r="D57" s="165">
        <v>1519</v>
      </c>
      <c r="E57" s="165">
        <v>3873</v>
      </c>
      <c r="F57" s="165">
        <v>6397</v>
      </c>
      <c r="G57" s="165">
        <v>6784</v>
      </c>
      <c r="H57" s="165">
        <v>6674</v>
      </c>
      <c r="I57" s="166">
        <f t="shared" si="23"/>
        <v>-1.6214622641509413E-2</v>
      </c>
      <c r="J57" s="180">
        <f t="shared" si="20"/>
        <v>0.72321198037696877</v>
      </c>
      <c r="K57" s="165">
        <f t="shared" si="21"/>
        <v>-110</v>
      </c>
      <c r="L57" s="165">
        <f t="shared" si="22"/>
        <v>2801</v>
      </c>
      <c r="M57" s="166">
        <f t="shared" si="24"/>
        <v>1.849945011673447E-4</v>
      </c>
      <c r="N57" s="81"/>
    </row>
    <row r="58" spans="1:14" x14ac:dyDescent="0.25">
      <c r="A58" s="1"/>
      <c r="B58" s="164" t="s">
        <v>125</v>
      </c>
      <c r="C58" s="165">
        <v>3713</v>
      </c>
      <c r="D58" s="165">
        <v>1082</v>
      </c>
      <c r="E58" s="165">
        <v>2191</v>
      </c>
      <c r="F58" s="165">
        <v>3053</v>
      </c>
      <c r="G58" s="165">
        <v>2811</v>
      </c>
      <c r="H58" s="165">
        <v>4837</v>
      </c>
      <c r="I58" s="166">
        <f t="shared" si="23"/>
        <v>0.72073995019565995</v>
      </c>
      <c r="J58" s="180">
        <f t="shared" si="20"/>
        <v>1.2076677316293929</v>
      </c>
      <c r="K58" s="165">
        <f t="shared" si="21"/>
        <v>2026</v>
      </c>
      <c r="L58" s="165">
        <f t="shared" si="22"/>
        <v>2646</v>
      </c>
      <c r="M58" s="166">
        <f t="shared" si="24"/>
        <v>1.3407527751669858E-4</v>
      </c>
      <c r="N58" s="81"/>
    </row>
    <row r="59" spans="1:14" x14ac:dyDescent="0.25">
      <c r="A59" s="1"/>
      <c r="B59" s="164" t="s">
        <v>121</v>
      </c>
      <c r="C59" s="165">
        <v>4285</v>
      </c>
      <c r="D59" s="165">
        <v>1095</v>
      </c>
      <c r="E59" s="165">
        <v>1459</v>
      </c>
      <c r="F59" s="165">
        <v>2254</v>
      </c>
      <c r="G59" s="165">
        <v>2628</v>
      </c>
      <c r="H59" s="165">
        <v>3308</v>
      </c>
      <c r="I59" s="166">
        <f t="shared" si="23"/>
        <v>0.25875190258751912</v>
      </c>
      <c r="J59" s="180">
        <f t="shared" si="20"/>
        <v>1.2673063742289239</v>
      </c>
      <c r="K59" s="165">
        <f t="shared" si="21"/>
        <v>680</v>
      </c>
      <c r="L59" s="165">
        <f t="shared" si="22"/>
        <v>1849</v>
      </c>
      <c r="M59" s="166">
        <f t="shared" si="24"/>
        <v>9.1693408729633829E-5</v>
      </c>
      <c r="N59" s="81"/>
    </row>
    <row r="60" spans="1:14" x14ac:dyDescent="0.25">
      <c r="A60" s="1"/>
      <c r="B60" s="164" t="s">
        <v>130</v>
      </c>
      <c r="C60" s="165">
        <v>1783</v>
      </c>
      <c r="D60" s="165">
        <v>713</v>
      </c>
      <c r="E60" s="165">
        <v>445</v>
      </c>
      <c r="F60" s="165">
        <v>554</v>
      </c>
      <c r="G60" s="165">
        <v>804</v>
      </c>
      <c r="H60" s="165">
        <v>636</v>
      </c>
      <c r="I60" s="166">
        <f t="shared" si="23"/>
        <v>-0.20895522388059706</v>
      </c>
      <c r="J60" s="180">
        <f t="shared" si="20"/>
        <v>0.42921348314606744</v>
      </c>
      <c r="K60" s="165">
        <f t="shared" si="21"/>
        <v>-168</v>
      </c>
      <c r="L60" s="165">
        <f t="shared" si="22"/>
        <v>191</v>
      </c>
      <c r="M60" s="166">
        <f t="shared" si="24"/>
        <v>1.7629083419603121E-5</v>
      </c>
      <c r="N60" s="81"/>
    </row>
    <row r="61" spans="1:14" x14ac:dyDescent="0.25">
      <c r="A61" s="163" t="s">
        <v>146</v>
      </c>
      <c r="B61" s="164" t="s">
        <v>133</v>
      </c>
      <c r="C61" s="165">
        <v>3475</v>
      </c>
      <c r="D61" s="165">
        <v>1531</v>
      </c>
      <c r="E61" s="165">
        <v>432</v>
      </c>
      <c r="F61" s="165">
        <v>418</v>
      </c>
      <c r="G61" s="165">
        <v>635</v>
      </c>
      <c r="H61" s="165">
        <v>633</v>
      </c>
      <c r="I61" s="166">
        <f t="shared" si="23"/>
        <v>-3.1496062992125706E-3</v>
      </c>
      <c r="J61" s="180">
        <f t="shared" si="20"/>
        <v>0.46527777777777768</v>
      </c>
      <c r="K61" s="165">
        <f t="shared" si="21"/>
        <v>-2</v>
      </c>
      <c r="L61" s="165">
        <f t="shared" si="22"/>
        <v>201</v>
      </c>
      <c r="M61" s="166">
        <f t="shared" si="24"/>
        <v>1.7545927365737068E-5</v>
      </c>
      <c r="N61" s="81"/>
    </row>
    <row r="62" spans="1:14" x14ac:dyDescent="0.25">
      <c r="A62" s="168" t="s">
        <v>147</v>
      </c>
      <c r="B62" s="169" t="s">
        <v>147</v>
      </c>
      <c r="C62" s="170">
        <f t="shared" ref="C62:H62" si="25">C54-SUM(C55:C61)</f>
        <v>46097</v>
      </c>
      <c r="D62" s="170">
        <f t="shared" si="25"/>
        <v>13945</v>
      </c>
      <c r="E62" s="170">
        <f t="shared" si="25"/>
        <v>21153</v>
      </c>
      <c r="F62" s="170">
        <f t="shared" si="25"/>
        <v>35239</v>
      </c>
      <c r="G62" s="170">
        <f t="shared" si="25"/>
        <v>38189</v>
      </c>
      <c r="H62" s="170">
        <f t="shared" si="25"/>
        <v>43931</v>
      </c>
      <c r="I62" s="171">
        <f t="shared" si="23"/>
        <v>0.15035743276859836</v>
      </c>
      <c r="J62" s="181">
        <f t="shared" si="20"/>
        <v>1.0768212546683684</v>
      </c>
      <c r="K62" s="170">
        <f>H62-G62</f>
        <v>5742</v>
      </c>
      <c r="L62" s="170">
        <f t="shared" si="22"/>
        <v>22778</v>
      </c>
      <c r="M62" s="171">
        <f t="shared" si="24"/>
        <v>1.2177095341298501E-3</v>
      </c>
      <c r="N62" s="81"/>
    </row>
    <row r="63" spans="1:14" s="147" customFormat="1" x14ac:dyDescent="0.25">
      <c r="B63" s="156" t="s">
        <v>49</v>
      </c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</row>
    <row r="64" spans="1:14" x14ac:dyDescent="0.25">
      <c r="A64" s="1">
        <v>3</v>
      </c>
      <c r="B64" s="157" t="s">
        <v>70</v>
      </c>
      <c r="C64" s="177">
        <v>834528</v>
      </c>
      <c r="D64" s="177">
        <v>295880</v>
      </c>
      <c r="E64" s="177">
        <v>419370</v>
      </c>
      <c r="F64" s="177">
        <v>1014697</v>
      </c>
      <c r="G64" s="177">
        <v>1034949</v>
      </c>
      <c r="H64" s="177">
        <v>1361415</v>
      </c>
      <c r="I64" s="178">
        <f>IFERROR(H64/G64-1,"-")</f>
        <v>0.31544163045715301</v>
      </c>
      <c r="J64" s="178">
        <f>IFERROR(H64/E64-1,"-")</f>
        <v>2.2463337863938766</v>
      </c>
      <c r="K64" s="177">
        <f>H64-G64</f>
        <v>326466</v>
      </c>
      <c r="L64" s="177">
        <f>H64-E64</f>
        <v>942045</v>
      </c>
      <c r="M64" s="178">
        <f>H64/H$8</f>
        <v>3.7736633024683934E-2</v>
      </c>
      <c r="N64" s="81"/>
    </row>
    <row r="65" spans="1:14" x14ac:dyDescent="0.25">
      <c r="A65" s="1" t="s">
        <v>98</v>
      </c>
      <c r="B65" s="160" t="s">
        <v>99</v>
      </c>
      <c r="C65" s="161">
        <v>158439</v>
      </c>
      <c r="D65" s="161">
        <v>84704</v>
      </c>
      <c r="E65" s="161">
        <v>83752</v>
      </c>
      <c r="F65" s="161">
        <v>119256</v>
      </c>
      <c r="G65" s="161">
        <v>173467</v>
      </c>
      <c r="H65" s="161">
        <v>256345</v>
      </c>
      <c r="I65" s="162">
        <f>IFERROR(H65/G65-1,"-")</f>
        <v>0.47777387053445319</v>
      </c>
      <c r="J65" s="179">
        <f t="shared" ref="J65:J76" si="26">IFERROR(H65/E65-1,"-")</f>
        <v>2.0607627280542555</v>
      </c>
      <c r="K65" s="161">
        <f t="shared" ref="K65:K75" si="27">H65-G65</f>
        <v>82878</v>
      </c>
      <c r="L65" s="161">
        <f t="shared" ref="L65:L76" si="28">H65-E65</f>
        <v>172593</v>
      </c>
      <c r="M65" s="162">
        <f>H65/H$8</f>
        <v>7.1055462094310714E-3</v>
      </c>
      <c r="N65" s="81"/>
    </row>
    <row r="66" spans="1:14" x14ac:dyDescent="0.25">
      <c r="A66" s="163" t="s">
        <v>105</v>
      </c>
      <c r="B66" s="164" t="s">
        <v>105</v>
      </c>
      <c r="C66" s="165">
        <v>67992</v>
      </c>
      <c r="D66" s="165">
        <v>23458</v>
      </c>
      <c r="E66" s="165">
        <v>59324</v>
      </c>
      <c r="F66" s="165">
        <v>72718</v>
      </c>
      <c r="G66" s="165">
        <v>91538</v>
      </c>
      <c r="H66" s="165">
        <v>124261</v>
      </c>
      <c r="I66" s="166">
        <f>IFERROR(H66/G66-1,"-")</f>
        <v>0.35747995368043872</v>
      </c>
      <c r="J66" s="180">
        <f t="shared" si="26"/>
        <v>1.094616007012339</v>
      </c>
      <c r="K66" s="165">
        <f t="shared" si="27"/>
        <v>32723</v>
      </c>
      <c r="L66" s="165">
        <f t="shared" si="28"/>
        <v>64937</v>
      </c>
      <c r="M66" s="166">
        <f>H66/H$8</f>
        <v>3.4443514698165147E-3</v>
      </c>
      <c r="N66" s="81"/>
    </row>
    <row r="67" spans="1:14" x14ac:dyDescent="0.25">
      <c r="A67" s="163" t="s">
        <v>102</v>
      </c>
      <c r="B67" s="164" t="s">
        <v>102</v>
      </c>
      <c r="C67" s="165">
        <v>90447</v>
      </c>
      <c r="D67" s="165">
        <v>61246</v>
      </c>
      <c r="E67" s="165">
        <v>24428</v>
      </c>
      <c r="F67" s="165">
        <v>46538</v>
      </c>
      <c r="G67" s="165">
        <v>81929</v>
      </c>
      <c r="H67" s="165">
        <v>132084</v>
      </c>
      <c r="I67" s="166">
        <f>IFERROR(H67/G67-1,"-")</f>
        <v>0.61217639663611179</v>
      </c>
      <c r="J67" s="180">
        <f t="shared" si="26"/>
        <v>4.4070738496806943</v>
      </c>
      <c r="K67" s="165">
        <f t="shared" si="27"/>
        <v>50155</v>
      </c>
      <c r="L67" s="165">
        <f t="shared" si="28"/>
        <v>107656</v>
      </c>
      <c r="M67" s="166">
        <f>H67/H$8</f>
        <v>3.6611947396145571E-3</v>
      </c>
      <c r="N67" s="81"/>
    </row>
    <row r="68" spans="1:14" x14ac:dyDescent="0.25">
      <c r="A68" s="1"/>
      <c r="B68" s="160" t="s">
        <v>109</v>
      </c>
      <c r="C68" s="161">
        <v>676089</v>
      </c>
      <c r="D68" s="161">
        <v>211176</v>
      </c>
      <c r="E68" s="161">
        <v>335618</v>
      </c>
      <c r="F68" s="161">
        <v>895441</v>
      </c>
      <c r="G68" s="161">
        <v>861482</v>
      </c>
      <c r="H68" s="161">
        <v>1105070</v>
      </c>
      <c r="I68" s="162">
        <f>IFERROR(H68/G68-1,"-")</f>
        <v>0.28275460195337798</v>
      </c>
      <c r="J68" s="179">
        <f t="shared" si="26"/>
        <v>2.2926422301545211</v>
      </c>
      <c r="K68" s="161">
        <f t="shared" si="27"/>
        <v>243588</v>
      </c>
      <c r="L68" s="161">
        <f t="shared" si="28"/>
        <v>769452</v>
      </c>
      <c r="M68" s="162">
        <f>H68/H$8</f>
        <v>3.063108681525286E-2</v>
      </c>
      <c r="N68" s="81"/>
    </row>
    <row r="69" spans="1:14" s="57" customFormat="1" x14ac:dyDescent="0.25">
      <c r="B69" s="164" t="s">
        <v>112</v>
      </c>
      <c r="C69" s="165">
        <v>286315</v>
      </c>
      <c r="D69" s="165">
        <v>94120</v>
      </c>
      <c r="E69" s="165">
        <v>85414</v>
      </c>
      <c r="F69" s="165">
        <v>399420</v>
      </c>
      <c r="G69" s="165">
        <v>324780</v>
      </c>
      <c r="H69" s="165">
        <v>454766</v>
      </c>
      <c r="I69" s="166">
        <f t="shared" ref="I69:I76" si="29">IFERROR(H69/G69-1,"-")</f>
        <v>0.40022784654227483</v>
      </c>
      <c r="J69" s="180">
        <f t="shared" si="26"/>
        <v>4.3242559767719575</v>
      </c>
      <c r="K69" s="165">
        <f t="shared" si="27"/>
        <v>129986</v>
      </c>
      <c r="L69" s="165">
        <f t="shared" si="28"/>
        <v>369352</v>
      </c>
      <c r="M69" s="166">
        <f t="shared" ref="M69:M76" si="30">H69/H$8</f>
        <v>1.2605515330816403E-2</v>
      </c>
      <c r="N69" s="167"/>
    </row>
    <row r="70" spans="1:14" s="57" customFormat="1" x14ac:dyDescent="0.25">
      <c r="B70" s="164" t="s">
        <v>115</v>
      </c>
      <c r="C70" s="165">
        <v>94492</v>
      </c>
      <c r="D70" s="165">
        <v>27344</v>
      </c>
      <c r="E70" s="165">
        <v>36140</v>
      </c>
      <c r="F70" s="165">
        <v>56705</v>
      </c>
      <c r="G70" s="165">
        <v>85292</v>
      </c>
      <c r="H70" s="165">
        <v>78559</v>
      </c>
      <c r="I70" s="166">
        <f t="shared" si="29"/>
        <v>-7.8940580593725107E-2</v>
      </c>
      <c r="J70" s="180">
        <f t="shared" si="26"/>
        <v>1.1737410071942445</v>
      </c>
      <c r="K70" s="165">
        <f t="shared" si="27"/>
        <v>-6733</v>
      </c>
      <c r="L70" s="165">
        <f t="shared" si="28"/>
        <v>42419</v>
      </c>
      <c r="M70" s="166">
        <f t="shared" si="30"/>
        <v>2.1775521452210714E-3</v>
      </c>
      <c r="N70" s="167"/>
    </row>
    <row r="71" spans="1:14" x14ac:dyDescent="0.25">
      <c r="A71" s="1"/>
      <c r="B71" s="164" t="s">
        <v>118</v>
      </c>
      <c r="C71" s="165">
        <v>75234</v>
      </c>
      <c r="D71" s="165">
        <v>21566</v>
      </c>
      <c r="E71" s="165">
        <v>44372</v>
      </c>
      <c r="F71" s="165">
        <v>126795</v>
      </c>
      <c r="G71" s="165">
        <v>108706</v>
      </c>
      <c r="H71" s="165">
        <v>131979</v>
      </c>
      <c r="I71" s="166">
        <f t="shared" si="29"/>
        <v>0.21409121851599733</v>
      </c>
      <c r="J71" s="180">
        <f t="shared" si="26"/>
        <v>1.9743757324438835</v>
      </c>
      <c r="K71" s="165">
        <f t="shared" si="27"/>
        <v>23273</v>
      </c>
      <c r="L71" s="165">
        <f t="shared" si="28"/>
        <v>87607</v>
      </c>
      <c r="M71" s="166">
        <f t="shared" si="30"/>
        <v>3.6582842777292453E-3</v>
      </c>
      <c r="N71" s="81"/>
    </row>
    <row r="72" spans="1:14" x14ac:dyDescent="0.25">
      <c r="A72" s="1"/>
      <c r="B72" s="164" t="s">
        <v>125</v>
      </c>
      <c r="C72" s="165">
        <v>11792</v>
      </c>
      <c r="D72" s="165">
        <v>3914</v>
      </c>
      <c r="E72" s="165">
        <v>28426</v>
      </c>
      <c r="F72" s="165">
        <v>25157</v>
      </c>
      <c r="G72" s="165">
        <v>26613</v>
      </c>
      <c r="H72" s="165">
        <v>47499</v>
      </c>
      <c r="I72" s="166">
        <f t="shared" si="29"/>
        <v>0.7848044188930221</v>
      </c>
      <c r="J72" s="180">
        <f t="shared" si="26"/>
        <v>0.67097023851403637</v>
      </c>
      <c r="K72" s="165">
        <f t="shared" si="27"/>
        <v>20886</v>
      </c>
      <c r="L72" s="165">
        <f t="shared" si="28"/>
        <v>19073</v>
      </c>
      <c r="M72" s="166">
        <f t="shared" si="30"/>
        <v>1.3166098008612083E-3</v>
      </c>
      <c r="N72" s="81"/>
    </row>
    <row r="73" spans="1:14" x14ac:dyDescent="0.25">
      <c r="A73" s="1"/>
      <c r="B73" s="164" t="s">
        <v>121</v>
      </c>
      <c r="C73" s="165">
        <v>17507</v>
      </c>
      <c r="D73" s="165">
        <v>8571</v>
      </c>
      <c r="E73" s="165">
        <v>16869</v>
      </c>
      <c r="F73" s="165">
        <v>22926</v>
      </c>
      <c r="G73" s="165">
        <v>17467</v>
      </c>
      <c r="H73" s="165">
        <v>27574</v>
      </c>
      <c r="I73" s="166">
        <f t="shared" si="29"/>
        <v>0.5786339955344364</v>
      </c>
      <c r="J73" s="180">
        <f t="shared" si="26"/>
        <v>0.63459600450530562</v>
      </c>
      <c r="K73" s="165">
        <f t="shared" si="27"/>
        <v>10107</v>
      </c>
      <c r="L73" s="165">
        <f t="shared" si="28"/>
        <v>10705</v>
      </c>
      <c r="M73" s="166">
        <f t="shared" si="30"/>
        <v>7.6431500976751005E-4</v>
      </c>
      <c r="N73" s="81"/>
    </row>
    <row r="74" spans="1:14" x14ac:dyDescent="0.25">
      <c r="A74" s="1"/>
      <c r="B74" s="164" t="s">
        <v>130</v>
      </c>
      <c r="C74" s="165">
        <v>15819</v>
      </c>
      <c r="D74" s="165">
        <v>5541</v>
      </c>
      <c r="E74" s="165">
        <v>14404</v>
      </c>
      <c r="F74" s="165">
        <v>20957</v>
      </c>
      <c r="G74" s="165">
        <v>26801</v>
      </c>
      <c r="H74" s="165">
        <v>24320</v>
      </c>
      <c r="I74" s="166">
        <f t="shared" si="29"/>
        <v>-9.2571172717435868E-2</v>
      </c>
      <c r="J74" s="180">
        <f t="shared" si="26"/>
        <v>0.68841988336573179</v>
      </c>
      <c r="K74" s="165">
        <f t="shared" si="27"/>
        <v>-2481</v>
      </c>
      <c r="L74" s="165">
        <f t="shared" si="28"/>
        <v>9916</v>
      </c>
      <c r="M74" s="166">
        <f t="shared" si="30"/>
        <v>6.7411841000746518E-4</v>
      </c>
      <c r="N74" s="81"/>
    </row>
    <row r="75" spans="1:14" x14ac:dyDescent="0.25">
      <c r="A75" s="163" t="s">
        <v>146</v>
      </c>
      <c r="B75" s="164" t="s">
        <v>133</v>
      </c>
      <c r="C75" s="165">
        <v>12733</v>
      </c>
      <c r="D75" s="165">
        <v>5018</v>
      </c>
      <c r="E75" s="165">
        <v>1659</v>
      </c>
      <c r="F75" s="165">
        <v>6100</v>
      </c>
      <c r="G75" s="165">
        <v>7680</v>
      </c>
      <c r="H75" s="165">
        <v>21506</v>
      </c>
      <c r="I75" s="166">
        <f t="shared" si="29"/>
        <v>1.8002604166666667</v>
      </c>
      <c r="J75" s="180">
        <f t="shared" si="26"/>
        <v>11.963230861965039</v>
      </c>
      <c r="K75" s="165">
        <f t="shared" si="27"/>
        <v>13826</v>
      </c>
      <c r="L75" s="165">
        <f t="shared" si="28"/>
        <v>19847</v>
      </c>
      <c r="M75" s="166">
        <f t="shared" si="30"/>
        <v>5.9611803148110795E-4</v>
      </c>
      <c r="N75" s="81"/>
    </row>
    <row r="76" spans="1:14" x14ac:dyDescent="0.25">
      <c r="A76" s="168" t="s">
        <v>147</v>
      </c>
      <c r="B76" s="169" t="s">
        <v>147</v>
      </c>
      <c r="C76" s="170">
        <f t="shared" ref="C76:H76" si="31">C68-SUM(C69:C75)</f>
        <v>162197</v>
      </c>
      <c r="D76" s="170">
        <f t="shared" si="31"/>
        <v>45102</v>
      </c>
      <c r="E76" s="170">
        <f t="shared" si="31"/>
        <v>108334</v>
      </c>
      <c r="F76" s="170">
        <f t="shared" si="31"/>
        <v>237381</v>
      </c>
      <c r="G76" s="170">
        <f t="shared" si="31"/>
        <v>264143</v>
      </c>
      <c r="H76" s="170">
        <f t="shared" si="31"/>
        <v>318867</v>
      </c>
      <c r="I76" s="171">
        <f t="shared" si="29"/>
        <v>0.20717565863944909</v>
      </c>
      <c r="J76" s="181">
        <f t="shared" si="26"/>
        <v>1.9433695792641275</v>
      </c>
      <c r="K76" s="170">
        <f>H76-G76</f>
        <v>54724</v>
      </c>
      <c r="L76" s="170">
        <f t="shared" si="28"/>
        <v>210533</v>
      </c>
      <c r="M76" s="171">
        <f t="shared" si="30"/>
        <v>8.8385738093688486E-3</v>
      </c>
      <c r="N76" s="81"/>
    </row>
    <row r="77" spans="1:14" s="147" customFormat="1" x14ac:dyDescent="0.25">
      <c r="B77" s="156" t="s">
        <v>50</v>
      </c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</row>
    <row r="78" spans="1:14" x14ac:dyDescent="0.25">
      <c r="A78" s="1">
        <v>3</v>
      </c>
      <c r="B78" s="157" t="s">
        <v>70</v>
      </c>
      <c r="C78" s="177">
        <v>5492551</v>
      </c>
      <c r="D78" s="177">
        <v>1546641</v>
      </c>
      <c r="E78" s="177">
        <v>1967362</v>
      </c>
      <c r="F78" s="177">
        <v>4352393</v>
      </c>
      <c r="G78" s="177">
        <v>5123327</v>
      </c>
      <c r="H78" s="177">
        <v>5751799</v>
      </c>
      <c r="I78" s="178">
        <f>IFERROR(H78/G78-1,"-")</f>
        <v>0.12266872678632468</v>
      </c>
      <c r="J78" s="178">
        <f>IFERROR(H78/E78-1,"-")</f>
        <v>1.9236098897915075</v>
      </c>
      <c r="K78" s="177">
        <f>H78-G78</f>
        <v>628472</v>
      </c>
      <c r="L78" s="177">
        <f>H78-E78</f>
        <v>3784437</v>
      </c>
      <c r="M78" s="178">
        <f>H78/H$8</f>
        <v>0.15943230249023554</v>
      </c>
      <c r="N78" s="81"/>
    </row>
    <row r="79" spans="1:14" x14ac:dyDescent="0.25">
      <c r="A79" s="1" t="s">
        <v>98</v>
      </c>
      <c r="B79" s="160" t="s">
        <v>99</v>
      </c>
      <c r="C79" s="161">
        <v>1871426</v>
      </c>
      <c r="D79" s="161">
        <v>472177</v>
      </c>
      <c r="E79" s="161">
        <v>765462</v>
      </c>
      <c r="F79" s="161">
        <v>1656388</v>
      </c>
      <c r="G79" s="161">
        <v>1641108</v>
      </c>
      <c r="H79" s="161">
        <v>1680399</v>
      </c>
      <c r="I79" s="162">
        <f>IFERROR(H79/G79-1,"-")</f>
        <v>2.3941751548344214E-2</v>
      </c>
      <c r="J79" s="179">
        <f t="shared" ref="J79:J90" si="32">IFERROR(H79/E79-1,"-")</f>
        <v>1.1952742265455374</v>
      </c>
      <c r="K79" s="161">
        <f t="shared" ref="K79:K89" si="33">H79-G79</f>
        <v>39291</v>
      </c>
      <c r="L79" s="161">
        <f t="shared" ref="L79:L90" si="34">H79-E79</f>
        <v>914937</v>
      </c>
      <c r="M79" s="162">
        <f>H79/H$8</f>
        <v>4.6578449920153558E-2</v>
      </c>
      <c r="N79" s="81"/>
    </row>
    <row r="80" spans="1:14" x14ac:dyDescent="0.25">
      <c r="A80" s="163" t="s">
        <v>105</v>
      </c>
      <c r="B80" s="164" t="s">
        <v>105</v>
      </c>
      <c r="C80" s="165">
        <v>208038</v>
      </c>
      <c r="D80" s="165">
        <v>71537</v>
      </c>
      <c r="E80" s="165">
        <v>181910</v>
      </c>
      <c r="F80" s="165">
        <v>247663</v>
      </c>
      <c r="G80" s="165">
        <v>255714</v>
      </c>
      <c r="H80" s="165">
        <v>287334</v>
      </c>
      <c r="I80" s="166">
        <f>IFERROR(H80/G80-1,"-")</f>
        <v>0.1236537694455524</v>
      </c>
      <c r="J80" s="180">
        <f t="shared" si="32"/>
        <v>0.5795393326370184</v>
      </c>
      <c r="K80" s="165">
        <f t="shared" si="33"/>
        <v>31620</v>
      </c>
      <c r="L80" s="165">
        <f t="shared" si="34"/>
        <v>105424</v>
      </c>
      <c r="M80" s="166">
        <f>H80/H$8</f>
        <v>7.9645205271827724E-3</v>
      </c>
      <c r="N80" s="81"/>
    </row>
    <row r="81" spans="1:14" x14ac:dyDescent="0.25">
      <c r="A81" s="163" t="s">
        <v>102</v>
      </c>
      <c r="B81" s="164" t="s">
        <v>102</v>
      </c>
      <c r="C81" s="165">
        <v>1663388</v>
      </c>
      <c r="D81" s="165">
        <v>400640</v>
      </c>
      <c r="E81" s="165">
        <v>583552</v>
      </c>
      <c r="F81" s="165">
        <v>1408725</v>
      </c>
      <c r="G81" s="165">
        <v>1385394</v>
      </c>
      <c r="H81" s="165">
        <v>1393065</v>
      </c>
      <c r="I81" s="166">
        <f>IFERROR(H81/G81-1,"-")</f>
        <v>5.5370529971978666E-3</v>
      </c>
      <c r="J81" s="180">
        <f t="shared" si="32"/>
        <v>1.3872165633910947</v>
      </c>
      <c r="K81" s="165">
        <f t="shared" si="33"/>
        <v>7671</v>
      </c>
      <c r="L81" s="165">
        <f t="shared" si="34"/>
        <v>809513</v>
      </c>
      <c r="M81" s="166">
        <f>H81/H$8</f>
        <v>3.8613929392970786E-2</v>
      </c>
      <c r="N81" s="81"/>
    </row>
    <row r="82" spans="1:14" x14ac:dyDescent="0.25">
      <c r="A82" s="1"/>
      <c r="B82" s="160" t="s">
        <v>109</v>
      </c>
      <c r="C82" s="161">
        <v>3621125</v>
      </c>
      <c r="D82" s="161">
        <v>1074464</v>
      </c>
      <c r="E82" s="161">
        <v>1201900</v>
      </c>
      <c r="F82" s="161">
        <v>2696005</v>
      </c>
      <c r="G82" s="161">
        <v>3482219</v>
      </c>
      <c r="H82" s="161">
        <v>4071400</v>
      </c>
      <c r="I82" s="162">
        <f>IFERROR(H82/G82-1,"-")</f>
        <v>0.16919699766154861</v>
      </c>
      <c r="J82" s="179">
        <f t="shared" si="32"/>
        <v>2.3874698394209171</v>
      </c>
      <c r="K82" s="161">
        <f t="shared" si="33"/>
        <v>589181</v>
      </c>
      <c r="L82" s="161">
        <f t="shared" si="34"/>
        <v>2869500</v>
      </c>
      <c r="M82" s="162">
        <f>H82/H$8</f>
        <v>0.11285385257008199</v>
      </c>
      <c r="N82" s="81"/>
    </row>
    <row r="83" spans="1:14" s="57" customFormat="1" x14ac:dyDescent="0.25">
      <c r="B83" s="164" t="s">
        <v>112</v>
      </c>
      <c r="C83" s="165">
        <v>574884</v>
      </c>
      <c r="D83" s="165">
        <v>163077</v>
      </c>
      <c r="E83" s="165">
        <v>114301</v>
      </c>
      <c r="F83" s="165">
        <v>504044</v>
      </c>
      <c r="G83" s="165">
        <v>666541</v>
      </c>
      <c r="H83" s="165">
        <v>786563</v>
      </c>
      <c r="I83" s="166">
        <f t="shared" ref="I83:I90" si="35">IFERROR(H83/G83-1,"-")</f>
        <v>0.18006694261868361</v>
      </c>
      <c r="J83" s="180">
        <f t="shared" si="32"/>
        <v>5.8815058485927505</v>
      </c>
      <c r="K83" s="165">
        <f t="shared" si="33"/>
        <v>120022</v>
      </c>
      <c r="L83" s="165">
        <f t="shared" si="34"/>
        <v>672262</v>
      </c>
      <c r="M83" s="166">
        <f t="shared" ref="M83:M90" si="36">H83/H$8</f>
        <v>2.1802491732347939E-2</v>
      </c>
      <c r="N83" s="167"/>
    </row>
    <row r="84" spans="1:14" s="57" customFormat="1" x14ac:dyDescent="0.25">
      <c r="B84" s="164" t="s">
        <v>115</v>
      </c>
      <c r="C84" s="165">
        <v>1562789</v>
      </c>
      <c r="D84" s="165">
        <v>445011</v>
      </c>
      <c r="E84" s="165">
        <v>478237</v>
      </c>
      <c r="F84" s="165">
        <v>1014024</v>
      </c>
      <c r="G84" s="165">
        <v>1210830</v>
      </c>
      <c r="H84" s="165">
        <v>1374516</v>
      </c>
      <c r="I84" s="166">
        <f t="shared" si="35"/>
        <v>0.13518495577413847</v>
      </c>
      <c r="J84" s="180">
        <f t="shared" si="32"/>
        <v>1.8741314452875875</v>
      </c>
      <c r="K84" s="165">
        <f t="shared" si="33"/>
        <v>163686</v>
      </c>
      <c r="L84" s="165">
        <f t="shared" si="34"/>
        <v>896279</v>
      </c>
      <c r="M84" s="166">
        <f t="shared" si="36"/>
        <v>3.8099775511916983E-2</v>
      </c>
      <c r="N84" s="167"/>
    </row>
    <row r="85" spans="1:14" x14ac:dyDescent="0.25">
      <c r="A85" s="1"/>
      <c r="B85" s="164" t="s">
        <v>118</v>
      </c>
      <c r="C85" s="165">
        <v>173660</v>
      </c>
      <c r="D85" s="165">
        <v>48969</v>
      </c>
      <c r="E85" s="165">
        <v>105849</v>
      </c>
      <c r="F85" s="165">
        <v>179405</v>
      </c>
      <c r="G85" s="165">
        <v>275311</v>
      </c>
      <c r="H85" s="165">
        <v>384207</v>
      </c>
      <c r="I85" s="166">
        <f t="shared" si="35"/>
        <v>0.3955381368706663</v>
      </c>
      <c r="J85" s="180">
        <f t="shared" si="32"/>
        <v>2.6297650426551029</v>
      </c>
      <c r="K85" s="165">
        <f t="shared" si="33"/>
        <v>108896</v>
      </c>
      <c r="L85" s="165">
        <f t="shared" si="34"/>
        <v>278358</v>
      </c>
      <c r="M85" s="166">
        <f t="shared" si="36"/>
        <v>1.0649712662571472E-2</v>
      </c>
      <c r="N85" s="81"/>
    </row>
    <row r="86" spans="1:14" x14ac:dyDescent="0.25">
      <c r="A86" s="1"/>
      <c r="B86" s="164" t="s">
        <v>125</v>
      </c>
      <c r="C86" s="165">
        <v>75235</v>
      </c>
      <c r="D86" s="165">
        <v>15102</v>
      </c>
      <c r="E86" s="165">
        <v>38224</v>
      </c>
      <c r="F86" s="165">
        <v>75513</v>
      </c>
      <c r="G86" s="165">
        <v>90350</v>
      </c>
      <c r="H86" s="165">
        <v>134266</v>
      </c>
      <c r="I86" s="166">
        <f t="shared" si="35"/>
        <v>0.48606530160486994</v>
      </c>
      <c r="J86" s="180">
        <f t="shared" si="32"/>
        <v>2.5126098786102973</v>
      </c>
      <c r="K86" s="165">
        <f t="shared" si="33"/>
        <v>43916</v>
      </c>
      <c r="L86" s="165">
        <f t="shared" si="34"/>
        <v>96042</v>
      </c>
      <c r="M86" s="166">
        <f t="shared" si="36"/>
        <v>3.7216769094597993E-3</v>
      </c>
      <c r="N86" s="81"/>
    </row>
    <row r="87" spans="1:14" x14ac:dyDescent="0.25">
      <c r="A87" s="1"/>
      <c r="B87" s="164" t="s">
        <v>121</v>
      </c>
      <c r="C87" s="165">
        <v>46816</v>
      </c>
      <c r="D87" s="165">
        <v>14962</v>
      </c>
      <c r="E87" s="165">
        <v>33300</v>
      </c>
      <c r="F87" s="165">
        <v>33738</v>
      </c>
      <c r="G87" s="165">
        <v>45567</v>
      </c>
      <c r="H87" s="165">
        <v>58820</v>
      </c>
      <c r="I87" s="166">
        <f t="shared" si="35"/>
        <v>0.29084644589286102</v>
      </c>
      <c r="J87" s="180">
        <f t="shared" si="32"/>
        <v>0.76636636636636646</v>
      </c>
      <c r="K87" s="165">
        <f t="shared" si="33"/>
        <v>13253</v>
      </c>
      <c r="L87" s="165">
        <f t="shared" si="34"/>
        <v>25520</v>
      </c>
      <c r="M87" s="166">
        <f t="shared" si="36"/>
        <v>1.6304130294670684E-3</v>
      </c>
      <c r="N87" s="81"/>
    </row>
    <row r="88" spans="1:14" x14ac:dyDescent="0.25">
      <c r="A88" s="1"/>
      <c r="B88" s="164" t="s">
        <v>130</v>
      </c>
      <c r="C88" s="165">
        <v>74813</v>
      </c>
      <c r="D88" s="165">
        <v>30460</v>
      </c>
      <c r="E88" s="165">
        <v>20871</v>
      </c>
      <c r="F88" s="165">
        <v>63463</v>
      </c>
      <c r="G88" s="165">
        <v>74935</v>
      </c>
      <c r="H88" s="165">
        <v>68632</v>
      </c>
      <c r="I88" s="166">
        <f t="shared" si="35"/>
        <v>-8.4112897844798806E-2</v>
      </c>
      <c r="J88" s="180">
        <f t="shared" si="32"/>
        <v>2.2883905898136168</v>
      </c>
      <c r="K88" s="165">
        <f t="shared" si="33"/>
        <v>-6303</v>
      </c>
      <c r="L88" s="165">
        <f t="shared" si="34"/>
        <v>47761</v>
      </c>
      <c r="M88" s="166">
        <f t="shared" si="36"/>
        <v>1.9023887629783039E-3</v>
      </c>
      <c r="N88" s="81"/>
    </row>
    <row r="89" spans="1:14" x14ac:dyDescent="0.25">
      <c r="A89" s="163" t="s">
        <v>146</v>
      </c>
      <c r="B89" s="164" t="s">
        <v>133</v>
      </c>
      <c r="C89" s="165">
        <v>112745</v>
      </c>
      <c r="D89" s="165">
        <v>50030</v>
      </c>
      <c r="E89" s="165">
        <v>22441</v>
      </c>
      <c r="F89" s="165">
        <v>59972</v>
      </c>
      <c r="G89" s="165">
        <v>81697</v>
      </c>
      <c r="H89" s="165">
        <v>79675</v>
      </c>
      <c r="I89" s="166">
        <f t="shared" si="35"/>
        <v>-2.4749990819736389E-2</v>
      </c>
      <c r="J89" s="180">
        <f t="shared" si="32"/>
        <v>2.5504211042288669</v>
      </c>
      <c r="K89" s="165">
        <f t="shared" si="33"/>
        <v>-2022</v>
      </c>
      <c r="L89" s="165">
        <f t="shared" si="34"/>
        <v>57234</v>
      </c>
      <c r="M89" s="166">
        <f t="shared" si="36"/>
        <v>2.2084861972592432E-3</v>
      </c>
      <c r="N89" s="81"/>
    </row>
    <row r="90" spans="1:14" x14ac:dyDescent="0.25">
      <c r="A90" s="168" t="s">
        <v>147</v>
      </c>
      <c r="B90" s="169" t="s">
        <v>147</v>
      </c>
      <c r="C90" s="170">
        <f t="shared" ref="C90:H90" si="37">C82-SUM(C83:C89)</f>
        <v>1000183</v>
      </c>
      <c r="D90" s="170">
        <f t="shared" si="37"/>
        <v>306853</v>
      </c>
      <c r="E90" s="170">
        <f t="shared" si="37"/>
        <v>388677</v>
      </c>
      <c r="F90" s="170">
        <f t="shared" si="37"/>
        <v>765846</v>
      </c>
      <c r="G90" s="170">
        <f t="shared" si="37"/>
        <v>1036988</v>
      </c>
      <c r="H90" s="170">
        <f t="shared" si="37"/>
        <v>1184721</v>
      </c>
      <c r="I90" s="171">
        <f t="shared" si="35"/>
        <v>0.14246355791966736</v>
      </c>
      <c r="J90" s="181">
        <f t="shared" si="32"/>
        <v>2.0480862001096027</v>
      </c>
      <c r="K90" s="170">
        <f>H90-G90</f>
        <v>147733</v>
      </c>
      <c r="L90" s="170">
        <f t="shared" si="34"/>
        <v>796044</v>
      </c>
      <c r="M90" s="171">
        <f t="shared" si="36"/>
        <v>3.2838907764081174E-2</v>
      </c>
      <c r="N90" s="81"/>
    </row>
    <row r="91" spans="1:14" s="147" customFormat="1" x14ac:dyDescent="0.25">
      <c r="B91" s="156" t="s">
        <v>51</v>
      </c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</row>
    <row r="92" spans="1:14" x14ac:dyDescent="0.25">
      <c r="A92" s="1">
        <v>3</v>
      </c>
      <c r="B92" s="157" t="s">
        <v>70</v>
      </c>
      <c r="C92" s="177">
        <v>136126</v>
      </c>
      <c r="D92" s="177">
        <v>59047</v>
      </c>
      <c r="E92" s="177">
        <v>83402</v>
      </c>
      <c r="F92" s="177">
        <v>137757</v>
      </c>
      <c r="G92" s="177">
        <v>148334</v>
      </c>
      <c r="H92" s="177">
        <v>152300</v>
      </c>
      <c r="I92" s="178">
        <f>IFERROR(H92/G92-1,"-")</f>
        <v>2.6736958485579887E-2</v>
      </c>
      <c r="J92" s="178">
        <f>IFERROR(H92/E92-1,"-")</f>
        <v>0.82609529747488075</v>
      </c>
      <c r="K92" s="177">
        <f>H92-G92</f>
        <v>3966</v>
      </c>
      <c r="L92" s="177">
        <f>H92-E92</f>
        <v>68898</v>
      </c>
      <c r="M92" s="178">
        <f>H92/H$8</f>
        <v>4.2215556679332626E-3</v>
      </c>
      <c r="N92" s="81"/>
    </row>
    <row r="93" spans="1:14" x14ac:dyDescent="0.25">
      <c r="A93" s="1" t="s">
        <v>98</v>
      </c>
      <c r="B93" s="160" t="s">
        <v>99</v>
      </c>
      <c r="C93" s="161">
        <v>72932</v>
      </c>
      <c r="D93" s="161">
        <v>31800</v>
      </c>
      <c r="E93" s="161">
        <v>42063</v>
      </c>
      <c r="F93" s="161">
        <v>70951</v>
      </c>
      <c r="G93" s="161">
        <v>72432</v>
      </c>
      <c r="H93" s="161">
        <v>71061</v>
      </c>
      <c r="I93" s="162">
        <f>IFERROR(H93/G93-1,"-")</f>
        <v>-1.8928098078197508E-2</v>
      </c>
      <c r="J93" s="179">
        <f t="shared" ref="J93:J104" si="38">IFERROR(H93/E93-1,"-")</f>
        <v>0.68939447970900791</v>
      </c>
      <c r="K93" s="161">
        <f t="shared" ref="K93:K103" si="39">H93-G93</f>
        <v>-1371</v>
      </c>
      <c r="L93" s="161">
        <f t="shared" ref="L93:L104" si="40">H93-E93</f>
        <v>28998</v>
      </c>
      <c r="M93" s="162">
        <f>H93/H$8</f>
        <v>1.9697174479251845E-3</v>
      </c>
      <c r="N93" s="81"/>
    </row>
    <row r="94" spans="1:14" x14ac:dyDescent="0.25">
      <c r="A94" s="163" t="s">
        <v>105</v>
      </c>
      <c r="B94" s="164" t="s">
        <v>105</v>
      </c>
      <c r="C94" s="165">
        <v>33003</v>
      </c>
      <c r="D94" s="165">
        <v>15549</v>
      </c>
      <c r="E94" s="165">
        <v>20037</v>
      </c>
      <c r="F94" s="165">
        <v>30228</v>
      </c>
      <c r="G94" s="165">
        <v>19606</v>
      </c>
      <c r="H94" s="165">
        <v>21646</v>
      </c>
      <c r="I94" s="166">
        <f>IFERROR(H94/G94-1,"-")</f>
        <v>0.10404978067938386</v>
      </c>
      <c r="J94" s="180">
        <f t="shared" si="38"/>
        <v>8.0301442331686346E-2</v>
      </c>
      <c r="K94" s="165">
        <f t="shared" si="39"/>
        <v>2040</v>
      </c>
      <c r="L94" s="165">
        <f t="shared" si="40"/>
        <v>1609</v>
      </c>
      <c r="M94" s="166">
        <f>H94/H$8</f>
        <v>5.9999864732819042E-4</v>
      </c>
      <c r="N94" s="81"/>
    </row>
    <row r="95" spans="1:14" x14ac:dyDescent="0.25">
      <c r="A95" s="163" t="s">
        <v>102</v>
      </c>
      <c r="B95" s="164" t="s">
        <v>102</v>
      </c>
      <c r="C95" s="165">
        <v>39929</v>
      </c>
      <c r="D95" s="165">
        <v>16251</v>
      </c>
      <c r="E95" s="165">
        <v>22026</v>
      </c>
      <c r="F95" s="165">
        <v>40723</v>
      </c>
      <c r="G95" s="165">
        <v>52826</v>
      </c>
      <c r="H95" s="165">
        <v>49415</v>
      </c>
      <c r="I95" s="166">
        <f>IFERROR(H95/G95-1,"-")</f>
        <v>-6.4570476659220888E-2</v>
      </c>
      <c r="J95" s="180">
        <f t="shared" si="38"/>
        <v>1.2434849723054571</v>
      </c>
      <c r="K95" s="165">
        <f t="shared" si="39"/>
        <v>-3411</v>
      </c>
      <c r="L95" s="165">
        <f t="shared" si="40"/>
        <v>27389</v>
      </c>
      <c r="M95" s="166">
        <f>H95/H$8</f>
        <v>1.3697188005969939E-3</v>
      </c>
      <c r="N95" s="81"/>
    </row>
    <row r="96" spans="1:14" x14ac:dyDescent="0.25">
      <c r="A96" s="1"/>
      <c r="B96" s="160" t="s">
        <v>109</v>
      </c>
      <c r="C96" s="161">
        <v>63194</v>
      </c>
      <c r="D96" s="161">
        <v>27247</v>
      </c>
      <c r="E96" s="161">
        <v>41339</v>
      </c>
      <c r="F96" s="161">
        <v>66806</v>
      </c>
      <c r="G96" s="161">
        <v>75902</v>
      </c>
      <c r="H96" s="161">
        <v>81239</v>
      </c>
      <c r="I96" s="162">
        <f>IFERROR(H96/G96-1,"-")</f>
        <v>7.0314352717978368E-2</v>
      </c>
      <c r="J96" s="179">
        <f t="shared" si="38"/>
        <v>0.96519025617455667</v>
      </c>
      <c r="K96" s="161">
        <f t="shared" si="39"/>
        <v>5337</v>
      </c>
      <c r="L96" s="161">
        <f t="shared" si="40"/>
        <v>39900</v>
      </c>
      <c r="M96" s="162">
        <f>H96/H$8</f>
        <v>2.2518382200080785E-3</v>
      </c>
      <c r="N96" s="81"/>
    </row>
    <row r="97" spans="1:14" s="57" customFormat="1" x14ac:dyDescent="0.25">
      <c r="B97" s="164" t="s">
        <v>112</v>
      </c>
      <c r="C97" s="165">
        <v>8082</v>
      </c>
      <c r="D97" s="165">
        <v>5019</v>
      </c>
      <c r="E97" s="165">
        <v>3494</v>
      </c>
      <c r="F97" s="165">
        <v>9249</v>
      </c>
      <c r="G97" s="165">
        <v>11177</v>
      </c>
      <c r="H97" s="165">
        <v>12296</v>
      </c>
      <c r="I97" s="166">
        <f t="shared" ref="I97:I104" si="41">IFERROR(H97/G97-1,"-")</f>
        <v>0.10011631028003931</v>
      </c>
      <c r="J97" s="180">
        <f t="shared" si="38"/>
        <v>2.5191757298225528</v>
      </c>
      <c r="K97" s="165">
        <f t="shared" si="39"/>
        <v>1119</v>
      </c>
      <c r="L97" s="165">
        <f t="shared" si="40"/>
        <v>8802</v>
      </c>
      <c r="M97" s="166">
        <f t="shared" ref="M97:M104" si="42">H97/H$8</f>
        <v>3.4082894611232699E-4</v>
      </c>
      <c r="N97" s="167"/>
    </row>
    <row r="98" spans="1:14" s="57" customFormat="1" x14ac:dyDescent="0.25">
      <c r="B98" s="164" t="s">
        <v>115</v>
      </c>
      <c r="C98" s="165">
        <v>21366</v>
      </c>
      <c r="D98" s="165">
        <v>7473</v>
      </c>
      <c r="E98" s="165">
        <v>15393</v>
      </c>
      <c r="F98" s="165">
        <v>21050</v>
      </c>
      <c r="G98" s="165">
        <v>22639</v>
      </c>
      <c r="H98" s="165">
        <v>25055</v>
      </c>
      <c r="I98" s="166">
        <f t="shared" si="41"/>
        <v>0.10671849463315519</v>
      </c>
      <c r="J98" s="180">
        <f t="shared" si="38"/>
        <v>0.6276879100890016</v>
      </c>
      <c r="K98" s="165">
        <f t="shared" si="39"/>
        <v>2416</v>
      </c>
      <c r="L98" s="165">
        <f t="shared" si="40"/>
        <v>9662</v>
      </c>
      <c r="M98" s="166">
        <f t="shared" si="42"/>
        <v>6.9449164320464806E-4</v>
      </c>
      <c r="N98" s="167"/>
    </row>
    <row r="99" spans="1:14" x14ac:dyDescent="0.25">
      <c r="A99" s="1"/>
      <c r="B99" s="164" t="s">
        <v>118</v>
      </c>
      <c r="C99" s="165">
        <v>8657</v>
      </c>
      <c r="D99" s="165">
        <v>4658</v>
      </c>
      <c r="E99" s="165">
        <v>7148</v>
      </c>
      <c r="F99" s="165">
        <v>7881</v>
      </c>
      <c r="G99" s="165">
        <v>8902</v>
      </c>
      <c r="H99" s="165">
        <v>9750</v>
      </c>
      <c r="I99" s="166">
        <f t="shared" si="41"/>
        <v>9.5259492248932931E-2</v>
      </c>
      <c r="J99" s="180">
        <f t="shared" si="38"/>
        <v>0.36401790710688298</v>
      </c>
      <c r="K99" s="165">
        <f t="shared" si="39"/>
        <v>848</v>
      </c>
      <c r="L99" s="165">
        <f t="shared" si="40"/>
        <v>2602</v>
      </c>
      <c r="M99" s="166">
        <f t="shared" si="42"/>
        <v>2.7025717506467048E-4</v>
      </c>
      <c r="N99" s="81"/>
    </row>
    <row r="100" spans="1:14" x14ac:dyDescent="0.25">
      <c r="A100" s="1"/>
      <c r="B100" s="164" t="s">
        <v>125</v>
      </c>
      <c r="C100" s="165">
        <v>2390</v>
      </c>
      <c r="D100" s="165">
        <v>940</v>
      </c>
      <c r="E100" s="165">
        <v>1385</v>
      </c>
      <c r="F100" s="165">
        <v>4981</v>
      </c>
      <c r="G100" s="165">
        <v>3623</v>
      </c>
      <c r="H100" s="165">
        <v>3800</v>
      </c>
      <c r="I100" s="166">
        <f t="shared" si="41"/>
        <v>4.8854540436102711E-2</v>
      </c>
      <c r="J100" s="180">
        <f t="shared" si="38"/>
        <v>1.743682310469314</v>
      </c>
      <c r="K100" s="165">
        <f t="shared" si="39"/>
        <v>177</v>
      </c>
      <c r="L100" s="165">
        <f t="shared" si="40"/>
        <v>2415</v>
      </c>
      <c r="M100" s="166">
        <f t="shared" si="42"/>
        <v>1.0533100156366643E-4</v>
      </c>
      <c r="N100" s="81"/>
    </row>
    <row r="101" spans="1:14" x14ac:dyDescent="0.25">
      <c r="A101" s="1"/>
      <c r="B101" s="164" t="s">
        <v>121</v>
      </c>
      <c r="C101" s="165">
        <v>1298</v>
      </c>
      <c r="D101" s="165">
        <v>788</v>
      </c>
      <c r="E101" s="165">
        <v>1315</v>
      </c>
      <c r="F101" s="165">
        <v>1892</v>
      </c>
      <c r="G101" s="165">
        <v>1812</v>
      </c>
      <c r="H101" s="165">
        <v>2358</v>
      </c>
      <c r="I101" s="166">
        <f t="shared" si="41"/>
        <v>0.30132450331125837</v>
      </c>
      <c r="J101" s="180">
        <f t="shared" si="38"/>
        <v>0.79315589353612159</v>
      </c>
      <c r="K101" s="165">
        <f t="shared" si="39"/>
        <v>546</v>
      </c>
      <c r="L101" s="165">
        <f t="shared" si="40"/>
        <v>1043</v>
      </c>
      <c r="M101" s="166">
        <f t="shared" si="42"/>
        <v>6.5360658338717225E-5</v>
      </c>
      <c r="N101" s="81"/>
    </row>
    <row r="102" spans="1:14" x14ac:dyDescent="0.25">
      <c r="A102" s="1"/>
      <c r="B102" s="164" t="s">
        <v>130</v>
      </c>
      <c r="C102" s="165">
        <v>444</v>
      </c>
      <c r="D102" s="165">
        <v>599</v>
      </c>
      <c r="E102" s="165">
        <v>275</v>
      </c>
      <c r="F102" s="165">
        <v>817</v>
      </c>
      <c r="G102" s="165">
        <v>420</v>
      </c>
      <c r="H102" s="165">
        <v>782</v>
      </c>
      <c r="I102" s="166">
        <f t="shared" si="41"/>
        <v>0.86190476190476195</v>
      </c>
      <c r="J102" s="180">
        <f t="shared" si="38"/>
        <v>1.8436363636363637</v>
      </c>
      <c r="K102" s="165">
        <f t="shared" si="39"/>
        <v>362</v>
      </c>
      <c r="L102" s="165">
        <f t="shared" si="40"/>
        <v>507</v>
      </c>
      <c r="M102" s="166">
        <f t="shared" si="42"/>
        <v>2.1676011374417671E-5</v>
      </c>
      <c r="N102" s="81"/>
    </row>
    <row r="103" spans="1:14" x14ac:dyDescent="0.25">
      <c r="A103" s="163" t="s">
        <v>146</v>
      </c>
      <c r="B103" s="164" t="s">
        <v>133</v>
      </c>
      <c r="C103" s="165">
        <v>699</v>
      </c>
      <c r="D103" s="165">
        <v>259</v>
      </c>
      <c r="E103" s="165">
        <v>259</v>
      </c>
      <c r="F103" s="165">
        <v>385</v>
      </c>
      <c r="G103" s="165">
        <v>950</v>
      </c>
      <c r="H103" s="165">
        <v>1244</v>
      </c>
      <c r="I103" s="166">
        <f t="shared" si="41"/>
        <v>0.30947368421052635</v>
      </c>
      <c r="J103" s="180">
        <f t="shared" si="38"/>
        <v>3.8030888030888033</v>
      </c>
      <c r="K103" s="165">
        <f t="shared" si="39"/>
        <v>294</v>
      </c>
      <c r="L103" s="165">
        <f t="shared" si="40"/>
        <v>985</v>
      </c>
      <c r="M103" s="166">
        <f t="shared" si="42"/>
        <v>3.4482043669789748E-5</v>
      </c>
      <c r="N103" s="81"/>
    </row>
    <row r="104" spans="1:14" x14ac:dyDescent="0.25">
      <c r="A104" s="168" t="s">
        <v>147</v>
      </c>
      <c r="B104" s="169" t="s">
        <v>147</v>
      </c>
      <c r="C104" s="170">
        <f t="shared" ref="C104:H104" si="43">C96-SUM(C97:C103)</f>
        <v>20258</v>
      </c>
      <c r="D104" s="170">
        <f t="shared" si="43"/>
        <v>7511</v>
      </c>
      <c r="E104" s="170">
        <f t="shared" si="43"/>
        <v>12070</v>
      </c>
      <c r="F104" s="170">
        <f t="shared" si="43"/>
        <v>20551</v>
      </c>
      <c r="G104" s="170">
        <f t="shared" si="43"/>
        <v>26379</v>
      </c>
      <c r="H104" s="170">
        <f t="shared" si="43"/>
        <v>25954</v>
      </c>
      <c r="I104" s="171">
        <f t="shared" si="41"/>
        <v>-1.6111300655824667E-2</v>
      </c>
      <c r="J104" s="181">
        <f t="shared" si="38"/>
        <v>1.1502899751449878</v>
      </c>
      <c r="K104" s="170">
        <f>H104-G104</f>
        <v>-425</v>
      </c>
      <c r="L104" s="170">
        <f t="shared" si="40"/>
        <v>13884</v>
      </c>
      <c r="M104" s="171">
        <f t="shared" si="42"/>
        <v>7.1941074067984176E-4</v>
      </c>
      <c r="N104" s="81"/>
    </row>
    <row r="105" spans="1:14" s="147" customFormat="1" x14ac:dyDescent="0.25">
      <c r="B105" s="156" t="s">
        <v>52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</row>
    <row r="106" spans="1:14" x14ac:dyDescent="0.25">
      <c r="A106" s="1">
        <v>3</v>
      </c>
      <c r="B106" s="157" t="s">
        <v>70</v>
      </c>
      <c r="C106" s="177">
        <v>1055815</v>
      </c>
      <c r="D106" s="177">
        <v>442013</v>
      </c>
      <c r="E106" s="177">
        <v>749212</v>
      </c>
      <c r="F106" s="177">
        <v>1316064</v>
      </c>
      <c r="G106" s="177">
        <v>1447168</v>
      </c>
      <c r="H106" s="177">
        <v>1453294</v>
      </c>
      <c r="I106" s="178">
        <f>IFERROR(H106/G106-1,"-")</f>
        <v>4.2330952591544957E-3</v>
      </c>
      <c r="J106" s="178">
        <f>IFERROR(H106/E106-1,"-")</f>
        <v>0.9397633780558774</v>
      </c>
      <c r="K106" s="177">
        <f>H106-G106</f>
        <v>6126</v>
      </c>
      <c r="L106" s="177">
        <f>H106-E106</f>
        <v>704082</v>
      </c>
      <c r="M106" s="178">
        <f>H106/H$8</f>
        <v>4.0283398049070274E-2</v>
      </c>
      <c r="N106" s="81"/>
    </row>
    <row r="107" spans="1:14" x14ac:dyDescent="0.25">
      <c r="A107" s="1" t="s">
        <v>98</v>
      </c>
      <c r="B107" s="160" t="s">
        <v>99</v>
      </c>
      <c r="C107" s="161">
        <v>162637</v>
      </c>
      <c r="D107" s="161">
        <v>125264</v>
      </c>
      <c r="E107" s="161">
        <v>199003</v>
      </c>
      <c r="F107" s="161">
        <v>220579</v>
      </c>
      <c r="G107" s="161">
        <v>219096</v>
      </c>
      <c r="H107" s="161">
        <v>207819</v>
      </c>
      <c r="I107" s="162">
        <f>IFERROR(H107/G107-1,"-")</f>
        <v>-5.1470588235294157E-2</v>
      </c>
      <c r="J107" s="179">
        <f t="shared" ref="J107:J118" si="44">IFERROR(H107/E107-1,"-")</f>
        <v>4.4300839685833981E-2</v>
      </c>
      <c r="K107" s="161">
        <f t="shared" ref="K107:K117" si="45">H107-G107</f>
        <v>-11277</v>
      </c>
      <c r="L107" s="161">
        <f t="shared" ref="L107:L118" si="46">H107-E107</f>
        <v>8816</v>
      </c>
      <c r="M107" s="162">
        <f>H107/H$8</f>
        <v>5.7604693194630513E-3</v>
      </c>
      <c r="N107" s="81"/>
    </row>
    <row r="108" spans="1:14" x14ac:dyDescent="0.25">
      <c r="A108" s="163" t="s">
        <v>105</v>
      </c>
      <c r="B108" s="164" t="s">
        <v>105</v>
      </c>
      <c r="C108" s="165">
        <v>42419</v>
      </c>
      <c r="D108" s="165">
        <v>16702</v>
      </c>
      <c r="E108" s="165">
        <v>106031</v>
      </c>
      <c r="F108" s="165">
        <v>75504</v>
      </c>
      <c r="G108" s="165">
        <v>57419</v>
      </c>
      <c r="H108" s="165">
        <v>59079</v>
      </c>
      <c r="I108" s="166">
        <f>IFERROR(H108/G108-1,"-")</f>
        <v>2.8910291018652279E-2</v>
      </c>
      <c r="J108" s="180">
        <f t="shared" si="44"/>
        <v>-0.44281389404985338</v>
      </c>
      <c r="K108" s="165">
        <f t="shared" si="45"/>
        <v>1660</v>
      </c>
      <c r="L108" s="165">
        <f t="shared" si="46"/>
        <v>-46952</v>
      </c>
      <c r="M108" s="166">
        <f>H108/H$8</f>
        <v>1.6375921687841709E-3</v>
      </c>
      <c r="N108" s="81"/>
    </row>
    <row r="109" spans="1:14" x14ac:dyDescent="0.25">
      <c r="A109" s="163" t="s">
        <v>102</v>
      </c>
      <c r="B109" s="164" t="s">
        <v>102</v>
      </c>
      <c r="C109" s="165">
        <v>120218</v>
      </c>
      <c r="D109" s="165">
        <v>108562</v>
      </c>
      <c r="E109" s="165">
        <v>92972</v>
      </c>
      <c r="F109" s="165">
        <v>145075</v>
      </c>
      <c r="G109" s="165">
        <v>161677</v>
      </c>
      <c r="H109" s="165">
        <v>148740</v>
      </c>
      <c r="I109" s="166">
        <f>IFERROR(H109/G109-1,"-")</f>
        <v>-8.0017565887541164E-2</v>
      </c>
      <c r="J109" s="180">
        <f t="shared" si="44"/>
        <v>0.59983650991696424</v>
      </c>
      <c r="K109" s="165">
        <f t="shared" si="45"/>
        <v>-12937</v>
      </c>
      <c r="L109" s="165">
        <f t="shared" si="46"/>
        <v>55768</v>
      </c>
      <c r="M109" s="166">
        <f>H109/H$8</f>
        <v>4.1228771506788804E-3</v>
      </c>
      <c r="N109" s="81"/>
    </row>
    <row r="110" spans="1:14" x14ac:dyDescent="0.25">
      <c r="A110" s="1"/>
      <c r="B110" s="160" t="s">
        <v>109</v>
      </c>
      <c r="C110" s="161">
        <v>893178</v>
      </c>
      <c r="D110" s="161">
        <v>316749</v>
      </c>
      <c r="E110" s="161">
        <v>550209</v>
      </c>
      <c r="F110" s="161">
        <v>1095485</v>
      </c>
      <c r="G110" s="161">
        <v>1228072</v>
      </c>
      <c r="H110" s="161">
        <v>1245475</v>
      </c>
      <c r="I110" s="162">
        <f>IFERROR(H110/G110-1,"-")</f>
        <v>1.4170993231667151E-2</v>
      </c>
      <c r="J110" s="179">
        <f t="shared" si="44"/>
        <v>1.2636398168695897</v>
      </c>
      <c r="K110" s="161">
        <f t="shared" si="45"/>
        <v>17403</v>
      </c>
      <c r="L110" s="161">
        <f t="shared" si="46"/>
        <v>695266</v>
      </c>
      <c r="M110" s="162">
        <f>H110/H$8</f>
        <v>3.4522928729607223E-2</v>
      </c>
      <c r="N110" s="81"/>
    </row>
    <row r="111" spans="1:14" s="57" customFormat="1" x14ac:dyDescent="0.25">
      <c r="B111" s="164" t="s">
        <v>112</v>
      </c>
      <c r="C111" s="165">
        <v>476582</v>
      </c>
      <c r="D111" s="165">
        <v>181253</v>
      </c>
      <c r="E111" s="165">
        <v>251557</v>
      </c>
      <c r="F111" s="165">
        <v>673877</v>
      </c>
      <c r="G111" s="165">
        <v>775590</v>
      </c>
      <c r="H111" s="165">
        <v>761721</v>
      </c>
      <c r="I111" s="166">
        <f t="shared" ref="I111:I118" si="47">IFERROR(H111/G111-1,"-")</f>
        <v>-1.7881870575948589E-2</v>
      </c>
      <c r="J111" s="180">
        <f t="shared" si="44"/>
        <v>2.0280254574509953</v>
      </c>
      <c r="K111" s="165">
        <f t="shared" si="45"/>
        <v>-13869</v>
      </c>
      <c r="L111" s="165">
        <f t="shared" si="46"/>
        <v>510164</v>
      </c>
      <c r="M111" s="166">
        <f t="shared" ref="M111:M118" si="48">H111/H$8</f>
        <v>2.111390416896778E-2</v>
      </c>
      <c r="N111" s="167"/>
    </row>
    <row r="112" spans="1:14" s="57" customFormat="1" x14ac:dyDescent="0.25">
      <c r="B112" s="164" t="s">
        <v>115</v>
      </c>
      <c r="C112" s="165">
        <v>91753</v>
      </c>
      <c r="D112" s="165">
        <v>22554</v>
      </c>
      <c r="E112" s="165">
        <v>57079</v>
      </c>
      <c r="F112" s="165">
        <v>45927</v>
      </c>
      <c r="G112" s="165">
        <v>60304</v>
      </c>
      <c r="H112" s="165">
        <v>60756</v>
      </c>
      <c r="I112" s="166">
        <f t="shared" si="47"/>
        <v>7.4953568585831576E-3</v>
      </c>
      <c r="J112" s="180">
        <f t="shared" si="44"/>
        <v>6.4419488778710177E-2</v>
      </c>
      <c r="K112" s="165">
        <f t="shared" si="45"/>
        <v>452</v>
      </c>
      <c r="L112" s="165">
        <f t="shared" si="46"/>
        <v>3677</v>
      </c>
      <c r="M112" s="166">
        <f t="shared" si="48"/>
        <v>1.6840764028952942E-3</v>
      </c>
      <c r="N112" s="167"/>
    </row>
    <row r="113" spans="1:14" x14ac:dyDescent="0.25">
      <c r="A113" s="1"/>
      <c r="B113" s="164" t="s">
        <v>118</v>
      </c>
      <c r="C113" s="165">
        <v>92528</v>
      </c>
      <c r="D113" s="165">
        <v>13883</v>
      </c>
      <c r="E113" s="165">
        <v>67210</v>
      </c>
      <c r="F113" s="165">
        <v>65652</v>
      </c>
      <c r="G113" s="165">
        <v>76293</v>
      </c>
      <c r="H113" s="165">
        <v>85229</v>
      </c>
      <c r="I113" s="166">
        <f t="shared" si="47"/>
        <v>0.1171273904552188</v>
      </c>
      <c r="J113" s="180">
        <f t="shared" si="44"/>
        <v>0.26809998512126176</v>
      </c>
      <c r="K113" s="165">
        <f t="shared" si="45"/>
        <v>8936</v>
      </c>
      <c r="L113" s="165">
        <f t="shared" si="46"/>
        <v>18019</v>
      </c>
      <c r="M113" s="166">
        <f t="shared" si="48"/>
        <v>2.362435771649928E-3</v>
      </c>
      <c r="N113" s="81"/>
    </row>
    <row r="114" spans="1:14" x14ac:dyDescent="0.25">
      <c r="A114" s="1"/>
      <c r="B114" s="164" t="s">
        <v>125</v>
      </c>
      <c r="C114" s="165">
        <v>18644</v>
      </c>
      <c r="D114" s="165">
        <v>9005</v>
      </c>
      <c r="E114" s="165">
        <v>29461</v>
      </c>
      <c r="F114" s="165">
        <v>41263</v>
      </c>
      <c r="G114" s="165">
        <v>42135</v>
      </c>
      <c r="H114" s="165">
        <v>41377</v>
      </c>
      <c r="I114" s="166">
        <f t="shared" si="47"/>
        <v>-1.7989794707487849E-2</v>
      </c>
      <c r="J114" s="180">
        <f t="shared" si="44"/>
        <v>0.40446692237194926</v>
      </c>
      <c r="K114" s="165">
        <f t="shared" si="45"/>
        <v>-758</v>
      </c>
      <c r="L114" s="165">
        <f t="shared" si="46"/>
        <v>11916</v>
      </c>
      <c r="M114" s="166">
        <f t="shared" si="48"/>
        <v>1.1469160136052174E-3</v>
      </c>
      <c r="N114" s="81"/>
    </row>
    <row r="115" spans="1:14" x14ac:dyDescent="0.25">
      <c r="A115" s="1"/>
      <c r="B115" s="164" t="s">
        <v>121</v>
      </c>
      <c r="C115" s="165">
        <v>29965</v>
      </c>
      <c r="D115" s="165">
        <v>19818</v>
      </c>
      <c r="E115" s="165">
        <v>36897</v>
      </c>
      <c r="F115" s="165">
        <v>41249</v>
      </c>
      <c r="G115" s="165">
        <v>42266</v>
      </c>
      <c r="H115" s="165">
        <v>33197</v>
      </c>
      <c r="I115" s="166">
        <f t="shared" si="47"/>
        <v>-0.21456963043581134</v>
      </c>
      <c r="J115" s="180">
        <f t="shared" si="44"/>
        <v>-0.10027915548689592</v>
      </c>
      <c r="K115" s="165">
        <f t="shared" si="45"/>
        <v>-9069</v>
      </c>
      <c r="L115" s="165">
        <f t="shared" si="46"/>
        <v>-3700</v>
      </c>
      <c r="M115" s="166">
        <f t="shared" si="48"/>
        <v>9.2017717339711437E-4</v>
      </c>
      <c r="N115" s="81"/>
    </row>
    <row r="116" spans="1:14" x14ac:dyDescent="0.25">
      <c r="A116" s="1"/>
      <c r="B116" s="164" t="s">
        <v>130</v>
      </c>
      <c r="C116" s="165">
        <v>5890</v>
      </c>
      <c r="D116" s="165">
        <v>2343</v>
      </c>
      <c r="E116" s="165">
        <v>2314</v>
      </c>
      <c r="F116" s="165">
        <v>11983</v>
      </c>
      <c r="G116" s="165">
        <v>11780</v>
      </c>
      <c r="H116" s="165">
        <v>11633</v>
      </c>
      <c r="I116" s="166">
        <f t="shared" si="47"/>
        <v>-1.2478777589134071E-2</v>
      </c>
      <c r="J116" s="180">
        <f t="shared" si="44"/>
        <v>4.0272255834053583</v>
      </c>
      <c r="K116" s="165">
        <f t="shared" si="45"/>
        <v>-147</v>
      </c>
      <c r="L116" s="165">
        <f t="shared" si="46"/>
        <v>9319</v>
      </c>
      <c r="M116" s="166">
        <f t="shared" si="48"/>
        <v>3.2245145820792941E-4</v>
      </c>
      <c r="N116" s="81"/>
    </row>
    <row r="117" spans="1:14" x14ac:dyDescent="0.25">
      <c r="A117" s="163" t="s">
        <v>146</v>
      </c>
      <c r="B117" s="164" t="s">
        <v>133</v>
      </c>
      <c r="C117" s="165">
        <v>13480</v>
      </c>
      <c r="D117" s="165">
        <v>7286</v>
      </c>
      <c r="E117" s="165">
        <v>3610</v>
      </c>
      <c r="F117" s="165">
        <v>7507</v>
      </c>
      <c r="G117" s="165">
        <v>7656</v>
      </c>
      <c r="H117" s="165">
        <v>10984</v>
      </c>
      <c r="I117" s="166">
        <f t="shared" si="47"/>
        <v>0.4346917450365726</v>
      </c>
      <c r="J117" s="180">
        <f t="shared" si="44"/>
        <v>2.0426592797783933</v>
      </c>
      <c r="K117" s="165">
        <f t="shared" si="45"/>
        <v>3328</v>
      </c>
      <c r="L117" s="165">
        <f t="shared" si="46"/>
        <v>7374</v>
      </c>
      <c r="M117" s="166">
        <f t="shared" si="48"/>
        <v>3.0446203188824001E-4</v>
      </c>
      <c r="N117" s="81"/>
    </row>
    <row r="118" spans="1:14" x14ac:dyDescent="0.25">
      <c r="A118" s="168" t="s">
        <v>147</v>
      </c>
      <c r="B118" s="169" t="s">
        <v>147</v>
      </c>
      <c r="C118" s="170">
        <f t="shared" ref="C118:H118" si="49">C110-SUM(C111:C117)</f>
        <v>164336</v>
      </c>
      <c r="D118" s="170">
        <f t="shared" si="49"/>
        <v>60607</v>
      </c>
      <c r="E118" s="170">
        <f t="shared" si="49"/>
        <v>102081</v>
      </c>
      <c r="F118" s="170">
        <f t="shared" si="49"/>
        <v>208027</v>
      </c>
      <c r="G118" s="170">
        <f t="shared" si="49"/>
        <v>212048</v>
      </c>
      <c r="H118" s="170">
        <f t="shared" si="49"/>
        <v>240578</v>
      </c>
      <c r="I118" s="171">
        <f t="shared" si="47"/>
        <v>0.13454500867728059</v>
      </c>
      <c r="J118" s="181">
        <f t="shared" si="44"/>
        <v>1.3567363172382714</v>
      </c>
      <c r="K118" s="170">
        <f>H118-G118</f>
        <v>28530</v>
      </c>
      <c r="L118" s="170">
        <f t="shared" si="46"/>
        <v>138497</v>
      </c>
      <c r="M118" s="171">
        <f t="shared" si="48"/>
        <v>6.6685057089957223E-3</v>
      </c>
      <c r="N118" s="81"/>
    </row>
    <row r="119" spans="1:14" s="147" customFormat="1" x14ac:dyDescent="0.25">
      <c r="B119" s="156" t="s">
        <v>53</v>
      </c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</row>
    <row r="120" spans="1:14" x14ac:dyDescent="0.25">
      <c r="A120" s="1">
        <v>3</v>
      </c>
      <c r="B120" s="157" t="s">
        <v>70</v>
      </c>
      <c r="C120" s="177">
        <v>503437</v>
      </c>
      <c r="D120" s="177">
        <v>216673</v>
      </c>
      <c r="E120" s="177">
        <v>359169</v>
      </c>
      <c r="F120" s="177">
        <v>543499</v>
      </c>
      <c r="G120" s="177">
        <v>576462</v>
      </c>
      <c r="H120" s="177">
        <v>584273</v>
      </c>
      <c r="I120" s="178">
        <f>IFERROR(H120/G120-1,"-")</f>
        <v>1.3549895743344642E-2</v>
      </c>
      <c r="J120" s="178">
        <f>IFERROR(H120/E120-1,"-")</f>
        <v>0.6267356035738052</v>
      </c>
      <c r="K120" s="177">
        <f>H120-G120</f>
        <v>7811</v>
      </c>
      <c r="L120" s="177">
        <f>H120-E120</f>
        <v>225104</v>
      </c>
      <c r="M120" s="178">
        <f>H120/H$8</f>
        <v>1.6195279020160019E-2</v>
      </c>
      <c r="N120" s="81"/>
    </row>
    <row r="121" spans="1:14" x14ac:dyDescent="0.25">
      <c r="A121" s="1" t="s">
        <v>98</v>
      </c>
      <c r="B121" s="160" t="s">
        <v>99</v>
      </c>
      <c r="C121" s="161">
        <v>235408</v>
      </c>
      <c r="D121" s="161">
        <v>116562</v>
      </c>
      <c r="E121" s="161">
        <v>206631</v>
      </c>
      <c r="F121" s="161">
        <v>271944</v>
      </c>
      <c r="G121" s="161">
        <v>302350</v>
      </c>
      <c r="H121" s="161">
        <v>308399</v>
      </c>
      <c r="I121" s="162">
        <f>IFERROR(H121/G121-1,"-")</f>
        <v>2.0006614850339055E-2</v>
      </c>
      <c r="J121" s="179">
        <f t="shared" ref="J121:J132" si="50">IFERROR(H121/E121-1,"-")</f>
        <v>0.49251080428396521</v>
      </c>
      <c r="K121" s="161">
        <f t="shared" ref="K121:K131" si="51">H121-G121</f>
        <v>6049</v>
      </c>
      <c r="L121" s="161">
        <f t="shared" ref="L121:L132" si="52">H121-E121</f>
        <v>101768</v>
      </c>
      <c r="M121" s="162">
        <f>H121/H$8</f>
        <v>8.5484146187455694E-3</v>
      </c>
      <c r="N121" s="81"/>
    </row>
    <row r="122" spans="1:14" x14ac:dyDescent="0.25">
      <c r="A122" s="163" t="s">
        <v>105</v>
      </c>
      <c r="B122" s="164" t="s">
        <v>105</v>
      </c>
      <c r="C122" s="165">
        <v>110711</v>
      </c>
      <c r="D122" s="165">
        <v>45374</v>
      </c>
      <c r="E122" s="165">
        <v>96469</v>
      </c>
      <c r="F122" s="165">
        <v>128559</v>
      </c>
      <c r="G122" s="165">
        <v>120954</v>
      </c>
      <c r="H122" s="165">
        <v>133909</v>
      </c>
      <c r="I122" s="166">
        <f>IFERROR(H122/G122-1,"-")</f>
        <v>0.10710683400300947</v>
      </c>
      <c r="J122" s="180">
        <f t="shared" si="50"/>
        <v>0.38810395049186774</v>
      </c>
      <c r="K122" s="165">
        <f t="shared" si="51"/>
        <v>12955</v>
      </c>
      <c r="L122" s="165">
        <f t="shared" si="52"/>
        <v>37440</v>
      </c>
      <c r="M122" s="166">
        <f>H122/H$8</f>
        <v>3.7117813390497392E-3</v>
      </c>
      <c r="N122" s="81"/>
    </row>
    <row r="123" spans="1:14" x14ac:dyDescent="0.25">
      <c r="A123" s="163" t="s">
        <v>102</v>
      </c>
      <c r="B123" s="164" t="s">
        <v>102</v>
      </c>
      <c r="C123" s="165">
        <v>124697</v>
      </c>
      <c r="D123" s="165">
        <v>71188</v>
      </c>
      <c r="E123" s="165">
        <v>110162</v>
      </c>
      <c r="F123" s="165">
        <v>143385</v>
      </c>
      <c r="G123" s="165">
        <v>181396</v>
      </c>
      <c r="H123" s="165">
        <v>174490</v>
      </c>
      <c r="I123" s="166">
        <f>IFERROR(H123/G123-1,"-")</f>
        <v>-3.807140179496793E-2</v>
      </c>
      <c r="J123" s="180">
        <f t="shared" si="50"/>
        <v>0.58394001561336939</v>
      </c>
      <c r="K123" s="165">
        <f t="shared" si="51"/>
        <v>-6906</v>
      </c>
      <c r="L123" s="165">
        <f t="shared" si="52"/>
        <v>64328</v>
      </c>
      <c r="M123" s="166">
        <f>H123/H$8</f>
        <v>4.8366332796958306E-3</v>
      </c>
      <c r="N123" s="81"/>
    </row>
    <row r="124" spans="1:14" x14ac:dyDescent="0.25">
      <c r="A124" s="1"/>
      <c r="B124" s="160" t="s">
        <v>109</v>
      </c>
      <c r="C124" s="161">
        <v>268029</v>
      </c>
      <c r="D124" s="161">
        <v>100111</v>
      </c>
      <c r="E124" s="161">
        <v>152538</v>
      </c>
      <c r="F124" s="161">
        <v>271555</v>
      </c>
      <c r="G124" s="161">
        <v>274112</v>
      </c>
      <c r="H124" s="161">
        <v>275874</v>
      </c>
      <c r="I124" s="162">
        <f>IFERROR(H124/G124-1,"-")</f>
        <v>6.4280294186318532E-3</v>
      </c>
      <c r="J124" s="179">
        <f t="shared" si="50"/>
        <v>0.80855917869645588</v>
      </c>
      <c r="K124" s="161">
        <f t="shared" si="51"/>
        <v>1762</v>
      </c>
      <c r="L124" s="161">
        <f t="shared" si="52"/>
        <v>123336</v>
      </c>
      <c r="M124" s="162">
        <f>H124/H$8</f>
        <v>7.6468644014144509E-3</v>
      </c>
      <c r="N124" s="81"/>
    </row>
    <row r="125" spans="1:14" s="57" customFormat="1" x14ac:dyDescent="0.25">
      <c r="B125" s="164" t="s">
        <v>112</v>
      </c>
      <c r="C125" s="165">
        <v>33000</v>
      </c>
      <c r="D125" s="165">
        <v>11431</v>
      </c>
      <c r="E125" s="165">
        <v>11117</v>
      </c>
      <c r="F125" s="165">
        <v>33351</v>
      </c>
      <c r="G125" s="165">
        <v>40267</v>
      </c>
      <c r="H125" s="165">
        <v>36521</v>
      </c>
      <c r="I125" s="166">
        <f t="shared" ref="I125:I132" si="53">IFERROR(H125/G125-1,"-")</f>
        <v>-9.3029031216628977E-2</v>
      </c>
      <c r="J125" s="180">
        <f t="shared" si="50"/>
        <v>2.2851488710983179</v>
      </c>
      <c r="K125" s="165">
        <f t="shared" si="51"/>
        <v>-3746</v>
      </c>
      <c r="L125" s="165">
        <f t="shared" si="52"/>
        <v>25404</v>
      </c>
      <c r="M125" s="166">
        <f t="shared" ref="M125:M132" si="54">H125/H$8</f>
        <v>1.0123140810807006E-3</v>
      </c>
      <c r="N125" s="167"/>
    </row>
    <row r="126" spans="1:14" s="57" customFormat="1" x14ac:dyDescent="0.25">
      <c r="B126" s="164" t="s">
        <v>115</v>
      </c>
      <c r="C126" s="165">
        <v>30865</v>
      </c>
      <c r="D126" s="165">
        <v>11548</v>
      </c>
      <c r="E126" s="165">
        <v>23428</v>
      </c>
      <c r="F126" s="165">
        <v>34791</v>
      </c>
      <c r="G126" s="165">
        <v>43445</v>
      </c>
      <c r="H126" s="165">
        <v>42161</v>
      </c>
      <c r="I126" s="166">
        <f t="shared" si="53"/>
        <v>-2.9554609276096211E-2</v>
      </c>
      <c r="J126" s="180">
        <f t="shared" si="50"/>
        <v>0.79959877070172447</v>
      </c>
      <c r="K126" s="165">
        <f t="shared" si="51"/>
        <v>-1284</v>
      </c>
      <c r="L126" s="165">
        <f t="shared" si="52"/>
        <v>18733</v>
      </c>
      <c r="M126" s="166">
        <f t="shared" si="54"/>
        <v>1.1686474623488791E-3</v>
      </c>
      <c r="N126" s="167"/>
    </row>
    <row r="127" spans="1:14" x14ac:dyDescent="0.25">
      <c r="A127" s="1"/>
      <c r="B127" s="164" t="s">
        <v>118</v>
      </c>
      <c r="C127" s="165">
        <v>20310</v>
      </c>
      <c r="D127" s="165">
        <v>7014</v>
      </c>
      <c r="E127" s="165">
        <v>18250</v>
      </c>
      <c r="F127" s="165">
        <v>23874</v>
      </c>
      <c r="G127" s="165">
        <v>26737</v>
      </c>
      <c r="H127" s="165">
        <v>26375</v>
      </c>
      <c r="I127" s="166">
        <f t="shared" si="53"/>
        <v>-1.3539290122302372E-2</v>
      </c>
      <c r="J127" s="180">
        <f t="shared" si="50"/>
        <v>0.4452054794520548</v>
      </c>
      <c r="K127" s="165">
        <f t="shared" si="51"/>
        <v>-362</v>
      </c>
      <c r="L127" s="165">
        <f t="shared" si="52"/>
        <v>8125</v>
      </c>
      <c r="M127" s="166">
        <f t="shared" si="54"/>
        <v>7.3108030690571108E-4</v>
      </c>
      <c r="N127" s="81"/>
    </row>
    <row r="128" spans="1:14" x14ac:dyDescent="0.25">
      <c r="A128" s="1"/>
      <c r="B128" s="164" t="s">
        <v>125</v>
      </c>
      <c r="C128" s="165">
        <v>4930</v>
      </c>
      <c r="D128" s="165">
        <v>1882</v>
      </c>
      <c r="E128" s="165">
        <v>3678</v>
      </c>
      <c r="F128" s="165">
        <v>6463</v>
      </c>
      <c r="G128" s="165">
        <v>7383</v>
      </c>
      <c r="H128" s="165">
        <v>7428</v>
      </c>
      <c r="I128" s="166">
        <f t="shared" si="53"/>
        <v>6.0950832994717263E-3</v>
      </c>
      <c r="J128" s="180">
        <f t="shared" si="50"/>
        <v>1.0195758564437196</v>
      </c>
      <c r="K128" s="165">
        <f t="shared" si="51"/>
        <v>45</v>
      </c>
      <c r="L128" s="165">
        <f t="shared" si="52"/>
        <v>3750</v>
      </c>
      <c r="M128" s="166">
        <f t="shared" si="54"/>
        <v>2.0589438937234587E-4</v>
      </c>
      <c r="N128" s="81"/>
    </row>
    <row r="129" spans="1:14" x14ac:dyDescent="0.25">
      <c r="A129" s="1"/>
      <c r="B129" s="164" t="s">
        <v>121</v>
      </c>
      <c r="C129" s="165">
        <v>3923</v>
      </c>
      <c r="D129" s="165">
        <v>1919</v>
      </c>
      <c r="E129" s="165">
        <v>3450</v>
      </c>
      <c r="F129" s="165">
        <v>4851</v>
      </c>
      <c r="G129" s="165">
        <v>5958</v>
      </c>
      <c r="H129" s="165">
        <v>5916</v>
      </c>
      <c r="I129" s="166">
        <f t="shared" si="53"/>
        <v>-7.0493454179254567E-3</v>
      </c>
      <c r="J129" s="180">
        <f t="shared" si="50"/>
        <v>0.71478260869565213</v>
      </c>
      <c r="K129" s="165">
        <f t="shared" si="51"/>
        <v>-42</v>
      </c>
      <c r="L129" s="165">
        <f t="shared" si="52"/>
        <v>2466</v>
      </c>
      <c r="M129" s="166">
        <f t="shared" si="54"/>
        <v>1.6398373822385542E-4</v>
      </c>
      <c r="N129" s="81"/>
    </row>
    <row r="130" spans="1:14" x14ac:dyDescent="0.25">
      <c r="A130" s="1"/>
      <c r="B130" s="164" t="s">
        <v>130</v>
      </c>
      <c r="C130" s="165">
        <v>4303</v>
      </c>
      <c r="D130" s="165">
        <v>1701</v>
      </c>
      <c r="E130" s="165">
        <v>1442</v>
      </c>
      <c r="F130" s="165">
        <v>2747</v>
      </c>
      <c r="G130" s="165">
        <v>3505</v>
      </c>
      <c r="H130" s="165">
        <v>3870</v>
      </c>
      <c r="I130" s="166">
        <f t="shared" si="53"/>
        <v>0.10413694721825961</v>
      </c>
      <c r="J130" s="180">
        <f t="shared" si="50"/>
        <v>1.6837725381414703</v>
      </c>
      <c r="K130" s="165">
        <f t="shared" si="51"/>
        <v>365</v>
      </c>
      <c r="L130" s="165">
        <f t="shared" si="52"/>
        <v>2428</v>
      </c>
      <c r="M130" s="166">
        <f t="shared" si="54"/>
        <v>1.0727130948720765E-4</v>
      </c>
      <c r="N130" s="81"/>
    </row>
    <row r="131" spans="1:14" x14ac:dyDescent="0.25">
      <c r="A131" s="163" t="s">
        <v>146</v>
      </c>
      <c r="B131" s="164" t="s">
        <v>133</v>
      </c>
      <c r="C131" s="165">
        <v>5879</v>
      </c>
      <c r="D131" s="165">
        <v>2155</v>
      </c>
      <c r="E131" s="165">
        <v>2010</v>
      </c>
      <c r="F131" s="165">
        <v>4022</v>
      </c>
      <c r="G131" s="165">
        <v>4912</v>
      </c>
      <c r="H131" s="165">
        <v>5417</v>
      </c>
      <c r="I131" s="166">
        <f t="shared" si="53"/>
        <v>0.10280944625407162</v>
      </c>
      <c r="J131" s="180">
        <f t="shared" si="50"/>
        <v>1.6950248756218906</v>
      </c>
      <c r="K131" s="165">
        <f t="shared" si="51"/>
        <v>505</v>
      </c>
      <c r="L131" s="165">
        <f t="shared" si="52"/>
        <v>3407</v>
      </c>
      <c r="M131" s="166">
        <f t="shared" si="54"/>
        <v>1.5015211459746872E-4</v>
      </c>
      <c r="N131" s="81"/>
    </row>
    <row r="132" spans="1:14" x14ac:dyDescent="0.25">
      <c r="A132" s="168" t="s">
        <v>147</v>
      </c>
      <c r="B132" s="169" t="s">
        <v>147</v>
      </c>
      <c r="C132" s="170">
        <f t="shared" ref="C132:H132" si="55">C124-SUM(C125:C131)</f>
        <v>164819</v>
      </c>
      <c r="D132" s="170">
        <f t="shared" si="55"/>
        <v>62461</v>
      </c>
      <c r="E132" s="170">
        <f t="shared" si="55"/>
        <v>89163</v>
      </c>
      <c r="F132" s="170">
        <f t="shared" si="55"/>
        <v>161456</v>
      </c>
      <c r="G132" s="170">
        <f t="shared" si="55"/>
        <v>141905</v>
      </c>
      <c r="H132" s="170">
        <f t="shared" si="55"/>
        <v>148186</v>
      </c>
      <c r="I132" s="171">
        <f t="shared" si="53"/>
        <v>4.4262006271801546E-2</v>
      </c>
      <c r="J132" s="181">
        <f t="shared" si="50"/>
        <v>0.66196740800556286</v>
      </c>
      <c r="K132" s="170">
        <f>H132-G132</f>
        <v>6281</v>
      </c>
      <c r="L132" s="170">
        <f t="shared" si="52"/>
        <v>59023</v>
      </c>
      <c r="M132" s="171">
        <f t="shared" si="54"/>
        <v>4.1075209993982828E-3</v>
      </c>
      <c r="N132" s="81"/>
    </row>
    <row r="133" spans="1:14" s="147" customFormat="1" x14ac:dyDescent="0.25">
      <c r="B133" s="156" t="s">
        <v>54</v>
      </c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</row>
    <row r="134" spans="1:14" x14ac:dyDescent="0.25">
      <c r="A134" s="1">
        <v>3</v>
      </c>
      <c r="B134" s="157" t="s">
        <v>70</v>
      </c>
      <c r="C134" s="177">
        <v>1856756</v>
      </c>
      <c r="D134" s="177">
        <v>610766</v>
      </c>
      <c r="E134" s="177">
        <v>774989</v>
      </c>
      <c r="F134" s="177">
        <v>1753117</v>
      </c>
      <c r="G134" s="177">
        <v>1886738</v>
      </c>
      <c r="H134" s="177">
        <v>1988780</v>
      </c>
      <c r="I134" s="178">
        <f>IFERROR(H134/G134-1,"-")</f>
        <v>5.4083820859069931E-2</v>
      </c>
      <c r="J134" s="178">
        <f>IFERROR(H134/E134-1,"-")</f>
        <v>1.566204165478478</v>
      </c>
      <c r="K134" s="177">
        <f>H134-G134</f>
        <v>102042</v>
      </c>
      <c r="L134" s="177">
        <f>H134-E134</f>
        <v>1213791</v>
      </c>
      <c r="M134" s="178">
        <f>H134/H$8</f>
        <v>5.512636560257593E-2</v>
      </c>
      <c r="N134" s="81"/>
    </row>
    <row r="135" spans="1:14" x14ac:dyDescent="0.25">
      <c r="A135" s="1" t="s">
        <v>98</v>
      </c>
      <c r="B135" s="160" t="s">
        <v>99</v>
      </c>
      <c r="C135" s="161">
        <v>192906</v>
      </c>
      <c r="D135" s="161">
        <v>77176</v>
      </c>
      <c r="E135" s="161">
        <v>141993</v>
      </c>
      <c r="F135" s="161">
        <v>105219</v>
      </c>
      <c r="G135" s="161">
        <v>114083</v>
      </c>
      <c r="H135" s="161">
        <v>103740</v>
      </c>
      <c r="I135" s="162">
        <f>IFERROR(H135/G135-1,"-")</f>
        <v>-9.0662061832174845E-2</v>
      </c>
      <c r="J135" s="179">
        <f t="shared" ref="J135:J146" si="56">IFERROR(H135/E135-1,"-")</f>
        <v>-0.26940060425513934</v>
      </c>
      <c r="K135" s="161">
        <f t="shared" ref="K135:K145" si="57">H135-G135</f>
        <v>-10343</v>
      </c>
      <c r="L135" s="161">
        <f t="shared" ref="L135:L146" si="58">H135-E135</f>
        <v>-38253</v>
      </c>
      <c r="M135" s="162">
        <f>H135/H$8</f>
        <v>2.8755363426880938E-3</v>
      </c>
      <c r="N135" s="81"/>
    </row>
    <row r="136" spans="1:14" x14ac:dyDescent="0.25">
      <c r="A136" s="163" t="s">
        <v>105</v>
      </c>
      <c r="B136" s="164" t="s">
        <v>105</v>
      </c>
      <c r="C136" s="165">
        <v>94828</v>
      </c>
      <c r="D136" s="165">
        <v>51058</v>
      </c>
      <c r="E136" s="165">
        <v>86437</v>
      </c>
      <c r="F136" s="165">
        <v>57546</v>
      </c>
      <c r="G136" s="165">
        <v>60090</v>
      </c>
      <c r="H136" s="165">
        <v>47885</v>
      </c>
      <c r="I136" s="166">
        <f>IFERROR(H136/G136-1,"-")</f>
        <v>-0.2031119986686637</v>
      </c>
      <c r="J136" s="180">
        <f t="shared" si="56"/>
        <v>-0.44601270289343686</v>
      </c>
      <c r="K136" s="165">
        <f t="shared" si="57"/>
        <v>-12205</v>
      </c>
      <c r="L136" s="165">
        <f t="shared" si="58"/>
        <v>-38552</v>
      </c>
      <c r="M136" s="166">
        <f>H136/H$8</f>
        <v>1.3273092131253072E-3</v>
      </c>
      <c r="N136" s="81"/>
    </row>
    <row r="137" spans="1:14" x14ac:dyDescent="0.25">
      <c r="A137" s="163" t="s">
        <v>102</v>
      </c>
      <c r="B137" s="164" t="s">
        <v>102</v>
      </c>
      <c r="C137" s="165">
        <v>98078</v>
      </c>
      <c r="D137" s="165">
        <v>26118</v>
      </c>
      <c r="E137" s="165">
        <v>55556</v>
      </c>
      <c r="F137" s="165">
        <v>47673</v>
      </c>
      <c r="G137" s="165">
        <v>53993</v>
      </c>
      <c r="H137" s="165">
        <v>55855</v>
      </c>
      <c r="I137" s="166">
        <f>IFERROR(H137/G137-1,"-")</f>
        <v>3.4485951882651467E-2</v>
      </c>
      <c r="J137" s="180">
        <f t="shared" si="56"/>
        <v>5.3819569443445126E-3</v>
      </c>
      <c r="K137" s="165">
        <f t="shared" si="57"/>
        <v>1862</v>
      </c>
      <c r="L137" s="165">
        <f t="shared" si="58"/>
        <v>299</v>
      </c>
      <c r="M137" s="166">
        <f>H137/H$8</f>
        <v>1.5482271295627866E-3</v>
      </c>
      <c r="N137" s="81"/>
    </row>
    <row r="138" spans="1:14" x14ac:dyDescent="0.25">
      <c r="A138" s="1"/>
      <c r="B138" s="160" t="s">
        <v>109</v>
      </c>
      <c r="C138" s="161">
        <v>1663850</v>
      </c>
      <c r="D138" s="161">
        <v>533590</v>
      </c>
      <c r="E138" s="161">
        <v>632996</v>
      </c>
      <c r="F138" s="161">
        <v>1647898</v>
      </c>
      <c r="G138" s="161">
        <v>1772655</v>
      </c>
      <c r="H138" s="161">
        <v>1885040</v>
      </c>
      <c r="I138" s="162">
        <f>IFERROR(H138/G138-1,"-")</f>
        <v>6.3399251405377832E-2</v>
      </c>
      <c r="J138" s="179">
        <f t="shared" si="56"/>
        <v>1.9779651056246803</v>
      </c>
      <c r="K138" s="161">
        <f t="shared" si="57"/>
        <v>112385</v>
      </c>
      <c r="L138" s="161">
        <f t="shared" si="58"/>
        <v>1252044</v>
      </c>
      <c r="M138" s="162">
        <f>H138/H$8</f>
        <v>5.2250829259887839E-2</v>
      </c>
      <c r="N138" s="81"/>
    </row>
    <row r="139" spans="1:14" s="57" customFormat="1" x14ac:dyDescent="0.25">
      <c r="B139" s="164" t="s">
        <v>112</v>
      </c>
      <c r="C139" s="165">
        <v>847716</v>
      </c>
      <c r="D139" s="165">
        <v>226701</v>
      </c>
      <c r="E139" s="165">
        <v>182984</v>
      </c>
      <c r="F139" s="165">
        <v>740061</v>
      </c>
      <c r="G139" s="165">
        <v>745732</v>
      </c>
      <c r="H139" s="165">
        <v>857461</v>
      </c>
      <c r="I139" s="166">
        <f t="shared" ref="I139:I146" si="59">IFERROR(H139/G139-1,"-")</f>
        <v>0.1498246018676952</v>
      </c>
      <c r="J139" s="180">
        <f t="shared" si="56"/>
        <v>3.6859889389236216</v>
      </c>
      <c r="K139" s="165">
        <f t="shared" si="57"/>
        <v>111729</v>
      </c>
      <c r="L139" s="165">
        <f t="shared" si="58"/>
        <v>674477</v>
      </c>
      <c r="M139" s="166">
        <f t="shared" ref="M139:M146" si="60">H139/H$8</f>
        <v>2.3767691034679732E-2</v>
      </c>
      <c r="N139" s="167"/>
    </row>
    <row r="140" spans="1:14" s="57" customFormat="1" x14ac:dyDescent="0.25">
      <c r="B140" s="164" t="s">
        <v>115</v>
      </c>
      <c r="C140" s="165">
        <v>113771</v>
      </c>
      <c r="D140" s="165">
        <v>45672</v>
      </c>
      <c r="E140" s="165">
        <v>69325</v>
      </c>
      <c r="F140" s="165">
        <v>132461</v>
      </c>
      <c r="G140" s="165">
        <v>181229</v>
      </c>
      <c r="H140" s="165">
        <v>190327</v>
      </c>
      <c r="I140" s="166">
        <f t="shared" si="59"/>
        <v>5.0201678539306682E-2</v>
      </c>
      <c r="J140" s="180">
        <f t="shared" si="56"/>
        <v>1.7454309412188964</v>
      </c>
      <c r="K140" s="165">
        <f t="shared" si="57"/>
        <v>9098</v>
      </c>
      <c r="L140" s="165">
        <f t="shared" si="58"/>
        <v>121002</v>
      </c>
      <c r="M140" s="166">
        <f t="shared" si="60"/>
        <v>5.2756140880547212E-3</v>
      </c>
      <c r="N140" s="167"/>
    </row>
    <row r="141" spans="1:14" x14ac:dyDescent="0.25">
      <c r="A141" s="1"/>
      <c r="B141" s="164" t="s">
        <v>118</v>
      </c>
      <c r="C141" s="165">
        <v>132722</v>
      </c>
      <c r="D141" s="165">
        <v>42455</v>
      </c>
      <c r="E141" s="165">
        <v>94016</v>
      </c>
      <c r="F141" s="165">
        <v>171222</v>
      </c>
      <c r="G141" s="165">
        <v>162316</v>
      </c>
      <c r="H141" s="165">
        <v>166671</v>
      </c>
      <c r="I141" s="166">
        <f t="shared" si="59"/>
        <v>2.6830380245939978E-2</v>
      </c>
      <c r="J141" s="180">
        <f t="shared" si="56"/>
        <v>0.77279399251191294</v>
      </c>
      <c r="K141" s="165">
        <f t="shared" si="57"/>
        <v>4355</v>
      </c>
      <c r="L141" s="165">
        <f t="shared" si="58"/>
        <v>72655</v>
      </c>
      <c r="M141" s="166">
        <f t="shared" si="60"/>
        <v>4.6199008846362763E-3</v>
      </c>
      <c r="N141" s="81"/>
    </row>
    <row r="142" spans="1:14" x14ac:dyDescent="0.25">
      <c r="A142" s="1"/>
      <c r="B142" s="164" t="s">
        <v>125</v>
      </c>
      <c r="C142" s="165">
        <v>38846</v>
      </c>
      <c r="D142" s="165">
        <v>8958</v>
      </c>
      <c r="E142" s="165">
        <v>22357</v>
      </c>
      <c r="F142" s="165">
        <v>60881</v>
      </c>
      <c r="G142" s="165">
        <v>78552</v>
      </c>
      <c r="H142" s="165">
        <v>58930</v>
      </c>
      <c r="I142" s="166">
        <f t="shared" si="59"/>
        <v>-0.24979631327019047</v>
      </c>
      <c r="J142" s="180">
        <f t="shared" si="56"/>
        <v>1.6358634879456098</v>
      </c>
      <c r="K142" s="165">
        <f t="shared" si="57"/>
        <v>-19622</v>
      </c>
      <c r="L142" s="165">
        <f t="shared" si="58"/>
        <v>36573</v>
      </c>
      <c r="M142" s="166">
        <f t="shared" si="60"/>
        <v>1.6334620847754903E-3</v>
      </c>
      <c r="N142" s="81"/>
    </row>
    <row r="143" spans="1:14" x14ac:dyDescent="0.25">
      <c r="A143" s="1"/>
      <c r="B143" s="164" t="s">
        <v>121</v>
      </c>
      <c r="C143" s="165">
        <v>39195</v>
      </c>
      <c r="D143" s="165">
        <v>12571</v>
      </c>
      <c r="E143" s="165">
        <v>20808</v>
      </c>
      <c r="F143" s="165">
        <v>32138</v>
      </c>
      <c r="G143" s="165">
        <v>40929</v>
      </c>
      <c r="H143" s="165">
        <v>41917</v>
      </c>
      <c r="I143" s="166">
        <f t="shared" si="59"/>
        <v>2.4139363287644544E-2</v>
      </c>
      <c r="J143" s="180">
        <f t="shared" si="56"/>
        <v>1.0144655901576316</v>
      </c>
      <c r="K143" s="165">
        <f t="shared" si="57"/>
        <v>988</v>
      </c>
      <c r="L143" s="165">
        <f t="shared" si="58"/>
        <v>21109</v>
      </c>
      <c r="M143" s="166">
        <f t="shared" si="60"/>
        <v>1.1618841033011068E-3</v>
      </c>
      <c r="N143" s="81"/>
    </row>
    <row r="144" spans="1:14" x14ac:dyDescent="0.25">
      <c r="A144" s="1"/>
      <c r="B144" s="164" t="s">
        <v>130</v>
      </c>
      <c r="C144" s="165">
        <v>18681</v>
      </c>
      <c r="D144" s="165">
        <v>15372</v>
      </c>
      <c r="E144" s="165">
        <v>9958</v>
      </c>
      <c r="F144" s="165">
        <v>24691</v>
      </c>
      <c r="G144" s="165">
        <v>28155</v>
      </c>
      <c r="H144" s="165">
        <v>26591</v>
      </c>
      <c r="I144" s="166">
        <f t="shared" si="59"/>
        <v>-5.554963594388207E-2</v>
      </c>
      <c r="J144" s="180">
        <f t="shared" si="56"/>
        <v>1.6703153243623219</v>
      </c>
      <c r="K144" s="165">
        <f t="shared" si="57"/>
        <v>-1564</v>
      </c>
      <c r="L144" s="165">
        <f t="shared" si="58"/>
        <v>16633</v>
      </c>
      <c r="M144" s="166">
        <f t="shared" si="60"/>
        <v>7.3706754278406693E-4</v>
      </c>
      <c r="N144" s="81"/>
    </row>
    <row r="145" spans="1:14" x14ac:dyDescent="0.25">
      <c r="A145" s="163" t="s">
        <v>146</v>
      </c>
      <c r="B145" s="164" t="s">
        <v>133</v>
      </c>
      <c r="C145" s="165">
        <v>47882</v>
      </c>
      <c r="D145" s="165">
        <v>29519</v>
      </c>
      <c r="E145" s="165">
        <v>6358</v>
      </c>
      <c r="F145" s="165">
        <v>14264</v>
      </c>
      <c r="G145" s="165">
        <v>21375</v>
      </c>
      <c r="H145" s="165">
        <v>19097</v>
      </c>
      <c r="I145" s="166">
        <f t="shared" si="59"/>
        <v>-0.10657309941520465</v>
      </c>
      <c r="J145" s="180">
        <f t="shared" si="56"/>
        <v>2.0036174897766594</v>
      </c>
      <c r="K145" s="165">
        <f t="shared" si="57"/>
        <v>-2278</v>
      </c>
      <c r="L145" s="165">
        <f t="shared" si="58"/>
        <v>12739</v>
      </c>
      <c r="M145" s="166">
        <f t="shared" si="60"/>
        <v>5.2934372022666785E-4</v>
      </c>
      <c r="N145" s="81"/>
    </row>
    <row r="146" spans="1:14" x14ac:dyDescent="0.25">
      <c r="A146" s="168" t="s">
        <v>147</v>
      </c>
      <c r="B146" s="169" t="s">
        <v>147</v>
      </c>
      <c r="C146" s="170">
        <f t="shared" ref="C146:H146" si="61">C138-SUM(C139:C145)</f>
        <v>425037</v>
      </c>
      <c r="D146" s="170">
        <f t="shared" si="61"/>
        <v>152342</v>
      </c>
      <c r="E146" s="170">
        <f t="shared" si="61"/>
        <v>227190</v>
      </c>
      <c r="F146" s="170">
        <f t="shared" si="61"/>
        <v>472180</v>
      </c>
      <c r="G146" s="170">
        <f t="shared" si="61"/>
        <v>514367</v>
      </c>
      <c r="H146" s="170">
        <f t="shared" si="61"/>
        <v>524046</v>
      </c>
      <c r="I146" s="171">
        <f t="shared" si="59"/>
        <v>1.881730359840339E-2</v>
      </c>
      <c r="J146" s="181">
        <f t="shared" si="56"/>
        <v>1.3066420176944407</v>
      </c>
      <c r="K146" s="170">
        <f>H146-G146</f>
        <v>9679</v>
      </c>
      <c r="L146" s="170">
        <f t="shared" si="58"/>
        <v>296856</v>
      </c>
      <c r="M146" s="171">
        <f t="shared" si="60"/>
        <v>1.4525865801429774E-2</v>
      </c>
      <c r="N146" s="81"/>
    </row>
    <row r="147" spans="1:14" s="147" customFormat="1" x14ac:dyDescent="0.25">
      <c r="B147" s="156" t="s">
        <v>55</v>
      </c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</row>
    <row r="148" spans="1:14" x14ac:dyDescent="0.25">
      <c r="A148" s="1">
        <v>3</v>
      </c>
      <c r="B148" s="157" t="s">
        <v>70</v>
      </c>
      <c r="C148" s="177">
        <v>721244</v>
      </c>
      <c r="D148" s="177">
        <v>235241</v>
      </c>
      <c r="E148" s="177">
        <v>320278</v>
      </c>
      <c r="F148" s="177">
        <v>622441</v>
      </c>
      <c r="G148" s="177">
        <v>781085</v>
      </c>
      <c r="H148" s="177">
        <v>735651</v>
      </c>
      <c r="I148" s="178">
        <f>IFERROR(H148/G148-1,"-")</f>
        <v>-5.8167805040424514E-2</v>
      </c>
      <c r="J148" s="178">
        <f>IFERROR(H148/E148-1,"-")</f>
        <v>1.2969139310224245</v>
      </c>
      <c r="K148" s="177">
        <f>H148-G148</f>
        <v>-45434</v>
      </c>
      <c r="L148" s="177">
        <f>H148-E148</f>
        <v>415373</v>
      </c>
      <c r="M148" s="178">
        <f>H148/H$8</f>
        <v>2.0391278060871782E-2</v>
      </c>
      <c r="N148" s="81"/>
    </row>
    <row r="149" spans="1:14" x14ac:dyDescent="0.25">
      <c r="A149" s="1" t="s">
        <v>98</v>
      </c>
      <c r="B149" s="160" t="s">
        <v>99</v>
      </c>
      <c r="C149" s="161">
        <v>261107</v>
      </c>
      <c r="D149" s="161">
        <v>90513</v>
      </c>
      <c r="E149" s="161">
        <v>118326</v>
      </c>
      <c r="F149" s="161">
        <v>251371</v>
      </c>
      <c r="G149" s="161">
        <v>299320</v>
      </c>
      <c r="H149" s="161">
        <v>274535</v>
      </c>
      <c r="I149" s="162">
        <f>IFERROR(H149/G149-1,"-")</f>
        <v>-8.2804356541494095E-2</v>
      </c>
      <c r="J149" s="179">
        <f t="shared" ref="J149:J160" si="62">IFERROR(H149/E149-1,"-")</f>
        <v>1.3201578689383568</v>
      </c>
      <c r="K149" s="161">
        <f t="shared" ref="K149:K159" si="63">H149-G149</f>
        <v>-24785</v>
      </c>
      <c r="L149" s="161">
        <f t="shared" ref="L149:L160" si="64">H149-E149</f>
        <v>156209</v>
      </c>
      <c r="M149" s="162">
        <f>H149/H$8</f>
        <v>7.6097490827055697E-3</v>
      </c>
      <c r="N149" s="81"/>
    </row>
    <row r="150" spans="1:14" x14ac:dyDescent="0.25">
      <c r="A150" s="163" t="s">
        <v>105</v>
      </c>
      <c r="B150" s="164" t="s">
        <v>105</v>
      </c>
      <c r="C150" s="165">
        <v>111386</v>
      </c>
      <c r="D150" s="165">
        <v>46140</v>
      </c>
      <c r="E150" s="165">
        <v>86621</v>
      </c>
      <c r="F150" s="165">
        <v>153781</v>
      </c>
      <c r="G150" s="165">
        <v>212501</v>
      </c>
      <c r="H150" s="165">
        <v>179525</v>
      </c>
      <c r="I150" s="166">
        <f>IFERROR(H150/G150-1,"-")</f>
        <v>-0.15518044620966487</v>
      </c>
      <c r="J150" s="180">
        <f t="shared" si="62"/>
        <v>1.0725343738816222</v>
      </c>
      <c r="K150" s="165">
        <f t="shared" si="63"/>
        <v>-32976</v>
      </c>
      <c r="L150" s="165">
        <f t="shared" si="64"/>
        <v>92904</v>
      </c>
      <c r="M150" s="166">
        <f>H150/H$8</f>
        <v>4.9761968567676885E-3</v>
      </c>
      <c r="N150" s="81"/>
    </row>
    <row r="151" spans="1:14" x14ac:dyDescent="0.25">
      <c r="A151" s="163" t="s">
        <v>102</v>
      </c>
      <c r="B151" s="164" t="s">
        <v>102</v>
      </c>
      <c r="C151" s="165">
        <v>149721</v>
      </c>
      <c r="D151" s="165">
        <v>44373</v>
      </c>
      <c r="E151" s="165">
        <v>31705</v>
      </c>
      <c r="F151" s="165">
        <v>97590</v>
      </c>
      <c r="G151" s="165">
        <v>86819</v>
      </c>
      <c r="H151" s="165">
        <v>95010</v>
      </c>
      <c r="I151" s="166">
        <f>IFERROR(H151/G151-1,"-")</f>
        <v>9.4345707736785744E-2</v>
      </c>
      <c r="J151" s="180">
        <f t="shared" si="62"/>
        <v>1.9966882195237345</v>
      </c>
      <c r="K151" s="165">
        <f t="shared" si="63"/>
        <v>8191</v>
      </c>
      <c r="L151" s="165">
        <f t="shared" si="64"/>
        <v>63305</v>
      </c>
      <c r="M151" s="166">
        <f>H151/H$8</f>
        <v>2.6335522259378812E-3</v>
      </c>
      <c r="N151" s="81"/>
    </row>
    <row r="152" spans="1:14" x14ac:dyDescent="0.25">
      <c r="A152" s="1"/>
      <c r="B152" s="160" t="s">
        <v>109</v>
      </c>
      <c r="C152" s="161">
        <v>460137</v>
      </c>
      <c r="D152" s="161">
        <v>144728</v>
      </c>
      <c r="E152" s="161">
        <v>201952</v>
      </c>
      <c r="F152" s="161">
        <v>371070</v>
      </c>
      <c r="G152" s="161">
        <v>481765</v>
      </c>
      <c r="H152" s="161">
        <v>461116</v>
      </c>
      <c r="I152" s="162">
        <f>IFERROR(H152/G152-1,"-")</f>
        <v>-4.2861145994416372E-2</v>
      </c>
      <c r="J152" s="179">
        <f t="shared" si="62"/>
        <v>1.2832950404056409</v>
      </c>
      <c r="K152" s="161">
        <f t="shared" si="63"/>
        <v>-20649</v>
      </c>
      <c r="L152" s="161">
        <f t="shared" si="64"/>
        <v>259164</v>
      </c>
      <c r="M152" s="162">
        <f>H152/H$8</f>
        <v>1.2781528978166213E-2</v>
      </c>
      <c r="N152" s="81"/>
    </row>
    <row r="153" spans="1:14" s="57" customFormat="1" x14ac:dyDescent="0.25">
      <c r="B153" s="164" t="s">
        <v>112</v>
      </c>
      <c r="C153" s="165">
        <v>120718</v>
      </c>
      <c r="D153" s="165">
        <v>31890</v>
      </c>
      <c r="E153" s="165">
        <v>39412</v>
      </c>
      <c r="F153" s="165">
        <v>136400</v>
      </c>
      <c r="G153" s="165">
        <v>179243</v>
      </c>
      <c r="H153" s="165">
        <v>146131</v>
      </c>
      <c r="I153" s="166">
        <f t="shared" ref="I153:I160" si="65">IFERROR(H153/G153-1,"-")</f>
        <v>-0.18473245817130934</v>
      </c>
      <c r="J153" s="180">
        <f t="shared" si="62"/>
        <v>2.7077793565411548</v>
      </c>
      <c r="K153" s="165">
        <f t="shared" si="63"/>
        <v>-33112</v>
      </c>
      <c r="L153" s="165">
        <f t="shared" si="64"/>
        <v>106719</v>
      </c>
      <c r="M153" s="166">
        <f t="shared" ref="M153:M160" si="66">H153/H$8</f>
        <v>4.0505591025000367E-3</v>
      </c>
      <c r="N153" s="167"/>
    </row>
    <row r="154" spans="1:14" s="57" customFormat="1" x14ac:dyDescent="0.25">
      <c r="B154" s="164" t="s">
        <v>115</v>
      </c>
      <c r="C154" s="165">
        <v>154372</v>
      </c>
      <c r="D154" s="165">
        <v>49978</v>
      </c>
      <c r="E154" s="165">
        <v>69931</v>
      </c>
      <c r="F154" s="165">
        <v>98479</v>
      </c>
      <c r="G154" s="165">
        <v>105256</v>
      </c>
      <c r="H154" s="165">
        <v>104855</v>
      </c>
      <c r="I154" s="166">
        <f t="shared" si="65"/>
        <v>-3.8097590636163581E-3</v>
      </c>
      <c r="J154" s="180">
        <f t="shared" si="62"/>
        <v>0.49940655789277999</v>
      </c>
      <c r="K154" s="165">
        <f t="shared" si="63"/>
        <v>-401</v>
      </c>
      <c r="L154" s="165">
        <f t="shared" si="64"/>
        <v>34924</v>
      </c>
      <c r="M154" s="166">
        <f t="shared" si="66"/>
        <v>2.9064426760416432E-3</v>
      </c>
      <c r="N154" s="167"/>
    </row>
    <row r="155" spans="1:14" x14ac:dyDescent="0.25">
      <c r="A155" s="1"/>
      <c r="B155" s="164" t="s">
        <v>118</v>
      </c>
      <c r="C155" s="165">
        <v>63972</v>
      </c>
      <c r="D155" s="165">
        <v>14033</v>
      </c>
      <c r="E155" s="165">
        <v>26362</v>
      </c>
      <c r="F155" s="165">
        <v>41410</v>
      </c>
      <c r="G155" s="165">
        <v>72199</v>
      </c>
      <c r="H155" s="165">
        <v>71765</v>
      </c>
      <c r="I155" s="166">
        <f t="shared" si="65"/>
        <v>-6.0111635895233606E-3</v>
      </c>
      <c r="J155" s="180">
        <f t="shared" si="62"/>
        <v>1.7222896593581671</v>
      </c>
      <c r="K155" s="165">
        <f t="shared" si="63"/>
        <v>-434</v>
      </c>
      <c r="L155" s="165">
        <f t="shared" si="64"/>
        <v>45403</v>
      </c>
      <c r="M155" s="166">
        <f t="shared" si="66"/>
        <v>1.9892314018990845E-3</v>
      </c>
      <c r="N155" s="81"/>
    </row>
    <row r="156" spans="1:14" x14ac:dyDescent="0.25">
      <c r="A156" s="1"/>
      <c r="B156" s="164" t="s">
        <v>125</v>
      </c>
      <c r="C156" s="165">
        <v>7808</v>
      </c>
      <c r="D156" s="165">
        <v>2588</v>
      </c>
      <c r="E156" s="165">
        <v>4562</v>
      </c>
      <c r="F156" s="165">
        <v>9484</v>
      </c>
      <c r="G156" s="165">
        <v>12559</v>
      </c>
      <c r="H156" s="165">
        <v>15268</v>
      </c>
      <c r="I156" s="166">
        <f t="shared" si="65"/>
        <v>0.21570188709292148</v>
      </c>
      <c r="J156" s="180">
        <f t="shared" si="62"/>
        <v>2.3467777290661989</v>
      </c>
      <c r="K156" s="165">
        <f t="shared" si="63"/>
        <v>2709</v>
      </c>
      <c r="L156" s="165">
        <f t="shared" si="64"/>
        <v>10706</v>
      </c>
      <c r="M156" s="166">
        <f t="shared" si="66"/>
        <v>4.2320887680896295E-4</v>
      </c>
      <c r="N156" s="81"/>
    </row>
    <row r="157" spans="1:14" x14ac:dyDescent="0.25">
      <c r="A157" s="1"/>
      <c r="B157" s="164" t="s">
        <v>121</v>
      </c>
      <c r="C157" s="165">
        <v>21924</v>
      </c>
      <c r="D157" s="165">
        <v>10906</v>
      </c>
      <c r="E157" s="165">
        <v>13772</v>
      </c>
      <c r="F157" s="165">
        <v>27289</v>
      </c>
      <c r="G157" s="165">
        <v>21390</v>
      </c>
      <c r="H157" s="165">
        <v>24668</v>
      </c>
      <c r="I157" s="166">
        <f t="shared" si="65"/>
        <v>0.15324918186068248</v>
      </c>
      <c r="J157" s="180">
        <f t="shared" si="62"/>
        <v>0.791170490851002</v>
      </c>
      <c r="K157" s="165">
        <f t="shared" si="63"/>
        <v>3278</v>
      </c>
      <c r="L157" s="165">
        <f t="shared" si="64"/>
        <v>10896</v>
      </c>
      <c r="M157" s="166">
        <f t="shared" si="66"/>
        <v>6.8376451225592725E-4</v>
      </c>
      <c r="N157" s="81"/>
    </row>
    <row r="158" spans="1:14" x14ac:dyDescent="0.25">
      <c r="A158" s="1"/>
      <c r="B158" s="164" t="s">
        <v>130</v>
      </c>
      <c r="C158" s="165">
        <v>2951</v>
      </c>
      <c r="D158" s="165">
        <v>2836</v>
      </c>
      <c r="E158" s="165">
        <v>1823</v>
      </c>
      <c r="F158" s="165">
        <v>2563</v>
      </c>
      <c r="G158" s="165">
        <v>4469</v>
      </c>
      <c r="H158" s="165">
        <v>3399</v>
      </c>
      <c r="I158" s="166">
        <f t="shared" si="65"/>
        <v>-0.23942716491385097</v>
      </c>
      <c r="J158" s="180">
        <f t="shared" si="62"/>
        <v>0.86450905101481079</v>
      </c>
      <c r="K158" s="165">
        <f t="shared" si="63"/>
        <v>-1070</v>
      </c>
      <c r="L158" s="165">
        <f t="shared" si="64"/>
        <v>1576</v>
      </c>
      <c r="M158" s="166">
        <f t="shared" si="66"/>
        <v>9.4215809030237421E-5</v>
      </c>
      <c r="N158" s="81"/>
    </row>
    <row r="159" spans="1:14" x14ac:dyDescent="0.25">
      <c r="A159" s="163" t="s">
        <v>146</v>
      </c>
      <c r="B159" s="164" t="s">
        <v>133</v>
      </c>
      <c r="C159" s="165">
        <v>7381</v>
      </c>
      <c r="D159" s="165">
        <v>3788</v>
      </c>
      <c r="E159" s="165">
        <v>2712</v>
      </c>
      <c r="F159" s="165">
        <v>4129</v>
      </c>
      <c r="G159" s="165">
        <v>6277</v>
      </c>
      <c r="H159" s="165">
        <v>5327</v>
      </c>
      <c r="I159" s="166">
        <f t="shared" si="65"/>
        <v>-0.15134618448303327</v>
      </c>
      <c r="J159" s="180">
        <f t="shared" si="62"/>
        <v>0.96423303834808261</v>
      </c>
      <c r="K159" s="165">
        <f t="shared" si="63"/>
        <v>-950</v>
      </c>
      <c r="L159" s="165">
        <f t="shared" si="64"/>
        <v>2615</v>
      </c>
      <c r="M159" s="166">
        <f t="shared" si="66"/>
        <v>1.4765743298148713E-4</v>
      </c>
      <c r="N159" s="81"/>
    </row>
    <row r="160" spans="1:14" x14ac:dyDescent="0.25">
      <c r="A160" s="168" t="s">
        <v>147</v>
      </c>
      <c r="B160" s="169" t="s">
        <v>147</v>
      </c>
      <c r="C160" s="170">
        <f t="shared" ref="C160:H160" si="67">C152-SUM(C153:C159)</f>
        <v>81011</v>
      </c>
      <c r="D160" s="170">
        <f t="shared" si="67"/>
        <v>28709</v>
      </c>
      <c r="E160" s="170">
        <f t="shared" si="67"/>
        <v>43378</v>
      </c>
      <c r="F160" s="170">
        <f t="shared" si="67"/>
        <v>51316</v>
      </c>
      <c r="G160" s="170">
        <f t="shared" si="67"/>
        <v>80372</v>
      </c>
      <c r="H160" s="170">
        <f t="shared" si="67"/>
        <v>89703</v>
      </c>
      <c r="I160" s="171">
        <f t="shared" si="65"/>
        <v>0.11609764594634941</v>
      </c>
      <c r="J160" s="181">
        <f t="shared" si="62"/>
        <v>1.067937664253769</v>
      </c>
      <c r="K160" s="170">
        <f>H160-G160</f>
        <v>9331</v>
      </c>
      <c r="L160" s="170">
        <f t="shared" si="64"/>
        <v>46325</v>
      </c>
      <c r="M160" s="171">
        <f t="shared" si="66"/>
        <v>2.4864491666488344E-3</v>
      </c>
      <c r="N160" s="81"/>
    </row>
    <row r="161" spans="2:16" ht="6" customHeight="1" x14ac:dyDescent="0.25"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</row>
    <row r="162" spans="2:16" x14ac:dyDescent="0.25">
      <c r="B162" s="107" t="s">
        <v>57</v>
      </c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</sheetData>
  <mergeCells count="1">
    <mergeCell ref="B4:M4"/>
  </mergeCells>
  <pageMargins left="0.25" right="0.25" top="0.75" bottom="0.75" header="0.3" footer="0.3"/>
  <pageSetup paperSize="9" scale="2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23E7A-599A-4E68-8B0F-310236BE2116}">
  <sheetPr>
    <tabColor theme="3" tint="0.39997558519241921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74741-FEEB-4E5A-95E6-0719E410E073}">
  <sheetPr>
    <tabColor theme="4" tint="0.79998168889431442"/>
  </sheetPr>
  <dimension ref="A1:O290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14" max="14" width="13.5703125" bestFit="1" customWidth="1"/>
  </cols>
  <sheetData>
    <row r="1" spans="1:15" x14ac:dyDescent="0.25">
      <c r="D1" t="s">
        <v>229</v>
      </c>
      <c r="E1" t="s">
        <v>229</v>
      </c>
      <c r="G1" t="s">
        <v>229</v>
      </c>
    </row>
    <row r="4" spans="1:15" ht="48.75" customHeight="1" thickBot="1" x14ac:dyDescent="0.3">
      <c r="B4" s="278" t="s">
        <v>286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1" t="s">
        <v>68</v>
      </c>
    </row>
    <row r="5" spans="1:15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O5" s="1" t="s">
        <v>69</v>
      </c>
    </row>
    <row r="6" spans="1:15" ht="22.5" thickTop="1" thickBot="1" x14ac:dyDescent="0.3">
      <c r="B6" s="110" t="s">
        <v>32</v>
      </c>
      <c r="C6" s="303" t="s">
        <v>70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5" ht="22.5" thickTop="1" thickBot="1" x14ac:dyDescent="0.3">
      <c r="B7" s="111"/>
      <c r="C7" s="305">
        <v>2020</v>
      </c>
      <c r="D7" s="306"/>
      <c r="E7" s="307">
        <v>2021</v>
      </c>
      <c r="F7" s="306"/>
      <c r="G7" s="307">
        <v>2022</v>
      </c>
      <c r="H7" s="306"/>
      <c r="I7" s="307">
        <v>2023</v>
      </c>
      <c r="J7" s="306"/>
      <c r="K7" s="307"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CONCATENATE("dif ",RIGHT(C7,2),"/",RIGHT(C7-1,2))</f>
        <v>dif 20/19</v>
      </c>
      <c r="E8" s="117" t="s">
        <v>71</v>
      </c>
      <c r="F8" s="116" t="str">
        <f>CONCATENATE("dif ",RIGHT(E7,2),"/",RIGHT(C7,2))</f>
        <v>dif 21/20</v>
      </c>
      <c r="G8" s="117" t="s">
        <v>71</v>
      </c>
      <c r="H8" s="116" t="str">
        <f>CONCATENATE("dif ",RIGHT(G7,2),"/",RIGHT(E7,2))</f>
        <v>dif 22/21</v>
      </c>
      <c r="I8" s="117" t="s">
        <v>71</v>
      </c>
      <c r="J8" s="116" t="str">
        <f>CONCATENATE("dif ",RIGHT(I7,2),"/",RIGHT(G7,2))</f>
        <v>dif 23/22</v>
      </c>
      <c r="K8" s="117" t="s">
        <v>71</v>
      </c>
      <c r="L8" s="116" t="str">
        <f>CONCATENATE("dif ",RIGHT(K7,2),"/",RIGHT(I7,2))</f>
        <v>dif 24/23</v>
      </c>
      <c r="M8" s="117" t="s">
        <v>71</v>
      </c>
      <c r="N8" s="116" t="str">
        <f>CONCATENATE("dif ",RIGHT(M7,2),"/",RIGHT(K7,2))</f>
        <v>dif 25/24</v>
      </c>
    </row>
    <row r="9" spans="1:15" x14ac:dyDescent="0.25">
      <c r="A9" s="1" t="s">
        <v>72</v>
      </c>
      <c r="B9" s="118" t="s">
        <v>73</v>
      </c>
      <c r="C9" s="188">
        <v>2.6174716182412929</v>
      </c>
      <c r="D9" s="189">
        <v>-1.8024564964814083E-2</v>
      </c>
      <c r="E9" s="188">
        <v>2.4109947643979059</v>
      </c>
      <c r="F9" s="189">
        <f t="shared" ref="F9:J21" si="0">IFERROR(E9-C9,"-")</f>
        <v>-0.20647685384338699</v>
      </c>
      <c r="G9" s="188">
        <v>3.2322086759285513</v>
      </c>
      <c r="H9" s="189">
        <f t="shared" si="0"/>
        <v>0.82121391153064538</v>
      </c>
      <c r="I9" s="188">
        <v>2.6628942486085343</v>
      </c>
      <c r="J9" s="189">
        <f t="shared" si="0"/>
        <v>-0.56931442732001702</v>
      </c>
      <c r="K9" s="188">
        <v>2.7949012842629863</v>
      </c>
      <c r="L9" s="189">
        <f t="shared" ref="L9:L21" si="1">IFERROR(K9-I9,"-")</f>
        <v>0.13200703565445204</v>
      </c>
      <c r="M9" s="188">
        <v>2.6840519676143852</v>
      </c>
      <c r="N9" s="189">
        <f t="shared" ref="N9:N14" si="2">IFERROR(M9-K9,"-")</f>
        <v>-0.11084931664860109</v>
      </c>
    </row>
    <row r="10" spans="1:15" x14ac:dyDescent="0.25">
      <c r="A10" s="1" t="s">
        <v>74</v>
      </c>
      <c r="B10" s="118" t="s">
        <v>75</v>
      </c>
      <c r="C10" s="188">
        <v>2.6762455682030231</v>
      </c>
      <c r="D10" s="189">
        <v>-4.9792932303562409E-2</v>
      </c>
      <c r="E10" s="188">
        <v>2.2361010830324908</v>
      </c>
      <c r="F10" s="189">
        <f t="shared" si="0"/>
        <v>-0.44014448517053228</v>
      </c>
      <c r="G10" s="188">
        <v>2.7251615992338998</v>
      </c>
      <c r="H10" s="189">
        <f t="shared" si="0"/>
        <v>0.489060516201409</v>
      </c>
      <c r="I10" s="188">
        <v>2.7041745730550284</v>
      </c>
      <c r="J10" s="189">
        <f t="shared" si="0"/>
        <v>-2.0987026178871382E-2</v>
      </c>
      <c r="K10" s="188">
        <v>3.1517801374141161</v>
      </c>
      <c r="L10" s="189">
        <f t="shared" si="1"/>
        <v>0.44760556435908772</v>
      </c>
      <c r="M10" s="188">
        <v>3.1261325703385787</v>
      </c>
      <c r="N10" s="189">
        <f t="shared" si="2"/>
        <v>-2.5647567075537392E-2</v>
      </c>
    </row>
    <row r="11" spans="1:15" x14ac:dyDescent="0.25">
      <c r="A11" s="1" t="s">
        <v>76</v>
      </c>
      <c r="B11" s="118" t="s">
        <v>77</v>
      </c>
      <c r="C11" s="188">
        <v>2.599636032757052</v>
      </c>
      <c r="D11" s="189">
        <v>-0.10626917314815376</v>
      </c>
      <c r="E11" s="188">
        <v>2.167395104895105</v>
      </c>
      <c r="F11" s="189">
        <f t="shared" si="0"/>
        <v>-0.43224092786194701</v>
      </c>
      <c r="G11" s="188">
        <v>2.6814345991561179</v>
      </c>
      <c r="H11" s="189">
        <f t="shared" si="0"/>
        <v>0.51403949426101292</v>
      </c>
      <c r="I11" s="188">
        <v>2.7572009188902631</v>
      </c>
      <c r="J11" s="189">
        <f t="shared" si="0"/>
        <v>7.576631973414516E-2</v>
      </c>
      <c r="K11" s="188">
        <v>2.9589783281733748</v>
      </c>
      <c r="L11" s="189">
        <f t="shared" si="1"/>
        <v>0.20177740928311172</v>
      </c>
      <c r="M11" s="188">
        <v>2.6383377012354923</v>
      </c>
      <c r="N11" s="189">
        <f t="shared" si="2"/>
        <v>-0.32064062693788253</v>
      </c>
    </row>
    <row r="12" spans="1:15" x14ac:dyDescent="0.25">
      <c r="A12" s="1" t="s">
        <v>78</v>
      </c>
      <c r="B12" s="118" t="s">
        <v>79</v>
      </c>
      <c r="C12" s="188" t="s">
        <v>229</v>
      </c>
      <c r="D12" s="189" t="s">
        <v>229</v>
      </c>
      <c r="E12" s="188">
        <v>2.2338797814207649</v>
      </c>
      <c r="F12" s="189" t="str">
        <f t="shared" si="0"/>
        <v>-</v>
      </c>
      <c r="G12" s="188">
        <v>2.9921472392638035</v>
      </c>
      <c r="H12" s="189">
        <f t="shared" si="0"/>
        <v>0.75826745784303862</v>
      </c>
      <c r="I12" s="188">
        <v>2.4570599613152804</v>
      </c>
      <c r="J12" s="189">
        <f t="shared" si="0"/>
        <v>-0.53508727794852318</v>
      </c>
      <c r="K12" s="188">
        <v>2.6590819153146024</v>
      </c>
      <c r="L12" s="189">
        <f t="shared" si="1"/>
        <v>0.20202195399932199</v>
      </c>
      <c r="M12" s="188">
        <v>2.7806406685236769</v>
      </c>
      <c r="N12" s="189">
        <f t="shared" si="2"/>
        <v>0.1215587532090745</v>
      </c>
    </row>
    <row r="13" spans="1:15" x14ac:dyDescent="0.25">
      <c r="A13" s="1" t="s">
        <v>80</v>
      </c>
      <c r="B13" s="118" t="s">
        <v>81</v>
      </c>
      <c r="C13" s="188" t="s">
        <v>229</v>
      </c>
      <c r="D13" s="189" t="s">
        <v>229</v>
      </c>
      <c r="E13" s="188">
        <v>2.1226024821361413</v>
      </c>
      <c r="F13" s="189" t="str">
        <f t="shared" si="0"/>
        <v>-</v>
      </c>
      <c r="G13" s="188">
        <v>2.77670704845815</v>
      </c>
      <c r="H13" s="189">
        <f t="shared" si="0"/>
        <v>0.65410456632200864</v>
      </c>
      <c r="I13" s="188">
        <v>2.5519648912826649</v>
      </c>
      <c r="J13" s="189">
        <f t="shared" si="0"/>
        <v>-0.22474215717548507</v>
      </c>
      <c r="K13" s="188">
        <v>2.5066105769230771</v>
      </c>
      <c r="L13" s="189">
        <f t="shared" si="1"/>
        <v>-4.5354314359587811E-2</v>
      </c>
      <c r="M13" s="188">
        <v>2.6832733093237295</v>
      </c>
      <c r="N13" s="189">
        <f t="shared" si="2"/>
        <v>0.17666273240065244</v>
      </c>
    </row>
    <row r="14" spans="1:15" x14ac:dyDescent="0.25">
      <c r="A14" s="1" t="s">
        <v>82</v>
      </c>
      <c r="B14" s="118" t="s">
        <v>83</v>
      </c>
      <c r="C14" s="188" t="s">
        <v>229</v>
      </c>
      <c r="D14" s="189" t="s">
        <v>229</v>
      </c>
      <c r="E14" s="188">
        <v>2.2000801924619084</v>
      </c>
      <c r="F14" s="189" t="str">
        <f t="shared" si="0"/>
        <v>-</v>
      </c>
      <c r="G14" s="188">
        <v>2.4949115044247789</v>
      </c>
      <c r="H14" s="189">
        <f t="shared" si="0"/>
        <v>0.29483131196287049</v>
      </c>
      <c r="I14" s="188">
        <v>2.4809854101889499</v>
      </c>
      <c r="J14" s="189">
        <f t="shared" si="0"/>
        <v>-1.3926094235829023E-2</v>
      </c>
      <c r="K14" s="188">
        <v>2.5517154389505552</v>
      </c>
      <c r="L14" s="189">
        <f t="shared" si="1"/>
        <v>7.0730028761605279E-2</v>
      </c>
      <c r="M14" s="188">
        <v>2.8302986161689732</v>
      </c>
      <c r="N14" s="189">
        <f t="shared" si="2"/>
        <v>0.27858317721841797</v>
      </c>
    </row>
    <row r="15" spans="1:15" x14ac:dyDescent="0.25">
      <c r="A15" s="1" t="s">
        <v>84</v>
      </c>
      <c r="B15" s="118" t="s">
        <v>85</v>
      </c>
      <c r="C15" s="188" t="s">
        <v>229</v>
      </c>
      <c r="D15" s="189" t="s">
        <v>229</v>
      </c>
      <c r="E15" s="188">
        <v>2.3360790774299836</v>
      </c>
      <c r="F15" s="189" t="str">
        <f t="shared" si="0"/>
        <v>-</v>
      </c>
      <c r="G15" s="188">
        <v>2.5052631578947366</v>
      </c>
      <c r="H15" s="189">
        <f t="shared" si="0"/>
        <v>0.16918408046475308</v>
      </c>
      <c r="I15" s="188">
        <v>2.2105990783410139</v>
      </c>
      <c r="J15" s="189">
        <f t="shared" si="0"/>
        <v>-0.29466407955372276</v>
      </c>
      <c r="K15" s="188">
        <v>2.2077073807968648</v>
      </c>
      <c r="L15" s="189">
        <f t="shared" si="1"/>
        <v>-2.8916975441490855E-3</v>
      </c>
      <c r="M15" s="188"/>
      <c r="N15" s="189"/>
    </row>
    <row r="16" spans="1:15" x14ac:dyDescent="0.25">
      <c r="A16" s="1" t="s">
        <v>86</v>
      </c>
      <c r="B16" s="118" t="s">
        <v>87</v>
      </c>
      <c r="C16" s="188">
        <v>2.499459848757652</v>
      </c>
      <c r="D16" s="189">
        <v>0.32659695508017172</v>
      </c>
      <c r="E16" s="188">
        <v>2.9317173096620008</v>
      </c>
      <c r="F16" s="189">
        <f t="shared" si="0"/>
        <v>0.4322574609043488</v>
      </c>
      <c r="G16" s="188">
        <v>2.6119023397761953</v>
      </c>
      <c r="H16" s="189">
        <f t="shared" si="0"/>
        <v>-0.31981496988580549</v>
      </c>
      <c r="I16" s="188">
        <v>2.5556512378902045</v>
      </c>
      <c r="J16" s="189">
        <f t="shared" si="0"/>
        <v>-5.6251101885990806E-2</v>
      </c>
      <c r="K16" s="188">
        <v>3.1938599517074855</v>
      </c>
      <c r="L16" s="189">
        <f t="shared" si="1"/>
        <v>0.63820871381728095</v>
      </c>
      <c r="M16" s="188"/>
      <c r="N16" s="189"/>
    </row>
    <row r="17" spans="1:15" x14ac:dyDescent="0.25">
      <c r="A17" s="1" t="s">
        <v>88</v>
      </c>
      <c r="B17" s="118" t="s">
        <v>89</v>
      </c>
      <c r="C17" s="188">
        <v>2.135487528344671</v>
      </c>
      <c r="D17" s="189">
        <v>4.8655716089129886E-2</v>
      </c>
      <c r="E17" s="188">
        <v>2.452733776188043</v>
      </c>
      <c r="F17" s="189">
        <f t="shared" si="0"/>
        <v>0.31724624784337196</v>
      </c>
      <c r="G17" s="188">
        <v>2.3955875928352994</v>
      </c>
      <c r="H17" s="189">
        <f t="shared" si="0"/>
        <v>-5.7146183352743574E-2</v>
      </c>
      <c r="I17" s="188">
        <v>2.3459411634594116</v>
      </c>
      <c r="J17" s="189">
        <f t="shared" si="0"/>
        <v>-4.9646429375887813E-2</v>
      </c>
      <c r="K17" s="188">
        <v>2.2301946137212503</v>
      </c>
      <c r="L17" s="189">
        <f t="shared" si="1"/>
        <v>-0.11574654973816134</v>
      </c>
      <c r="M17" s="188"/>
      <c r="N17" s="189"/>
    </row>
    <row r="18" spans="1:15" x14ac:dyDescent="0.25">
      <c r="A18" s="1" t="s">
        <v>90</v>
      </c>
      <c r="B18" s="118" t="s">
        <v>91</v>
      </c>
      <c r="C18" s="188">
        <v>2.0425170068027212</v>
      </c>
      <c r="D18" s="189">
        <v>-0.23159032695823667</v>
      </c>
      <c r="E18" s="188">
        <v>2.9937869822485208</v>
      </c>
      <c r="F18" s="189">
        <f t="shared" si="0"/>
        <v>0.95126997544579961</v>
      </c>
      <c r="G18" s="188">
        <v>2.8807453416149067</v>
      </c>
      <c r="H18" s="189">
        <f t="shared" si="0"/>
        <v>-0.1130416406336141</v>
      </c>
      <c r="I18" s="188">
        <v>2.5134645847476804</v>
      </c>
      <c r="J18" s="189">
        <f t="shared" si="0"/>
        <v>-0.36728075686722628</v>
      </c>
      <c r="K18" s="188">
        <v>2.4775360845700347</v>
      </c>
      <c r="L18" s="189">
        <f t="shared" si="1"/>
        <v>-3.5928500177645706E-2</v>
      </c>
      <c r="M18" s="188"/>
      <c r="N18" s="189"/>
    </row>
    <row r="19" spans="1:15" x14ac:dyDescent="0.25">
      <c r="A19" s="1" t="s">
        <v>92</v>
      </c>
      <c r="B19" s="118" t="s">
        <v>93</v>
      </c>
      <c r="C19" s="188">
        <v>2.0164492342597846</v>
      </c>
      <c r="D19" s="189">
        <v>-0.33604246009237482</v>
      </c>
      <c r="E19" s="188">
        <v>2.7396582733812949</v>
      </c>
      <c r="F19" s="189">
        <f t="shared" si="0"/>
        <v>0.72320903912151024</v>
      </c>
      <c r="G19" s="188">
        <v>2.6980157089706491</v>
      </c>
      <c r="H19" s="189">
        <f t="shared" si="0"/>
        <v>-4.1642564410645733E-2</v>
      </c>
      <c r="I19" s="188">
        <v>2.6623690572119258</v>
      </c>
      <c r="J19" s="189">
        <f t="shared" si="0"/>
        <v>-3.564665175872328E-2</v>
      </c>
      <c r="K19" s="188">
        <v>2.7401171303074672</v>
      </c>
      <c r="L19" s="189">
        <f t="shared" si="1"/>
        <v>7.7748073095541326E-2</v>
      </c>
      <c r="M19" s="188"/>
      <c r="N19" s="189"/>
    </row>
    <row r="20" spans="1:15" x14ac:dyDescent="0.25">
      <c r="A20" s="1" t="s">
        <v>94</v>
      </c>
      <c r="B20" s="118" t="s">
        <v>95</v>
      </c>
      <c r="C20" s="188">
        <v>2.2569676700111483</v>
      </c>
      <c r="D20" s="189">
        <v>-7.0529686937881308E-4</v>
      </c>
      <c r="E20" s="188">
        <v>2.4653312788906008</v>
      </c>
      <c r="F20" s="189">
        <f t="shared" si="0"/>
        <v>0.20836360887945249</v>
      </c>
      <c r="G20" s="188">
        <v>2.3449477351916377</v>
      </c>
      <c r="H20" s="189">
        <f t="shared" si="0"/>
        <v>-0.12038354369896309</v>
      </c>
      <c r="I20" s="188">
        <v>2.587568157033806</v>
      </c>
      <c r="J20" s="189">
        <f t="shared" si="0"/>
        <v>0.24262042184216837</v>
      </c>
      <c r="K20" s="188">
        <v>2.5476281560826322</v>
      </c>
      <c r="L20" s="189">
        <f t="shared" si="1"/>
        <v>-3.9940000951173893E-2</v>
      </c>
      <c r="M20" s="188"/>
      <c r="N20" s="189"/>
    </row>
    <row r="21" spans="1:15" ht="15.75" x14ac:dyDescent="0.25">
      <c r="A21" s="1" t="s">
        <v>0</v>
      </c>
      <c r="B21" s="121" t="s">
        <v>32</v>
      </c>
      <c r="C21" s="190">
        <v>2.437843193922629</v>
      </c>
      <c r="D21" s="191">
        <v>2.1067972650881117E-3</v>
      </c>
      <c r="E21" s="190">
        <v>2.4937806482478173</v>
      </c>
      <c r="F21" s="191">
        <f t="shared" si="0"/>
        <v>5.5937454325188263E-2</v>
      </c>
      <c r="G21" s="190">
        <v>2.6756725259784404</v>
      </c>
      <c r="H21" s="191">
        <f t="shared" si="0"/>
        <v>0.1818918777306231</v>
      </c>
      <c r="I21" s="190">
        <v>2.5505786061867015</v>
      </c>
      <c r="J21" s="191">
        <f t="shared" si="0"/>
        <v>-0.12509391979173889</v>
      </c>
      <c r="K21" s="190">
        <v>2.6538649194953647</v>
      </c>
      <c r="L21" s="191">
        <f t="shared" si="1"/>
        <v>0.10328631330866322</v>
      </c>
      <c r="M21" s="190">
        <v>2.7768817204301075</v>
      </c>
      <c r="N21" s="191">
        <v>4.7690702043912125E-5</v>
      </c>
    </row>
    <row r="22" spans="1:15" ht="6" customHeight="1" x14ac:dyDescent="0.25"/>
    <row r="23" spans="1:15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</row>
    <row r="24" spans="1:15" x14ac:dyDescent="0.25">
      <c r="E24" s="124"/>
      <c r="G24" s="124"/>
      <c r="I24" s="124"/>
      <c r="K24" s="124"/>
      <c r="N24" s="81"/>
    </row>
    <row r="26" spans="1:15" ht="59.25" customHeight="1" thickBot="1" x14ac:dyDescent="0.3">
      <c r="B26" s="278" t="s">
        <v>287</v>
      </c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1" t="s">
        <v>96</v>
      </c>
    </row>
    <row r="27" spans="1:15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O27" s="1" t="s">
        <v>97</v>
      </c>
    </row>
    <row r="28" spans="1:15" ht="22.5" thickTop="1" thickBot="1" x14ac:dyDescent="0.3">
      <c r="B28" s="125" t="s">
        <v>98</v>
      </c>
      <c r="C28" s="303" t="s">
        <v>99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15" ht="22.5" thickTop="1" thickBot="1" x14ac:dyDescent="0.3">
      <c r="B29" s="111"/>
      <c r="C29" s="305">
        <v>2020</v>
      </c>
      <c r="D29" s="306"/>
      <c r="E29" s="307">
        <v>2021</v>
      </c>
      <c r="F29" s="306"/>
      <c r="G29" s="307">
        <v>2022</v>
      </c>
      <c r="H29" s="306"/>
      <c r="I29" s="307">
        <v>2023</v>
      </c>
      <c r="J29" s="306"/>
      <c r="K29" s="307">
        <v>2024</v>
      </c>
      <c r="L29" s="306"/>
      <c r="M29" s="307">
        <v>2025</v>
      </c>
      <c r="N29" s="308"/>
    </row>
    <row r="30" spans="1:15" ht="16.5" thickTop="1" thickBot="1" x14ac:dyDescent="0.3">
      <c r="B30" s="87"/>
      <c r="C30" s="115" t="s">
        <v>71</v>
      </c>
      <c r="D30" s="116" t="str">
        <f>CONCATENATE("dif ",RIGHT(C29,2),"/",RIGHT(C29-1,2))</f>
        <v>dif 20/19</v>
      </c>
      <c r="E30" s="117" t="s">
        <v>71</v>
      </c>
      <c r="F30" s="116" t="str">
        <f>CONCATENATE("dif ",RIGHT(E29,2),"/",RIGHT(C29,2))</f>
        <v>dif 21/20</v>
      </c>
      <c r="G30" s="117" t="s">
        <v>71</v>
      </c>
      <c r="H30" s="116" t="str">
        <f>CONCATENATE("dif ",RIGHT(G29,2),"/",RIGHT(E29,2))</f>
        <v>dif 22/21</v>
      </c>
      <c r="I30" s="117" t="s">
        <v>71</v>
      </c>
      <c r="J30" s="116" t="str">
        <f>CONCATENATE("dif ",RIGHT(I29,2),"/",RIGHT(G29,2))</f>
        <v>dif 23/22</v>
      </c>
      <c r="K30" s="117" t="s">
        <v>71</v>
      </c>
      <c r="L30" s="116" t="str">
        <f>CONCATENATE("dif ",RIGHT(K29,2),"/",RIGHT(I29,2))</f>
        <v>dif 24/23</v>
      </c>
      <c r="M30" s="117" t="s">
        <v>71</v>
      </c>
      <c r="N30" s="116" t="str">
        <f>CONCATENATE("dif ",RIGHT(M29,2),"/",RIGHT(K29,2))</f>
        <v>dif 25/24</v>
      </c>
    </row>
    <row r="31" spans="1:15" x14ac:dyDescent="0.25">
      <c r="B31" s="118" t="s">
        <v>73</v>
      </c>
      <c r="C31" s="188">
        <v>1.9042170644001308</v>
      </c>
      <c r="D31" s="189">
        <v>-3.1457612124822898E-2</v>
      </c>
      <c r="E31" s="188">
        <v>1.9158075601374571</v>
      </c>
      <c r="F31" s="189">
        <f t="shared" ref="F31:J43" si="3">IFERROR(E31-C31,"-")</f>
        <v>1.159049573732629E-2</v>
      </c>
      <c r="G31" s="188">
        <v>2.7529610829103217</v>
      </c>
      <c r="H31" s="189">
        <f t="shared" si="3"/>
        <v>0.83715352277286459</v>
      </c>
      <c r="I31" s="188">
        <v>1.8540433925049309</v>
      </c>
      <c r="J31" s="189">
        <f t="shared" si="3"/>
        <v>-0.89891769040539082</v>
      </c>
      <c r="K31" s="188">
        <v>1.7593017914561322</v>
      </c>
      <c r="L31" s="189">
        <f t="shared" ref="L31:N43" si="4">IFERROR(K31-I31,"-")</f>
        <v>-9.4741601048798696E-2</v>
      </c>
      <c r="M31" s="188">
        <v>1.8163650075414781</v>
      </c>
      <c r="N31" s="189">
        <f t="shared" si="4"/>
        <v>5.7063216085345925E-2</v>
      </c>
    </row>
    <row r="32" spans="1:15" x14ac:dyDescent="0.25">
      <c r="B32" s="118" t="s">
        <v>75</v>
      </c>
      <c r="C32" s="188">
        <v>1.7546553413917021</v>
      </c>
      <c r="D32" s="189">
        <v>-0.14055320738458188</v>
      </c>
      <c r="E32" s="188">
        <v>1.6583229036295368</v>
      </c>
      <c r="F32" s="189">
        <f t="shared" si="3"/>
        <v>-9.6332437762165268E-2</v>
      </c>
      <c r="G32" s="188">
        <v>1.9862405681313804</v>
      </c>
      <c r="H32" s="189">
        <f t="shared" si="3"/>
        <v>0.32791766450184356</v>
      </c>
      <c r="I32" s="188">
        <v>1.8500483714930667</v>
      </c>
      <c r="J32" s="189">
        <f t="shared" si="3"/>
        <v>-0.13619219663831372</v>
      </c>
      <c r="K32" s="188">
        <v>2.2994923857868019</v>
      </c>
      <c r="L32" s="189">
        <f t="shared" si="4"/>
        <v>0.44944401429373526</v>
      </c>
      <c r="M32" s="188">
        <v>2.1857954545454548</v>
      </c>
      <c r="N32" s="189">
        <f t="shared" si="4"/>
        <v>-0.11369693124134717</v>
      </c>
    </row>
    <row r="33" spans="2:15" x14ac:dyDescent="0.25">
      <c r="B33" s="118" t="s">
        <v>77</v>
      </c>
      <c r="C33" s="188">
        <v>1.6356821589205397</v>
      </c>
      <c r="D33" s="189">
        <v>-0.24667078225593086</v>
      </c>
      <c r="E33" s="188">
        <v>1.814327485380117</v>
      </c>
      <c r="F33" s="189">
        <f t="shared" si="3"/>
        <v>0.17864532645957731</v>
      </c>
      <c r="G33" s="188">
        <v>2.0317519611505417</v>
      </c>
      <c r="H33" s="189">
        <f t="shared" si="3"/>
        <v>0.21742447577042467</v>
      </c>
      <c r="I33" s="188">
        <v>1.8848289973691903</v>
      </c>
      <c r="J33" s="189">
        <f t="shared" si="3"/>
        <v>-0.14692296378135139</v>
      </c>
      <c r="K33" s="188">
        <v>1.9806231003039514</v>
      </c>
      <c r="L33" s="189">
        <f t="shared" si="4"/>
        <v>9.5794102934761094E-2</v>
      </c>
      <c r="M33" s="188">
        <v>1.7477379659790084</v>
      </c>
      <c r="N33" s="189">
        <f t="shared" si="4"/>
        <v>-0.23288513432494296</v>
      </c>
    </row>
    <row r="34" spans="2:15" x14ac:dyDescent="0.25">
      <c r="B34" s="118" t="s">
        <v>79</v>
      </c>
      <c r="C34" s="188" t="s">
        <v>229</v>
      </c>
      <c r="D34" s="189" t="s">
        <v>229</v>
      </c>
      <c r="E34" s="188">
        <v>1.8201368523949168</v>
      </c>
      <c r="F34" s="189" t="str">
        <f>IFERROR(E34-C34,"-")</f>
        <v>-</v>
      </c>
      <c r="G34" s="188">
        <v>2.2582731076454925</v>
      </c>
      <c r="H34" s="189">
        <f>IFERROR(G34-E34,"-")</f>
        <v>0.43813625525057565</v>
      </c>
      <c r="I34" s="188">
        <v>1.7696677080374894</v>
      </c>
      <c r="J34" s="189">
        <f>IFERROR(I34-G34,"-")</f>
        <v>-0.48860539960800309</v>
      </c>
      <c r="K34" s="188">
        <v>1.8177655677655677</v>
      </c>
      <c r="L34" s="189">
        <f>IFERROR(K34-I34,"-")</f>
        <v>4.809785972807834E-2</v>
      </c>
      <c r="M34" s="188">
        <v>2.1689594356261024</v>
      </c>
      <c r="N34" s="189">
        <f t="shared" si="4"/>
        <v>0.35119386786053464</v>
      </c>
    </row>
    <row r="35" spans="2:15" x14ac:dyDescent="0.25">
      <c r="B35" s="118" t="s">
        <v>81</v>
      </c>
      <c r="C35" s="188" t="s">
        <v>229</v>
      </c>
      <c r="D35" s="189" t="s">
        <v>229</v>
      </c>
      <c r="E35" s="188">
        <v>1.8474870017331022</v>
      </c>
      <c r="F35" s="189" t="str">
        <f t="shared" si="3"/>
        <v>-</v>
      </c>
      <c r="G35" s="188">
        <v>2.1116956697693241</v>
      </c>
      <c r="H35" s="189">
        <f t="shared" si="3"/>
        <v>0.26420866803622189</v>
      </c>
      <c r="I35" s="188">
        <v>2.0239369191776966</v>
      </c>
      <c r="J35" s="189">
        <f t="shared" si="3"/>
        <v>-8.7758750591627521E-2</v>
      </c>
      <c r="K35" s="188">
        <v>1.8523102310231023</v>
      </c>
      <c r="L35" s="189">
        <f t="shared" si="4"/>
        <v>-0.17162668815459425</v>
      </c>
      <c r="M35" s="188">
        <v>2.14046061984646</v>
      </c>
      <c r="N35" s="189">
        <f t="shared" si="4"/>
        <v>0.28815038882335764</v>
      </c>
    </row>
    <row r="36" spans="2:15" x14ac:dyDescent="0.25">
      <c r="B36" s="118" t="s">
        <v>83</v>
      </c>
      <c r="C36" s="188" t="s">
        <v>229</v>
      </c>
      <c r="D36" s="189" t="s">
        <v>229</v>
      </c>
      <c r="E36" s="188">
        <v>1.6966057441253264</v>
      </c>
      <c r="F36" s="189" t="str">
        <f t="shared" si="3"/>
        <v>-</v>
      </c>
      <c r="G36" s="188">
        <v>2.2217877094972067</v>
      </c>
      <c r="H36" s="189">
        <f t="shared" si="3"/>
        <v>0.52518196537188033</v>
      </c>
      <c r="I36" s="188">
        <v>1.9933008526187577</v>
      </c>
      <c r="J36" s="189">
        <f t="shared" si="3"/>
        <v>-0.22848685687844905</v>
      </c>
      <c r="K36" s="188">
        <v>2.0435505319148937</v>
      </c>
      <c r="L36" s="189">
        <f t="shared" si="4"/>
        <v>5.0249679296135996E-2</v>
      </c>
      <c r="M36" s="188">
        <v>2.3801732435033687</v>
      </c>
      <c r="N36" s="189">
        <f t="shared" si="4"/>
        <v>0.33662271158847501</v>
      </c>
    </row>
    <row r="37" spans="2:15" x14ac:dyDescent="0.25">
      <c r="B37" s="118" t="s">
        <v>85</v>
      </c>
      <c r="C37" s="188" t="s">
        <v>229</v>
      </c>
      <c r="D37" s="189" t="s">
        <v>229</v>
      </c>
      <c r="E37" s="188">
        <v>1.9532019704433496</v>
      </c>
      <c r="F37" s="189" t="str">
        <f t="shared" si="3"/>
        <v>-</v>
      </c>
      <c r="G37" s="188">
        <v>2.0493939393939393</v>
      </c>
      <c r="H37" s="189">
        <f t="shared" si="3"/>
        <v>9.6191968950589679E-2</v>
      </c>
      <c r="I37" s="188">
        <v>1.9799121155053359</v>
      </c>
      <c r="J37" s="189">
        <f t="shared" si="3"/>
        <v>-6.9481823888603467E-2</v>
      </c>
      <c r="K37" s="188">
        <v>1.9556135770234986</v>
      </c>
      <c r="L37" s="189">
        <f t="shared" si="4"/>
        <v>-2.4298538481837273E-2</v>
      </c>
      <c r="M37" s="188"/>
      <c r="N37" s="189"/>
    </row>
    <row r="38" spans="2:15" x14ac:dyDescent="0.25">
      <c r="B38" s="118" t="s">
        <v>87</v>
      </c>
      <c r="C38" s="188">
        <v>2.3508196721311476</v>
      </c>
      <c r="D38" s="189">
        <v>0.30138877782220463</v>
      </c>
      <c r="E38" s="188">
        <v>2.4569536423841059</v>
      </c>
      <c r="F38" s="189">
        <f t="shared" si="3"/>
        <v>0.10613397025295823</v>
      </c>
      <c r="G38" s="188">
        <v>2.3296067848882034</v>
      </c>
      <c r="H38" s="189">
        <f t="shared" si="3"/>
        <v>-0.12734685749590247</v>
      </c>
      <c r="I38" s="188">
        <v>2.120403321470937</v>
      </c>
      <c r="J38" s="189">
        <f t="shared" si="3"/>
        <v>-0.20920346341726637</v>
      </c>
      <c r="K38" s="188">
        <v>2.7328288707799766</v>
      </c>
      <c r="L38" s="189">
        <f t="shared" si="4"/>
        <v>0.61242554930903959</v>
      </c>
      <c r="M38" s="188"/>
      <c r="N38" s="189"/>
    </row>
    <row r="39" spans="2:15" x14ac:dyDescent="0.25">
      <c r="B39" s="118" t="s">
        <v>89</v>
      </c>
      <c r="C39" s="188">
        <v>2.1324549237170598</v>
      </c>
      <c r="D39" s="189">
        <v>0.27851833661339032</v>
      </c>
      <c r="E39" s="188">
        <v>2.1088917525773194</v>
      </c>
      <c r="F39" s="189">
        <f t="shared" si="3"/>
        <v>-2.356317113974038E-2</v>
      </c>
      <c r="G39" s="188">
        <v>1.9187802792818467</v>
      </c>
      <c r="H39" s="189">
        <f t="shared" si="3"/>
        <v>-0.19011147329547273</v>
      </c>
      <c r="I39" s="188">
        <v>1.8982850384387937</v>
      </c>
      <c r="J39" s="189">
        <f t="shared" si="3"/>
        <v>-2.0495240843052986E-2</v>
      </c>
      <c r="K39" s="188">
        <v>1.8101173020527859</v>
      </c>
      <c r="L39" s="189">
        <f t="shared" si="4"/>
        <v>-8.8167736386007833E-2</v>
      </c>
      <c r="M39" s="188"/>
      <c r="N39" s="189"/>
    </row>
    <row r="40" spans="2:15" x14ac:dyDescent="0.25">
      <c r="B40" s="118" t="s">
        <v>91</v>
      </c>
      <c r="C40" s="188">
        <v>2.0562546262028127</v>
      </c>
      <c r="D40" s="189">
        <v>0.16517182365504213</v>
      </c>
      <c r="E40" s="188">
        <v>1.844381758345087</v>
      </c>
      <c r="F40" s="189">
        <f t="shared" si="3"/>
        <v>-0.21187286785772574</v>
      </c>
      <c r="G40" s="188">
        <v>2.1810207336523124</v>
      </c>
      <c r="H40" s="189">
        <f t="shared" si="3"/>
        <v>0.33663897530722542</v>
      </c>
      <c r="I40" s="188">
        <v>1.9529203539823008</v>
      </c>
      <c r="J40" s="189">
        <f t="shared" si="3"/>
        <v>-0.22810037967001162</v>
      </c>
      <c r="K40" s="188">
        <v>1.8134092346616066</v>
      </c>
      <c r="L40" s="189">
        <f t="shared" si="4"/>
        <v>-0.13951111932069415</v>
      </c>
      <c r="M40" s="188"/>
      <c r="N40" s="189"/>
    </row>
    <row r="41" spans="2:15" x14ac:dyDescent="0.25">
      <c r="B41" s="118" t="s">
        <v>93</v>
      </c>
      <c r="C41" s="188">
        <v>1.9450636942675159</v>
      </c>
      <c r="D41" s="189">
        <v>0.18364237447056153</v>
      </c>
      <c r="E41" s="188">
        <v>1.8789903489235338</v>
      </c>
      <c r="F41" s="189">
        <f t="shared" si="3"/>
        <v>-6.6073345343982126E-2</v>
      </c>
      <c r="G41" s="188">
        <v>1.8751584283903675</v>
      </c>
      <c r="H41" s="189">
        <f t="shared" si="3"/>
        <v>-3.8319205331662776E-3</v>
      </c>
      <c r="I41" s="188">
        <v>1.8118126272912423</v>
      </c>
      <c r="J41" s="189">
        <f t="shared" si="3"/>
        <v>-6.3345801099125243E-2</v>
      </c>
      <c r="K41" s="188">
        <v>2.2344701583434836</v>
      </c>
      <c r="L41" s="189">
        <f t="shared" si="4"/>
        <v>0.42265753105224135</v>
      </c>
      <c r="M41" s="188"/>
      <c r="N41" s="189"/>
    </row>
    <row r="42" spans="2:15" x14ac:dyDescent="0.25">
      <c r="B42" s="118" t="s">
        <v>95</v>
      </c>
      <c r="C42" s="188">
        <v>2.1720807726075506</v>
      </c>
      <c r="D42" s="189">
        <v>0.4360325071475204</v>
      </c>
      <c r="E42" s="188">
        <v>1.9224517439891635</v>
      </c>
      <c r="F42" s="189">
        <f t="shared" si="3"/>
        <v>-0.24962902861838709</v>
      </c>
      <c r="G42" s="188">
        <v>1.8219708246501936</v>
      </c>
      <c r="H42" s="189">
        <f t="shared" si="3"/>
        <v>-0.10048091933896997</v>
      </c>
      <c r="I42" s="188">
        <v>1.8590240123934934</v>
      </c>
      <c r="J42" s="189">
        <f t="shared" si="3"/>
        <v>3.7053187743299798E-2</v>
      </c>
      <c r="K42" s="188">
        <v>1.9500310366232154</v>
      </c>
      <c r="L42" s="189">
        <f t="shared" si="4"/>
        <v>9.1007024229722067E-2</v>
      </c>
      <c r="M42" s="188"/>
      <c r="N42" s="189"/>
    </row>
    <row r="43" spans="2:15" ht="15.75" x14ac:dyDescent="0.25">
      <c r="B43" s="121" t="s">
        <v>32</v>
      </c>
      <c r="C43" s="190">
        <v>1.9846470698371093</v>
      </c>
      <c r="D43" s="191">
        <v>1.9831207340813561E-2</v>
      </c>
      <c r="E43" s="190">
        <v>1.9355328547763666</v>
      </c>
      <c r="F43" s="191">
        <f t="shared" si="3"/>
        <v>-4.911421506074265E-2</v>
      </c>
      <c r="G43" s="190">
        <v>2.098583217486468</v>
      </c>
      <c r="H43" s="191">
        <f t="shared" si="3"/>
        <v>0.16305036271010143</v>
      </c>
      <c r="I43" s="190">
        <v>1.9201526960394464</v>
      </c>
      <c r="J43" s="191">
        <f t="shared" si="3"/>
        <v>-0.17843052144702165</v>
      </c>
      <c r="K43" s="190">
        <v>1.9837804639736467</v>
      </c>
      <c r="L43" s="191">
        <f t="shared" si="4"/>
        <v>6.362776793420033E-2</v>
      </c>
      <c r="M43" s="190">
        <v>2.0781663061763997</v>
      </c>
      <c r="N43" s="191">
        <v>0.13314973420670273</v>
      </c>
    </row>
    <row r="44" spans="2:15" ht="6" customHeight="1" x14ac:dyDescent="0.25"/>
    <row r="45" spans="2:15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7" spans="2:15" x14ac:dyDescent="0.25">
      <c r="E47" s="124"/>
      <c r="G47" s="124"/>
      <c r="I47" s="124"/>
      <c r="K47" s="126"/>
    </row>
    <row r="48" spans="2:15" ht="48.75" customHeight="1" thickBot="1" x14ac:dyDescent="0.3">
      <c r="B48" s="278" t="s">
        <v>288</v>
      </c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1" t="s">
        <v>100</v>
      </c>
    </row>
    <row r="49" spans="1:15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O49" s="1" t="s">
        <v>101</v>
      </c>
    </row>
    <row r="50" spans="1:15" ht="22.5" thickTop="1" thickBot="1" x14ac:dyDescent="0.3">
      <c r="B50" s="111"/>
      <c r="C50" s="303" t="s">
        <v>102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1:15" ht="22.5" thickTop="1" thickBot="1" x14ac:dyDescent="0.3">
      <c r="B51" s="111"/>
      <c r="C51" s="305">
        <v>2020</v>
      </c>
      <c r="D51" s="306"/>
      <c r="E51" s="307">
        <v>2021</v>
      </c>
      <c r="F51" s="306"/>
      <c r="G51" s="307">
        <v>2022</v>
      </c>
      <c r="H51" s="306"/>
      <c r="I51" s="307">
        <v>2023</v>
      </c>
      <c r="J51" s="306"/>
      <c r="K51" s="307">
        <v>2024</v>
      </c>
      <c r="L51" s="306"/>
      <c r="M51" s="307">
        <v>2025</v>
      </c>
      <c r="N51" s="308"/>
    </row>
    <row r="52" spans="1:15" ht="16.5" thickTop="1" thickBot="1" x14ac:dyDescent="0.3">
      <c r="B52" s="87"/>
      <c r="C52" s="115" t="s">
        <v>71</v>
      </c>
      <c r="D52" s="116" t="str">
        <f>CONCATENATE("dif ",RIGHT(C51,2),"/",RIGHT(C51-1,2))</f>
        <v>dif 20/19</v>
      </c>
      <c r="E52" s="117" t="s">
        <v>71</v>
      </c>
      <c r="F52" s="116" t="str">
        <f>CONCATENATE("dif ",RIGHT(E51,2),"/",RIGHT(C51,2))</f>
        <v>dif 21/20</v>
      </c>
      <c r="G52" s="117" t="s">
        <v>71</v>
      </c>
      <c r="H52" s="116" t="str">
        <f>CONCATENATE("dif ",RIGHT(G51,2),"/",RIGHT(E51,2))</f>
        <v>dif 22/21</v>
      </c>
      <c r="I52" s="117" t="s">
        <v>71</v>
      </c>
      <c r="J52" s="116" t="str">
        <f>CONCATENATE("dif ",RIGHT(I51,2),"/",RIGHT(G51,2))</f>
        <v>dif 23/22</v>
      </c>
      <c r="K52" s="117" t="s">
        <v>71</v>
      </c>
      <c r="L52" s="116" t="str">
        <f>CONCATENATE("dif ",RIGHT(K51,2),"/",RIGHT(I51,2))</f>
        <v>dif 24/23</v>
      </c>
      <c r="M52" s="117" t="s">
        <v>71</v>
      </c>
      <c r="N52" s="116" t="str">
        <f>CONCATENATE("dif ",RIGHT(M51,2),"/",RIGHT(K51,2))</f>
        <v>dif 25/24</v>
      </c>
    </row>
    <row r="53" spans="1:15" x14ac:dyDescent="0.25">
      <c r="A53" s="1">
        <v>1</v>
      </c>
      <c r="B53" s="118" t="s">
        <v>73</v>
      </c>
      <c r="C53" s="188">
        <v>2.4701986754966887</v>
      </c>
      <c r="D53" s="189">
        <v>0.29061310373920612</v>
      </c>
      <c r="E53" s="188">
        <v>1.8877887788778878</v>
      </c>
      <c r="F53" s="189">
        <f t="shared" ref="F53:J65" si="5">IFERROR(E53-C53,"-")</f>
        <v>-0.58240989661880094</v>
      </c>
      <c r="G53" s="188">
        <v>2.7045235803657364</v>
      </c>
      <c r="H53" s="189">
        <f t="shared" si="5"/>
        <v>0.81673480148784861</v>
      </c>
      <c r="I53" s="188">
        <v>2.1779062299293512</v>
      </c>
      <c r="J53" s="189">
        <f t="shared" si="5"/>
        <v>-0.52661735043638513</v>
      </c>
      <c r="K53" s="188">
        <v>1.8096885813148789</v>
      </c>
      <c r="L53" s="189">
        <f t="shared" ref="L53:N65" si="6">IFERROR(K53-I53,"-")</f>
        <v>-0.36821764861447237</v>
      </c>
      <c r="M53" s="188">
        <v>1.9697488584474885</v>
      </c>
      <c r="N53" s="189">
        <f t="shared" si="6"/>
        <v>0.16006027713260962</v>
      </c>
    </row>
    <row r="54" spans="1:15" x14ac:dyDescent="0.25">
      <c r="A54" s="1">
        <v>2</v>
      </c>
      <c r="B54" s="118" t="s">
        <v>75</v>
      </c>
      <c r="C54" s="188">
        <v>2.0367700072098054</v>
      </c>
      <c r="D54" s="189">
        <v>-0.13761691377112095</v>
      </c>
      <c r="E54" s="188">
        <v>1.7869822485207101</v>
      </c>
      <c r="F54" s="189">
        <f t="shared" si="5"/>
        <v>-0.24978775868909531</v>
      </c>
      <c r="G54" s="188">
        <v>2.3289124668435015</v>
      </c>
      <c r="H54" s="189">
        <f t="shared" si="5"/>
        <v>0.54193021832279142</v>
      </c>
      <c r="I54" s="188">
        <v>1.910030627871363</v>
      </c>
      <c r="J54" s="189">
        <f t="shared" si="5"/>
        <v>-0.41888183897213849</v>
      </c>
      <c r="K54" s="188">
        <v>2.0161987041036715</v>
      </c>
      <c r="L54" s="189">
        <f t="shared" si="6"/>
        <v>0.10616807623230851</v>
      </c>
      <c r="M54" s="188">
        <v>1.8417213712618528</v>
      </c>
      <c r="N54" s="189">
        <f t="shared" si="6"/>
        <v>-0.17447733284181877</v>
      </c>
    </row>
    <row r="55" spans="1:15" x14ac:dyDescent="0.25">
      <c r="A55" s="1">
        <v>3</v>
      </c>
      <c r="B55" s="118" t="s">
        <v>77</v>
      </c>
      <c r="C55" s="188">
        <v>1.8451612903225807</v>
      </c>
      <c r="D55" s="189">
        <v>-0.24615132857405841</v>
      </c>
      <c r="E55" s="188">
        <v>1.8140000000000001</v>
      </c>
      <c r="F55" s="189">
        <f t="shared" si="5"/>
        <v>-3.1161290322580637E-2</v>
      </c>
      <c r="G55" s="188">
        <v>2.0361816782140107</v>
      </c>
      <c r="H55" s="189">
        <f t="shared" si="5"/>
        <v>0.22218167821401069</v>
      </c>
      <c r="I55" s="188">
        <v>1.9119541875447388</v>
      </c>
      <c r="J55" s="189">
        <f t="shared" si="5"/>
        <v>-0.12422749066927197</v>
      </c>
      <c r="K55" s="188">
        <v>2.1184280403611258</v>
      </c>
      <c r="L55" s="189">
        <f t="shared" si="6"/>
        <v>0.20647385281638697</v>
      </c>
      <c r="M55" s="188">
        <v>1.8521017125064867</v>
      </c>
      <c r="N55" s="189">
        <f t="shared" si="6"/>
        <v>-0.26632632785463906</v>
      </c>
    </row>
    <row r="56" spans="1:15" x14ac:dyDescent="0.25">
      <c r="A56" s="1">
        <v>4</v>
      </c>
      <c r="B56" s="118" t="s">
        <v>79</v>
      </c>
      <c r="C56" s="188" t="s">
        <v>229</v>
      </c>
      <c r="D56" s="189" t="s">
        <v>229</v>
      </c>
      <c r="E56" s="188">
        <v>1.8374760994263861</v>
      </c>
      <c r="F56" s="189" t="str">
        <f>IFERROR(E56-C56,"-")</f>
        <v>-</v>
      </c>
      <c r="G56" s="188">
        <v>2.7884615384615383</v>
      </c>
      <c r="H56" s="189">
        <f>IFERROR(G56-E56,"-")</f>
        <v>0.9509854390351522</v>
      </c>
      <c r="I56" s="188">
        <v>1.8283518360375748</v>
      </c>
      <c r="J56" s="189">
        <f>IFERROR(I56-G56,"-")</f>
        <v>-0.96010970242396354</v>
      </c>
      <c r="K56" s="188">
        <v>1.8955807587016034</v>
      </c>
      <c r="L56" s="189">
        <f>IFERROR(K56-I56,"-")</f>
        <v>6.7228922664028579E-2</v>
      </c>
      <c r="M56" s="188">
        <v>2.4029925187032419</v>
      </c>
      <c r="N56" s="189">
        <f t="shared" si="6"/>
        <v>0.50741176000163857</v>
      </c>
    </row>
    <row r="57" spans="1:15" x14ac:dyDescent="0.25">
      <c r="A57" s="1">
        <v>5</v>
      </c>
      <c r="B57" s="118" t="s">
        <v>81</v>
      </c>
      <c r="C57" s="188" t="s">
        <v>229</v>
      </c>
      <c r="D57" s="189" t="s">
        <v>229</v>
      </c>
      <c r="E57" s="188">
        <v>1.8921282798833818</v>
      </c>
      <c r="F57" s="189" t="str">
        <f t="shared" si="5"/>
        <v>-</v>
      </c>
      <c r="G57" s="188">
        <v>2.4585942936673626</v>
      </c>
      <c r="H57" s="189">
        <f t="shared" si="5"/>
        <v>0.56646601378398076</v>
      </c>
      <c r="I57" s="188">
        <v>2.3117593436645398</v>
      </c>
      <c r="J57" s="189">
        <f t="shared" si="5"/>
        <v>-0.14683495000282276</v>
      </c>
      <c r="K57" s="188">
        <v>2.032228778937812</v>
      </c>
      <c r="L57" s="189">
        <f t="shared" si="6"/>
        <v>-0.27953056472672788</v>
      </c>
      <c r="M57" s="188">
        <v>2.077142857142857</v>
      </c>
      <c r="N57" s="189">
        <f t="shared" si="6"/>
        <v>4.4914078205045005E-2</v>
      </c>
    </row>
    <row r="58" spans="1:15" x14ac:dyDescent="0.25">
      <c r="A58" s="1">
        <v>6</v>
      </c>
      <c r="B58" s="118" t="s">
        <v>83</v>
      </c>
      <c r="C58" s="188" t="s">
        <v>229</v>
      </c>
      <c r="D58" s="189" t="s">
        <v>229</v>
      </c>
      <c r="E58" s="188">
        <v>1.8134969325153374</v>
      </c>
      <c r="F58" s="189" t="str">
        <f t="shared" si="5"/>
        <v>-</v>
      </c>
      <c r="G58" s="188">
        <v>2.155002891844997</v>
      </c>
      <c r="H58" s="189">
        <f t="shared" si="5"/>
        <v>0.34150595932965966</v>
      </c>
      <c r="I58" s="188">
        <v>2.1816707218167073</v>
      </c>
      <c r="J58" s="189">
        <f t="shared" si="5"/>
        <v>2.6667829971710244E-2</v>
      </c>
      <c r="K58" s="188">
        <v>2.174083769633508</v>
      </c>
      <c r="L58" s="189">
        <f t="shared" si="6"/>
        <v>-7.5869521831992692E-3</v>
      </c>
      <c r="M58" s="188">
        <v>2.0606205250596661</v>
      </c>
      <c r="N58" s="189">
        <f t="shared" si="6"/>
        <v>-0.11346324457384194</v>
      </c>
    </row>
    <row r="59" spans="1:15" x14ac:dyDescent="0.25">
      <c r="A59" s="1">
        <v>7</v>
      </c>
      <c r="B59" s="118" t="s">
        <v>85</v>
      </c>
      <c r="C59" s="188" t="s">
        <v>229</v>
      </c>
      <c r="D59" s="189" t="s">
        <v>229</v>
      </c>
      <c r="E59" s="188">
        <v>1.9929577464788732</v>
      </c>
      <c r="F59" s="189" t="str">
        <f t="shared" si="5"/>
        <v>-</v>
      </c>
      <c r="G59" s="188">
        <v>2.4557438794726929</v>
      </c>
      <c r="H59" s="189">
        <f t="shared" si="5"/>
        <v>0.46278613299381965</v>
      </c>
      <c r="I59" s="188">
        <v>2.1775417298937785</v>
      </c>
      <c r="J59" s="189">
        <f t="shared" si="5"/>
        <v>-0.27820214957891443</v>
      </c>
      <c r="K59" s="188">
        <v>2.2250136537411249</v>
      </c>
      <c r="L59" s="189">
        <f t="shared" si="6"/>
        <v>4.7471923847346442E-2</v>
      </c>
      <c r="M59" s="188"/>
      <c r="N59" s="189"/>
    </row>
    <row r="60" spans="1:15" x14ac:dyDescent="0.25">
      <c r="A60" s="1">
        <v>8</v>
      </c>
      <c r="B60" s="118" t="s">
        <v>87</v>
      </c>
      <c r="C60" s="188">
        <v>2.4185218165627784</v>
      </c>
      <c r="D60" s="189">
        <v>-7.4163952787298371E-4</v>
      </c>
      <c r="E60" s="188">
        <v>2.6215071972904318</v>
      </c>
      <c r="F60" s="189">
        <f t="shared" si="5"/>
        <v>0.20298538072765338</v>
      </c>
      <c r="G60" s="188">
        <v>2.5198487712665405</v>
      </c>
      <c r="H60" s="189">
        <f t="shared" si="5"/>
        <v>-0.1016584260238913</v>
      </c>
      <c r="I60" s="188">
        <v>2.29901707190895</v>
      </c>
      <c r="J60" s="189">
        <f t="shared" si="5"/>
        <v>-0.22083169935759051</v>
      </c>
      <c r="K60" s="188">
        <v>2.3365758754863815</v>
      </c>
      <c r="L60" s="189">
        <f t="shared" si="6"/>
        <v>3.7558803577431465E-2</v>
      </c>
      <c r="M60" s="188"/>
      <c r="N60" s="189"/>
    </row>
    <row r="61" spans="1:15" x14ac:dyDescent="0.25">
      <c r="A61" s="1">
        <v>9</v>
      </c>
      <c r="B61" s="118" t="s">
        <v>89</v>
      </c>
      <c r="C61" s="188">
        <v>2.3158584534731324</v>
      </c>
      <c r="D61" s="189">
        <v>0.23755385577198274</v>
      </c>
      <c r="E61" s="188">
        <v>2.1552369077306732</v>
      </c>
      <c r="F61" s="189">
        <f t="shared" si="5"/>
        <v>-0.16062154574245913</v>
      </c>
      <c r="G61" s="188">
        <v>2.1402838427947599</v>
      </c>
      <c r="H61" s="189">
        <f t="shared" si="5"/>
        <v>-1.4953064935913307E-2</v>
      </c>
      <c r="I61" s="188">
        <v>1.996734693877551</v>
      </c>
      <c r="J61" s="189">
        <f t="shared" si="5"/>
        <v>-0.14354914891720894</v>
      </c>
      <c r="K61" s="188">
        <v>2.0187553282182438</v>
      </c>
      <c r="L61" s="189">
        <f t="shared" si="6"/>
        <v>2.2020634340692791E-2</v>
      </c>
      <c r="M61" s="188"/>
      <c r="N61" s="189"/>
    </row>
    <row r="62" spans="1:15" x14ac:dyDescent="0.25">
      <c r="A62" s="1">
        <v>10</v>
      </c>
      <c r="B62" s="118" t="s">
        <v>91</v>
      </c>
      <c r="C62" s="188">
        <v>2.404040404040404</v>
      </c>
      <c r="D62" s="189">
        <v>0.44884692135201298</v>
      </c>
      <c r="E62" s="188">
        <v>1.8752688172043011</v>
      </c>
      <c r="F62" s="189">
        <f t="shared" si="5"/>
        <v>-0.52877158683610292</v>
      </c>
      <c r="G62" s="188">
        <v>2.4211590296495955</v>
      </c>
      <c r="H62" s="189">
        <f t="shared" si="5"/>
        <v>0.54589021244529445</v>
      </c>
      <c r="I62" s="188">
        <v>2.0656192236598891</v>
      </c>
      <c r="J62" s="189">
        <f t="shared" si="5"/>
        <v>-0.35553980598970636</v>
      </c>
      <c r="K62" s="188">
        <v>2.0150204824761038</v>
      </c>
      <c r="L62" s="189">
        <f t="shared" si="6"/>
        <v>-5.0598741183785378E-2</v>
      </c>
      <c r="M62" s="188"/>
      <c r="N62" s="189"/>
    </row>
    <row r="63" spans="1:15" x14ac:dyDescent="0.25">
      <c r="A63" s="1">
        <v>11</v>
      </c>
      <c r="B63" s="118" t="s">
        <v>93</v>
      </c>
      <c r="C63" s="188">
        <v>2.1905737704918034</v>
      </c>
      <c r="D63" s="189">
        <v>0.30703963394561851</v>
      </c>
      <c r="E63" s="188">
        <v>1.9847826086956522</v>
      </c>
      <c r="F63" s="189">
        <f t="shared" si="5"/>
        <v>-0.2057911617961512</v>
      </c>
      <c r="G63" s="188">
        <v>2.0983709273182956</v>
      </c>
      <c r="H63" s="189">
        <f t="shared" si="5"/>
        <v>0.1135883186226434</v>
      </c>
      <c r="I63" s="188">
        <v>1.8906950672645739</v>
      </c>
      <c r="J63" s="189">
        <f t="shared" si="5"/>
        <v>-0.20767586005372163</v>
      </c>
      <c r="K63" s="188">
        <v>2.0650684931506849</v>
      </c>
      <c r="L63" s="189">
        <f t="shared" si="6"/>
        <v>0.17437342588611093</v>
      </c>
      <c r="M63" s="188"/>
      <c r="N63" s="189"/>
    </row>
    <row r="64" spans="1:15" x14ac:dyDescent="0.25">
      <c r="A64" s="1">
        <v>12</v>
      </c>
      <c r="B64" s="118" t="s">
        <v>95</v>
      </c>
      <c r="C64" s="188">
        <v>1.8355795148247978</v>
      </c>
      <c r="D64" s="189">
        <v>0.19841970487126126</v>
      </c>
      <c r="E64" s="188">
        <v>2.1591062965470549</v>
      </c>
      <c r="F64" s="189">
        <f t="shared" si="5"/>
        <v>0.32352678172225713</v>
      </c>
      <c r="G64" s="188">
        <v>2.0200647249190937</v>
      </c>
      <c r="H64" s="189">
        <f t="shared" si="5"/>
        <v>-0.13904157162796116</v>
      </c>
      <c r="I64" s="188">
        <v>2.0252631578947367</v>
      </c>
      <c r="J64" s="189">
        <f t="shared" si="5"/>
        <v>5.1984329756429304E-3</v>
      </c>
      <c r="K64" s="188">
        <v>2.1170091324200913</v>
      </c>
      <c r="L64" s="189">
        <f t="shared" si="6"/>
        <v>9.1745974525354601E-2</v>
      </c>
      <c r="M64" s="188"/>
      <c r="N64" s="189"/>
    </row>
    <row r="65" spans="1:15" ht="15.75" x14ac:dyDescent="0.25">
      <c r="B65" s="121" t="s">
        <v>32</v>
      </c>
      <c r="C65" s="190">
        <v>2.2143343779806512</v>
      </c>
      <c r="D65" s="191">
        <v>-8.1414096181466888E-3</v>
      </c>
      <c r="E65" s="190">
        <v>2.0525580095051721</v>
      </c>
      <c r="F65" s="191">
        <f t="shared" si="5"/>
        <v>-0.16177636847547916</v>
      </c>
      <c r="G65" s="190">
        <v>2.3243721461187214</v>
      </c>
      <c r="H65" s="191">
        <f t="shared" si="5"/>
        <v>0.27181413661354936</v>
      </c>
      <c r="I65" s="190">
        <v>2.0556463538018521</v>
      </c>
      <c r="J65" s="191">
        <f t="shared" si="5"/>
        <v>-0.26872579231686933</v>
      </c>
      <c r="K65" s="190">
        <v>2.0637738055462744</v>
      </c>
      <c r="L65" s="191">
        <f t="shared" si="6"/>
        <v>8.1274517444223093E-3</v>
      </c>
      <c r="M65" s="190">
        <v>2.0481777777777777</v>
      </c>
      <c r="N65" s="191">
        <v>3.3380524671172029E-2</v>
      </c>
    </row>
    <row r="66" spans="1:15" ht="6" customHeight="1" x14ac:dyDescent="0.25"/>
    <row r="67" spans="1:15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70" spans="1:15" ht="48.75" customHeight="1" thickBot="1" x14ac:dyDescent="0.3">
      <c r="B70" s="278" t="s">
        <v>289</v>
      </c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1" t="s">
        <v>103</v>
      </c>
    </row>
    <row r="71" spans="1:15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O71" s="1" t="s">
        <v>104</v>
      </c>
    </row>
    <row r="72" spans="1:15" ht="22.5" thickTop="1" thickBot="1" x14ac:dyDescent="0.3">
      <c r="B72" s="111"/>
      <c r="C72" s="303" t="s">
        <v>105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1:15" ht="22.5" thickTop="1" thickBot="1" x14ac:dyDescent="0.3">
      <c r="B73" s="111"/>
      <c r="C73" s="305">
        <v>2020</v>
      </c>
      <c r="D73" s="306"/>
      <c r="E73" s="307">
        <v>2021</v>
      </c>
      <c r="F73" s="306"/>
      <c r="G73" s="307">
        <v>2022</v>
      </c>
      <c r="H73" s="306"/>
      <c r="I73" s="307">
        <v>2023</v>
      </c>
      <c r="J73" s="306"/>
      <c r="K73" s="307">
        <v>2024</v>
      </c>
      <c r="L73" s="306"/>
      <c r="M73" s="307">
        <v>2025</v>
      </c>
      <c r="N73" s="308"/>
    </row>
    <row r="74" spans="1:15" ht="16.5" thickTop="1" thickBot="1" x14ac:dyDescent="0.3">
      <c r="B74" s="87"/>
      <c r="C74" s="115" t="s">
        <v>71</v>
      </c>
      <c r="D74" s="116" t="str">
        <f>CONCATENATE("dif ",RIGHT(C73,2),"/",RIGHT(C73-1,2))</f>
        <v>dif 20/19</v>
      </c>
      <c r="E74" s="117" t="s">
        <v>71</v>
      </c>
      <c r="F74" s="116" t="str">
        <f>CONCATENATE("dif ",RIGHT(E73,2),"/",RIGHT(C73,2))</f>
        <v>dif 21/20</v>
      </c>
      <c r="G74" s="117" t="s">
        <v>71</v>
      </c>
      <c r="H74" s="116" t="str">
        <f>CONCATENATE("dif ",RIGHT(G73,2),"/",RIGHT(E73,2))</f>
        <v>dif 22/21</v>
      </c>
      <c r="I74" s="117" t="s">
        <v>71</v>
      </c>
      <c r="J74" s="116" t="str">
        <f>CONCATENATE("dif ",RIGHT(I73,2),"/",RIGHT(G73,2))</f>
        <v>dif 23/22</v>
      </c>
      <c r="K74" s="117" t="s">
        <v>71</v>
      </c>
      <c r="L74" s="116" t="str">
        <f>CONCATENATE("dif ",RIGHT(K73,2),"/",RIGHT(I73,2))</f>
        <v>dif 24/23</v>
      </c>
      <c r="M74" s="117" t="s">
        <v>71</v>
      </c>
      <c r="N74" s="116" t="str">
        <f>CONCATENATE("dif ",RIGHT(M73,2),"/",RIGHT(K73,2))</f>
        <v>dif 25/24</v>
      </c>
    </row>
    <row r="75" spans="1:15" x14ac:dyDescent="0.25">
      <c r="A75" s="1">
        <v>1</v>
      </c>
      <c r="B75" s="118" t="s">
        <v>73</v>
      </c>
      <c r="C75" s="188">
        <v>1.5348460291734198</v>
      </c>
      <c r="D75" s="189">
        <v>-0.17414113202486825</v>
      </c>
      <c r="E75" s="188">
        <v>1.946236559139785</v>
      </c>
      <c r="F75" s="189">
        <f t="shared" ref="F75:J77" si="7">IFERROR(E75-C75,"-")</f>
        <v>0.41139052996636516</v>
      </c>
      <c r="G75" s="188">
        <v>2.8215258855585832</v>
      </c>
      <c r="H75" s="189">
        <f t="shared" si="7"/>
        <v>0.8752893264187982</v>
      </c>
      <c r="I75" s="188">
        <v>1.5144781144781145</v>
      </c>
      <c r="J75" s="189">
        <f t="shared" si="7"/>
        <v>-1.3070477710804687</v>
      </c>
      <c r="K75" s="188">
        <v>1.6598360655737705</v>
      </c>
      <c r="L75" s="189">
        <f t="shared" ref="L75:L77" si="8">IFERROR(K75-I75,"-")</f>
        <v>0.14535795109565597</v>
      </c>
      <c r="M75" s="188">
        <v>1.5177777777777777</v>
      </c>
      <c r="N75" s="189">
        <f t="shared" ref="N75:N80" si="9">IFERROR(M75-K75,"-")</f>
        <v>-0.14205828779599283</v>
      </c>
    </row>
    <row r="76" spans="1:15" x14ac:dyDescent="0.25">
      <c r="A76" s="1">
        <v>2</v>
      </c>
      <c r="B76" s="118" t="s">
        <v>75</v>
      </c>
      <c r="C76" s="188">
        <v>1.5209080047789725</v>
      </c>
      <c r="D76" s="189">
        <v>-8.830343974300936E-2</v>
      </c>
      <c r="E76" s="188">
        <v>1.5639913232104121</v>
      </c>
      <c r="F76" s="189">
        <f t="shared" si="7"/>
        <v>4.3083318431439643E-2</v>
      </c>
      <c r="G76" s="188">
        <v>1.6408199643493762</v>
      </c>
      <c r="H76" s="189">
        <f t="shared" si="7"/>
        <v>7.6828641138964038E-2</v>
      </c>
      <c r="I76" s="188">
        <v>1.5296523517382412</v>
      </c>
      <c r="J76" s="189">
        <f t="shared" si="7"/>
        <v>-0.11116761261113495</v>
      </c>
      <c r="K76" s="188">
        <v>3.9650793650793652</v>
      </c>
      <c r="L76" s="189">
        <f t="shared" si="8"/>
        <v>2.435427013341124</v>
      </c>
      <c r="M76" s="188">
        <v>3.3984575835475579</v>
      </c>
      <c r="N76" s="189">
        <f t="shared" si="9"/>
        <v>-0.56662178153180731</v>
      </c>
    </row>
    <row r="77" spans="1:15" x14ac:dyDescent="0.25">
      <c r="A77" s="1">
        <v>3</v>
      </c>
      <c r="B77" s="118" t="s">
        <v>77</v>
      </c>
      <c r="C77" s="188">
        <v>1.453781512605042</v>
      </c>
      <c r="D77" s="189">
        <v>-0.19285654175833433</v>
      </c>
      <c r="E77" s="188">
        <v>1.814516129032258</v>
      </c>
      <c r="F77" s="189">
        <f t="shared" si="7"/>
        <v>0.36073461642721605</v>
      </c>
      <c r="G77" s="188">
        <v>2.0275761973875182</v>
      </c>
      <c r="H77" s="189">
        <f t="shared" si="7"/>
        <v>0.21306006835526015</v>
      </c>
      <c r="I77" s="188">
        <v>1.7639553429027113</v>
      </c>
      <c r="J77" s="189">
        <f t="shared" si="7"/>
        <v>-0.26362085448480688</v>
      </c>
      <c r="K77" s="188">
        <v>1.6341789052069426</v>
      </c>
      <c r="L77" s="189">
        <f t="shared" si="8"/>
        <v>-0.12977643769576863</v>
      </c>
      <c r="M77" s="188">
        <v>1.5071770334928229</v>
      </c>
      <c r="N77" s="189">
        <f t="shared" si="9"/>
        <v>-0.1270018717141197</v>
      </c>
    </row>
    <row r="78" spans="1:15" x14ac:dyDescent="0.25">
      <c r="A78" s="1">
        <v>4</v>
      </c>
      <c r="B78" s="118" t="s">
        <v>79</v>
      </c>
      <c r="C78" s="188" t="s">
        <v>229</v>
      </c>
      <c r="D78" s="189" t="s">
        <v>229</v>
      </c>
      <c r="E78" s="188">
        <v>1.802</v>
      </c>
      <c r="F78" s="189" t="str">
        <f>IFERROR(E78-C78,"-")</f>
        <v>-</v>
      </c>
      <c r="G78" s="188">
        <v>1.7791455467052861</v>
      </c>
      <c r="H78" s="189">
        <f>IFERROR(G78-E78,"-")</f>
        <v>-2.2854453294713917E-2</v>
      </c>
      <c r="I78" s="188">
        <v>1.6530958439355385</v>
      </c>
      <c r="J78" s="189">
        <f>IFERROR(I78-G78,"-")</f>
        <v>-0.12604970276974758</v>
      </c>
      <c r="K78" s="188">
        <v>1.5410292072322671</v>
      </c>
      <c r="L78" s="189">
        <f>IFERROR(K78-I78,"-")</f>
        <v>-0.11206663670327144</v>
      </c>
      <c r="M78" s="188">
        <v>1.6036144578313254</v>
      </c>
      <c r="N78" s="189">
        <f t="shared" si="9"/>
        <v>6.2585250599058284E-2</v>
      </c>
    </row>
    <row r="79" spans="1:15" x14ac:dyDescent="0.25">
      <c r="A79" s="1">
        <v>5</v>
      </c>
      <c r="B79" s="118" t="s">
        <v>81</v>
      </c>
      <c r="C79" s="188" t="s">
        <v>229</v>
      </c>
      <c r="D79" s="189" t="s">
        <v>229</v>
      </c>
      <c r="E79" s="188">
        <v>1.8181818181818181</v>
      </c>
      <c r="F79" s="189" t="str">
        <f t="shared" ref="F79:J87" si="10">IFERROR(E79-C79,"-")</f>
        <v>-</v>
      </c>
      <c r="G79" s="188">
        <v>1.6295938104448742</v>
      </c>
      <c r="H79" s="189">
        <f t="shared" si="10"/>
        <v>-0.18858800773694395</v>
      </c>
      <c r="I79" s="188">
        <v>1.5585851142225498</v>
      </c>
      <c r="J79" s="189">
        <f t="shared" si="10"/>
        <v>-7.1008696222324419E-2</v>
      </c>
      <c r="K79" s="188">
        <v>1.5757152826238661</v>
      </c>
      <c r="L79" s="189">
        <f t="shared" ref="L79:L87" si="11">IFERROR(K79-I79,"-")</f>
        <v>1.7130168401316315E-2</v>
      </c>
      <c r="M79" s="188">
        <v>2.2342978122794634</v>
      </c>
      <c r="N79" s="189">
        <f t="shared" si="9"/>
        <v>0.65858252965559738</v>
      </c>
    </row>
    <row r="80" spans="1:15" x14ac:dyDescent="0.25">
      <c r="A80" s="1">
        <v>6</v>
      </c>
      <c r="B80" s="118" t="s">
        <v>83</v>
      </c>
      <c r="C80" s="188" t="s">
        <v>229</v>
      </c>
      <c r="D80" s="189" t="s">
        <v>229</v>
      </c>
      <c r="E80" s="188">
        <v>1.61</v>
      </c>
      <c r="F80" s="189" t="str">
        <f t="shared" si="10"/>
        <v>-</v>
      </c>
      <c r="G80" s="188">
        <v>2.284170718530524</v>
      </c>
      <c r="H80" s="189">
        <f t="shared" si="10"/>
        <v>0.6741707185305239</v>
      </c>
      <c r="I80" s="188">
        <v>1.4254278728606358</v>
      </c>
      <c r="J80" s="189">
        <f t="shared" si="10"/>
        <v>-0.85874284566988823</v>
      </c>
      <c r="K80" s="188">
        <v>1.6256983240223464</v>
      </c>
      <c r="L80" s="189">
        <f t="shared" si="11"/>
        <v>0.20027045116171061</v>
      </c>
      <c r="M80" s="188">
        <v>3.0352250489236789</v>
      </c>
      <c r="N80" s="189">
        <f t="shared" si="9"/>
        <v>1.4095267249013326</v>
      </c>
    </row>
    <row r="81" spans="1:15" x14ac:dyDescent="0.25">
      <c r="A81" s="1">
        <v>7</v>
      </c>
      <c r="B81" s="118" t="s">
        <v>85</v>
      </c>
      <c r="C81" s="188" t="s">
        <v>229</v>
      </c>
      <c r="D81" s="189" t="s">
        <v>229</v>
      </c>
      <c r="E81" s="188">
        <v>1.8904761904761904</v>
      </c>
      <c r="F81" s="189" t="str">
        <f t="shared" si="10"/>
        <v>-</v>
      </c>
      <c r="G81" s="188">
        <v>1.6701816051552432</v>
      </c>
      <c r="H81" s="189">
        <f t="shared" si="10"/>
        <v>-0.22029458532094726</v>
      </c>
      <c r="I81" s="188">
        <v>1.6567411083540116</v>
      </c>
      <c r="J81" s="189">
        <f t="shared" si="10"/>
        <v>-1.3440496801231605E-2</v>
      </c>
      <c r="K81" s="188">
        <v>1.6503712871287128</v>
      </c>
      <c r="L81" s="189">
        <f t="shared" si="11"/>
        <v>-6.3698212252987219E-3</v>
      </c>
      <c r="M81" s="188"/>
      <c r="N81" s="189"/>
    </row>
    <row r="82" spans="1:15" x14ac:dyDescent="0.25">
      <c r="A82" s="1">
        <v>8</v>
      </c>
      <c r="B82" s="118" t="s">
        <v>87</v>
      </c>
      <c r="C82" s="188">
        <v>2.2756916996047432</v>
      </c>
      <c r="D82" s="189">
        <v>0.54027378018201322</v>
      </c>
      <c r="E82" s="188">
        <v>2.1489698890649764</v>
      </c>
      <c r="F82" s="189">
        <f t="shared" si="10"/>
        <v>-0.12672181053976672</v>
      </c>
      <c r="G82" s="188">
        <v>2.0297914597815292</v>
      </c>
      <c r="H82" s="189">
        <f t="shared" si="10"/>
        <v>-0.11917842928344724</v>
      </c>
      <c r="I82" s="188">
        <v>1.88047255038221</v>
      </c>
      <c r="J82" s="189">
        <f t="shared" si="10"/>
        <v>-0.14931890939931924</v>
      </c>
      <c r="K82" s="188">
        <v>6.2045454545454541</v>
      </c>
      <c r="L82" s="189">
        <f t="shared" si="11"/>
        <v>4.324072904163244</v>
      </c>
      <c r="M82" s="188"/>
      <c r="N82" s="189"/>
    </row>
    <row r="83" spans="1:15" x14ac:dyDescent="0.25">
      <c r="A83" s="1">
        <v>9</v>
      </c>
      <c r="B83" s="118" t="s">
        <v>89</v>
      </c>
      <c r="C83" s="188">
        <v>1.9263622974963182</v>
      </c>
      <c r="D83" s="189">
        <v>0.29314674979313793</v>
      </c>
      <c r="E83" s="188">
        <v>2.0593333333333335</v>
      </c>
      <c r="F83" s="189">
        <f t="shared" si="10"/>
        <v>0.13297103583701531</v>
      </c>
      <c r="G83" s="188">
        <v>1.6768038163387</v>
      </c>
      <c r="H83" s="189">
        <f t="shared" si="10"/>
        <v>-0.38252951699463345</v>
      </c>
      <c r="I83" s="188">
        <v>1.6394849785407726</v>
      </c>
      <c r="J83" s="189">
        <f t="shared" si="10"/>
        <v>-3.731883779792744E-2</v>
      </c>
      <c r="K83" s="188">
        <v>1.5297823596792668</v>
      </c>
      <c r="L83" s="189">
        <f t="shared" si="11"/>
        <v>-0.10970261886150579</v>
      </c>
      <c r="M83" s="188"/>
      <c r="N83" s="189"/>
    </row>
    <row r="84" spans="1:15" x14ac:dyDescent="0.25">
      <c r="A84" s="1">
        <v>10</v>
      </c>
      <c r="B84" s="118" t="s">
        <v>91</v>
      </c>
      <c r="C84" s="188">
        <v>1.5635062611806798</v>
      </c>
      <c r="D84" s="189">
        <v>-0.27092685219664481</v>
      </c>
      <c r="E84" s="188">
        <v>1.8203842940685047</v>
      </c>
      <c r="F84" s="189">
        <f t="shared" si="10"/>
        <v>0.25687803288782485</v>
      </c>
      <c r="G84" s="188">
        <v>1.8330078125</v>
      </c>
      <c r="H84" s="189">
        <f t="shared" si="10"/>
        <v>1.262351843149534E-2</v>
      </c>
      <c r="I84" s="188">
        <v>1.5839636913767019</v>
      </c>
      <c r="J84" s="189">
        <f t="shared" si="10"/>
        <v>-0.2490441211232981</v>
      </c>
      <c r="K84" s="188">
        <v>1.3544041450777202</v>
      </c>
      <c r="L84" s="189">
        <f t="shared" si="11"/>
        <v>-0.22955954629898168</v>
      </c>
      <c r="M84" s="188"/>
      <c r="N84" s="189"/>
    </row>
    <row r="85" spans="1:15" x14ac:dyDescent="0.25">
      <c r="A85" s="1">
        <v>11</v>
      </c>
      <c r="B85" s="118" t="s">
        <v>93</v>
      </c>
      <c r="C85" s="188">
        <v>1.7890625</v>
      </c>
      <c r="D85" s="189">
        <v>0.13406249999999997</v>
      </c>
      <c r="E85" s="188">
        <v>1.7678843226788432</v>
      </c>
      <c r="F85" s="189">
        <f t="shared" si="10"/>
        <v>-2.1178177321156788E-2</v>
      </c>
      <c r="G85" s="188">
        <v>1.6467948717948717</v>
      </c>
      <c r="H85" s="189">
        <f t="shared" si="10"/>
        <v>-0.12108945088397149</v>
      </c>
      <c r="I85" s="188">
        <v>1.6020864381520119</v>
      </c>
      <c r="J85" s="189">
        <f t="shared" si="10"/>
        <v>-4.4708433642859813E-2</v>
      </c>
      <c r="K85" s="188">
        <v>2.5137096774193548</v>
      </c>
      <c r="L85" s="189">
        <f t="shared" si="11"/>
        <v>0.9116232392673429</v>
      </c>
      <c r="M85" s="188"/>
      <c r="N85" s="189"/>
    </row>
    <row r="86" spans="1:15" x14ac:dyDescent="0.25">
      <c r="A86" s="1">
        <v>12</v>
      </c>
      <c r="B86" s="118" t="s">
        <v>95</v>
      </c>
      <c r="C86" s="188">
        <v>2.3346354166666665</v>
      </c>
      <c r="D86" s="189">
        <v>0.19240100931677029</v>
      </c>
      <c r="E86" s="188">
        <v>1.6856368563685638</v>
      </c>
      <c r="F86" s="189">
        <f t="shared" si="10"/>
        <v>-0.64899856029810277</v>
      </c>
      <c r="G86" s="188">
        <v>1.653252480705623</v>
      </c>
      <c r="H86" s="189">
        <f t="shared" si="10"/>
        <v>-3.2384375662940723E-2</v>
      </c>
      <c r="I86" s="188">
        <v>1.6542783059636992</v>
      </c>
      <c r="J86" s="189">
        <f t="shared" si="10"/>
        <v>1.0258252580761518E-3</v>
      </c>
      <c r="K86" s="188">
        <v>1.7510204081632652</v>
      </c>
      <c r="L86" s="189">
        <f t="shared" si="11"/>
        <v>9.6742102199566027E-2</v>
      </c>
      <c r="M86" s="188"/>
      <c r="N86" s="189"/>
    </row>
    <row r="87" spans="1:15" ht="15.75" x14ac:dyDescent="0.25">
      <c r="B87" s="121" t="s">
        <v>32</v>
      </c>
      <c r="C87" s="190">
        <v>1.7905343159834177</v>
      </c>
      <c r="D87" s="191">
        <v>6.7410001254654572E-2</v>
      </c>
      <c r="E87" s="190">
        <v>1.8213798745568586</v>
      </c>
      <c r="F87" s="191">
        <f t="shared" si="10"/>
        <v>3.0845558573440846E-2</v>
      </c>
      <c r="G87" s="190">
        <v>1.8557308613174535</v>
      </c>
      <c r="H87" s="191">
        <f t="shared" si="10"/>
        <v>3.4350986760594893E-2</v>
      </c>
      <c r="I87" s="190">
        <v>1.6305721889554226</v>
      </c>
      <c r="J87" s="191">
        <f t="shared" si="10"/>
        <v>-0.22515867236203091</v>
      </c>
      <c r="K87" s="190">
        <v>1.8225141028879346</v>
      </c>
      <c r="L87" s="191">
        <f t="shared" si="11"/>
        <v>0.19194191393251203</v>
      </c>
      <c r="M87" s="190">
        <v>2.1407119021134595</v>
      </c>
      <c r="N87" s="191">
        <v>0.37870504104999458</v>
      </c>
    </row>
    <row r="88" spans="1:15" ht="6" customHeight="1" x14ac:dyDescent="0.25"/>
    <row r="89" spans="1:15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2" spans="1:15" ht="48.75" customHeight="1" thickBot="1" x14ac:dyDescent="0.3">
      <c r="B92" s="278" t="s">
        <v>290</v>
      </c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1" t="s">
        <v>106</v>
      </c>
    </row>
    <row r="93" spans="1:15" ht="10.5" customHeight="1" thickBot="1" x14ac:dyDescent="0.3">
      <c r="B93" s="108"/>
      <c r="C93" s="109"/>
      <c r="D93" s="108"/>
      <c r="E93" s="108"/>
      <c r="F93" s="108"/>
      <c r="G93" s="108"/>
      <c r="H93" s="108"/>
      <c r="I93" s="108"/>
      <c r="J93" s="108"/>
      <c r="K93" s="108"/>
      <c r="L93" s="108"/>
      <c r="M93" s="4"/>
      <c r="N93" s="4"/>
      <c r="O93" s="1" t="s">
        <v>107</v>
      </c>
    </row>
    <row r="94" spans="1:15" ht="22.5" thickTop="1" thickBot="1" x14ac:dyDescent="0.3">
      <c r="B94" s="125" t="s">
        <v>108</v>
      </c>
      <c r="C94" s="303" t="s">
        <v>109</v>
      </c>
      <c r="D94" s="304"/>
      <c r="E94" s="304"/>
      <c r="F94" s="304"/>
      <c r="G94" s="304"/>
      <c r="H94" s="304"/>
      <c r="I94" s="304"/>
      <c r="J94" s="304"/>
      <c r="K94" s="304"/>
      <c r="L94" s="304"/>
      <c r="M94" s="304"/>
      <c r="N94" s="304"/>
    </row>
    <row r="95" spans="1:15" ht="22.5" thickTop="1" thickBot="1" x14ac:dyDescent="0.3">
      <c r="B95" s="111"/>
      <c r="C95" s="305">
        <v>2020</v>
      </c>
      <c r="D95" s="306"/>
      <c r="E95" s="307">
        <v>2021</v>
      </c>
      <c r="F95" s="306"/>
      <c r="G95" s="307">
        <v>2022</v>
      </c>
      <c r="H95" s="306"/>
      <c r="I95" s="307">
        <v>2023</v>
      </c>
      <c r="J95" s="306"/>
      <c r="K95" s="307">
        <v>2024</v>
      </c>
      <c r="L95" s="306"/>
      <c r="M95" s="307">
        <v>2025</v>
      </c>
      <c r="N95" s="308"/>
    </row>
    <row r="96" spans="1:15" ht="16.5" thickTop="1" thickBot="1" x14ac:dyDescent="0.3">
      <c r="B96" s="87"/>
      <c r="C96" s="115" t="s">
        <v>71</v>
      </c>
      <c r="D96" s="116" t="str">
        <f>CONCATENATE("dif ",RIGHT(C95,2),"/",RIGHT(C95-1,2))</f>
        <v>dif 20/19</v>
      </c>
      <c r="E96" s="117" t="s">
        <v>71</v>
      </c>
      <c r="F96" s="116" t="str">
        <f>CONCATENATE("dif ",RIGHT(E95,2),"/",RIGHT(C95,2))</f>
        <v>dif 21/20</v>
      </c>
      <c r="G96" s="117" t="s">
        <v>71</v>
      </c>
      <c r="H96" s="116" t="str">
        <f>CONCATENATE("dif ",RIGHT(G95,2),"/",RIGHT(E95,2))</f>
        <v>dif 22/21</v>
      </c>
      <c r="I96" s="117" t="s">
        <v>71</v>
      </c>
      <c r="J96" s="116" t="str">
        <f>CONCATENATE("dif ",RIGHT(I95,2),"/",RIGHT(G95,2))</f>
        <v>dif 23/22</v>
      </c>
      <c r="K96" s="117" t="s">
        <v>71</v>
      </c>
      <c r="L96" s="116" t="str">
        <f>CONCATENATE("dif ",RIGHT(K95,2),"/",RIGHT(I95,2))</f>
        <v>dif 24/23</v>
      </c>
      <c r="M96" s="117" t="s">
        <v>71</v>
      </c>
      <c r="N96" s="116" t="str">
        <f>CONCATENATE("dif ",RIGHT(M95,2),"/",RIGHT(K95,2))</f>
        <v>dif 25/24</v>
      </c>
    </row>
    <row r="97" spans="2:14" x14ac:dyDescent="0.25">
      <c r="B97" s="118" t="s">
        <v>73</v>
      </c>
      <c r="C97" s="188">
        <v>3.6379794200187092</v>
      </c>
      <c r="D97" s="189">
        <v>6.1151970988376103E-2</v>
      </c>
      <c r="E97" s="188">
        <v>2.9219858156028371</v>
      </c>
      <c r="F97" s="189">
        <f t="shared" ref="F97:J99" si="12">IFERROR(E97-C97,"-")</f>
        <v>-0.71599360441587212</v>
      </c>
      <c r="G97" s="188">
        <v>3.7166476624857467</v>
      </c>
      <c r="H97" s="189">
        <f t="shared" si="12"/>
        <v>0.79466184688290964</v>
      </c>
      <c r="I97" s="188">
        <v>3.7108177172061327</v>
      </c>
      <c r="J97" s="189">
        <f t="shared" si="12"/>
        <v>-5.8299452796140017E-3</v>
      </c>
      <c r="K97" s="188">
        <v>3.5365131578947366</v>
      </c>
      <c r="L97" s="189">
        <f t="shared" ref="L97:L99" si="13">IFERROR(K97-I97,"-")</f>
        <v>-0.1743045593113961</v>
      </c>
      <c r="M97" s="188">
        <v>3.5494546822113575</v>
      </c>
      <c r="N97" s="189">
        <f t="shared" ref="N97:N102" si="14">IFERROR(M97-K97,"-")</f>
        <v>1.2941524316620878E-2</v>
      </c>
    </row>
    <row r="98" spans="2:14" x14ac:dyDescent="0.25">
      <c r="B98" s="118" t="s">
        <v>75</v>
      </c>
      <c r="C98" s="188">
        <v>3.9038294168842471</v>
      </c>
      <c r="D98" s="189">
        <v>-7.1833658099516029E-3</v>
      </c>
      <c r="E98" s="188">
        <v>3.0238907849829353</v>
      </c>
      <c r="F98" s="189">
        <f t="shared" si="12"/>
        <v>-0.87993863190131183</v>
      </c>
      <c r="G98" s="188">
        <v>3.5904365904365902</v>
      </c>
      <c r="H98" s="189">
        <f t="shared" si="12"/>
        <v>0.56654580545365496</v>
      </c>
      <c r="I98" s="188">
        <v>3.9253112033195019</v>
      </c>
      <c r="J98" s="189">
        <f t="shared" si="12"/>
        <v>0.33487461288291165</v>
      </c>
      <c r="K98" s="188">
        <v>3.8524279210925645</v>
      </c>
      <c r="L98" s="189">
        <f t="shared" si="13"/>
        <v>-7.2883282226937407E-2</v>
      </c>
      <c r="M98" s="188">
        <v>3.8060805258833197</v>
      </c>
      <c r="N98" s="189">
        <f t="shared" si="14"/>
        <v>-4.6347395209244802E-2</v>
      </c>
    </row>
    <row r="99" spans="2:14" x14ac:dyDescent="0.25">
      <c r="B99" s="118" t="s">
        <v>77</v>
      </c>
      <c r="C99" s="188">
        <v>4.0879629629629628</v>
      </c>
      <c r="D99" s="189">
        <v>0.25455293074943297</v>
      </c>
      <c r="E99" s="188">
        <v>2.6923913043478263</v>
      </c>
      <c r="F99" s="189">
        <f t="shared" si="12"/>
        <v>-1.3955716586151365</v>
      </c>
      <c r="G99" s="188">
        <v>3.5244789142026174</v>
      </c>
      <c r="H99" s="189">
        <f t="shared" si="12"/>
        <v>0.83208760985479113</v>
      </c>
      <c r="I99" s="188">
        <v>4.0907059874888292</v>
      </c>
      <c r="J99" s="189">
        <f t="shared" si="12"/>
        <v>0.5662270732862118</v>
      </c>
      <c r="K99" s="188">
        <v>3.9743690851735014</v>
      </c>
      <c r="L99" s="189">
        <f t="shared" si="13"/>
        <v>-0.11633690231532778</v>
      </c>
      <c r="M99" s="188">
        <v>3.5924777045366421</v>
      </c>
      <c r="N99" s="189">
        <f t="shared" si="14"/>
        <v>-0.38189138063685935</v>
      </c>
    </row>
    <row r="100" spans="2:14" x14ac:dyDescent="0.25">
      <c r="B100" s="118" t="s">
        <v>79</v>
      </c>
      <c r="C100" s="188" t="s">
        <v>229</v>
      </c>
      <c r="D100" s="189" t="s">
        <v>229</v>
      </c>
      <c r="E100" s="188">
        <v>2.7583643122676582</v>
      </c>
      <c r="F100" s="189" t="str">
        <f>IFERROR(E100-C100,"-")</f>
        <v>-</v>
      </c>
      <c r="G100" s="188">
        <v>4.3264177040110647</v>
      </c>
      <c r="H100" s="189">
        <f>IFERROR(G100-E100,"-")</f>
        <v>1.5680533917434065</v>
      </c>
      <c r="I100" s="188">
        <v>3.9248029108550635</v>
      </c>
      <c r="J100" s="189">
        <f>IFERROR(I100-G100,"-")</f>
        <v>-0.40161479315600124</v>
      </c>
      <c r="K100" s="188">
        <v>4.209223847019123</v>
      </c>
      <c r="L100" s="189">
        <f>IFERROR(K100-I100,"-")</f>
        <v>0.2844209361640595</v>
      </c>
      <c r="M100" s="188">
        <v>3.9579090291921251</v>
      </c>
      <c r="N100" s="189">
        <f t="shared" si="14"/>
        <v>-0.25131481782699794</v>
      </c>
    </row>
    <row r="101" spans="2:14" x14ac:dyDescent="0.25">
      <c r="B101" s="118" t="s">
        <v>81</v>
      </c>
      <c r="C101" s="188" t="s">
        <v>229</v>
      </c>
      <c r="D101" s="189" t="s">
        <v>229</v>
      </c>
      <c r="E101" s="188">
        <v>2.6357758620689653</v>
      </c>
      <c r="F101" s="189" t="str">
        <f t="shared" ref="F101:J109" si="15">IFERROR(E101-C101,"-")</f>
        <v>-</v>
      </c>
      <c r="G101" s="188">
        <v>4.19207579672696</v>
      </c>
      <c r="H101" s="189">
        <f t="shared" si="15"/>
        <v>1.5562999346579947</v>
      </c>
      <c r="I101" s="188">
        <v>3.8344733242134064</v>
      </c>
      <c r="J101" s="189">
        <f t="shared" si="15"/>
        <v>-0.35760247251355359</v>
      </c>
      <c r="K101" s="188">
        <v>4.2610619469026547</v>
      </c>
      <c r="L101" s="189">
        <f t="shared" ref="L101:L109" si="16">IFERROR(K101-I101,"-")</f>
        <v>0.42658862268924835</v>
      </c>
      <c r="M101" s="188">
        <v>3.9723160027008779</v>
      </c>
      <c r="N101" s="189">
        <f t="shared" si="14"/>
        <v>-0.28874594420177679</v>
      </c>
    </row>
    <row r="102" spans="2:14" x14ac:dyDescent="0.25">
      <c r="B102" s="118" t="s">
        <v>83</v>
      </c>
      <c r="C102" s="188" t="s">
        <v>229</v>
      </c>
      <c r="D102" s="189" t="s">
        <v>229</v>
      </c>
      <c r="E102" s="188">
        <v>3.8652849740932642</v>
      </c>
      <c r="F102" s="189" t="str">
        <f t="shared" si="15"/>
        <v>-</v>
      </c>
      <c r="G102" s="188">
        <v>3.5351063829787233</v>
      </c>
      <c r="H102" s="189">
        <f t="shared" si="15"/>
        <v>-0.33017859111454095</v>
      </c>
      <c r="I102" s="188">
        <v>4.2664437012263097</v>
      </c>
      <c r="J102" s="189">
        <f t="shared" si="15"/>
        <v>0.73133731824758641</v>
      </c>
      <c r="K102" s="188">
        <v>4.1506276150627617</v>
      </c>
      <c r="L102" s="189">
        <f t="shared" si="16"/>
        <v>-0.11581608616354799</v>
      </c>
      <c r="M102" s="188">
        <v>4.2305389221556888</v>
      </c>
      <c r="N102" s="189">
        <f t="shared" si="14"/>
        <v>7.9911307092927153E-2</v>
      </c>
    </row>
    <row r="103" spans="2:14" x14ac:dyDescent="0.25">
      <c r="B103" s="118" t="s">
        <v>85</v>
      </c>
      <c r="C103" s="188" t="s">
        <v>229</v>
      </c>
      <c r="D103" s="189" t="s">
        <v>229</v>
      </c>
      <c r="E103" s="188">
        <v>3.1094527363184081</v>
      </c>
      <c r="F103" s="189" t="str">
        <f t="shared" si="15"/>
        <v>-</v>
      </c>
      <c r="G103" s="188">
        <v>4.0482051282051286</v>
      </c>
      <c r="H103" s="189">
        <f t="shared" si="15"/>
        <v>0.93875239188672044</v>
      </c>
      <c r="I103" s="188">
        <v>2.8474870017331022</v>
      </c>
      <c r="J103" s="189">
        <f t="shared" si="15"/>
        <v>-1.2007181264720264</v>
      </c>
      <c r="K103" s="188">
        <v>2.9659685863874348</v>
      </c>
      <c r="L103" s="189">
        <f t="shared" si="16"/>
        <v>0.11848158465433256</v>
      </c>
      <c r="M103" s="188"/>
      <c r="N103" s="189"/>
    </row>
    <row r="104" spans="2:14" x14ac:dyDescent="0.25">
      <c r="B104" s="118" t="s">
        <v>87</v>
      </c>
      <c r="C104" s="188">
        <v>2.9937694704049846</v>
      </c>
      <c r="D104" s="189">
        <v>0.49028514984749316</v>
      </c>
      <c r="E104" s="188">
        <v>3.701880035810206</v>
      </c>
      <c r="F104" s="189">
        <f t="shared" si="15"/>
        <v>0.70811056540522133</v>
      </c>
      <c r="G104" s="188">
        <v>3.1591928251121075</v>
      </c>
      <c r="H104" s="189">
        <f t="shared" si="15"/>
        <v>-0.54268721069809844</v>
      </c>
      <c r="I104" s="188">
        <v>3.7085624509033779</v>
      </c>
      <c r="J104" s="189">
        <f t="shared" si="15"/>
        <v>0.54936962579127036</v>
      </c>
      <c r="K104" s="188">
        <v>3.8645215918712954</v>
      </c>
      <c r="L104" s="189">
        <f t="shared" si="16"/>
        <v>0.15595914096791752</v>
      </c>
      <c r="M104" s="188"/>
      <c r="N104" s="189"/>
    </row>
    <row r="105" spans="2:14" x14ac:dyDescent="0.25">
      <c r="B105" s="118" t="s">
        <v>89</v>
      </c>
      <c r="C105" s="188">
        <v>2.1490683229813663</v>
      </c>
      <c r="D105" s="189">
        <v>-0.57369432293303069</v>
      </c>
      <c r="E105" s="188">
        <v>3.7703703703703701</v>
      </c>
      <c r="F105" s="189">
        <f t="shared" si="15"/>
        <v>1.6213020473890039</v>
      </c>
      <c r="G105" s="188">
        <v>3.9607109448082318</v>
      </c>
      <c r="H105" s="189">
        <f t="shared" si="15"/>
        <v>0.19034057443786168</v>
      </c>
      <c r="I105" s="188">
        <v>3.6751536435469712</v>
      </c>
      <c r="J105" s="189">
        <f t="shared" si="15"/>
        <v>-0.28555730126126067</v>
      </c>
      <c r="K105" s="188">
        <v>3.9577889447236183</v>
      </c>
      <c r="L105" s="189">
        <f t="shared" si="16"/>
        <v>0.28263530117664715</v>
      </c>
      <c r="M105" s="188"/>
      <c r="N105" s="189"/>
    </row>
    <row r="106" spans="2:14" x14ac:dyDescent="0.25">
      <c r="B106" s="118" t="s">
        <v>91</v>
      </c>
      <c r="C106" s="188">
        <v>1.9975786924939467</v>
      </c>
      <c r="D106" s="189">
        <v>-1.0590250810909592</v>
      </c>
      <c r="E106" s="188">
        <v>4.9449321628092582</v>
      </c>
      <c r="F106" s="189">
        <f t="shared" si="15"/>
        <v>2.9473534703153117</v>
      </c>
      <c r="G106" s="188">
        <v>4.0375741595253789</v>
      </c>
      <c r="H106" s="189">
        <f t="shared" si="15"/>
        <v>-0.90735800328387928</v>
      </c>
      <c r="I106" s="188">
        <v>3.5069008782936009</v>
      </c>
      <c r="J106" s="189">
        <f t="shared" si="15"/>
        <v>-0.53067328123177804</v>
      </c>
      <c r="K106" s="188">
        <v>3.6727376209447922</v>
      </c>
      <c r="L106" s="189">
        <f t="shared" si="16"/>
        <v>0.1658367426511913</v>
      </c>
      <c r="M106" s="188"/>
      <c r="N106" s="189"/>
    </row>
    <row r="107" spans="2:14" x14ac:dyDescent="0.25">
      <c r="B107" s="118" t="s">
        <v>93</v>
      </c>
      <c r="C107" s="188">
        <v>2.193293885601578</v>
      </c>
      <c r="D107" s="189">
        <v>-1.1308167863351808</v>
      </c>
      <c r="E107" s="188">
        <v>4.0615735461801599</v>
      </c>
      <c r="F107" s="189">
        <f t="shared" si="15"/>
        <v>1.8682796605785819</v>
      </c>
      <c r="G107" s="188">
        <v>4.2419738406658736</v>
      </c>
      <c r="H107" s="189">
        <f t="shared" si="15"/>
        <v>0.18040029448571371</v>
      </c>
      <c r="I107" s="188">
        <v>3.4946193702670385</v>
      </c>
      <c r="J107" s="189">
        <f t="shared" si="15"/>
        <v>-0.74735447039883507</v>
      </c>
      <c r="K107" s="188">
        <v>3.501834862385321</v>
      </c>
      <c r="L107" s="189">
        <f t="shared" si="16"/>
        <v>7.2154921182825404E-3</v>
      </c>
      <c r="M107" s="188"/>
      <c r="N107" s="189"/>
    </row>
    <row r="108" spans="2:14" x14ac:dyDescent="0.25">
      <c r="B108" s="118" t="s">
        <v>95</v>
      </c>
      <c r="C108" s="188">
        <v>2.4045801526717558</v>
      </c>
      <c r="D108" s="189">
        <v>-1.0129715521912961</v>
      </c>
      <c r="E108" s="188">
        <v>3.4735849056603771</v>
      </c>
      <c r="F108" s="189">
        <f t="shared" si="15"/>
        <v>1.0690047529886213</v>
      </c>
      <c r="G108" s="188">
        <v>3.3171001660210293</v>
      </c>
      <c r="H108" s="189">
        <f t="shared" si="15"/>
        <v>-0.15648473963934784</v>
      </c>
      <c r="I108" s="188">
        <v>3.5267099350973541</v>
      </c>
      <c r="J108" s="189">
        <f t="shared" si="15"/>
        <v>0.20960976907632478</v>
      </c>
      <c r="K108" s="188">
        <v>3.5074775672981056</v>
      </c>
      <c r="L108" s="189">
        <f t="shared" si="16"/>
        <v>-1.9232367799248529E-2</v>
      </c>
      <c r="M108" s="188"/>
      <c r="N108" s="189"/>
    </row>
    <row r="109" spans="2:14" ht="15.75" x14ac:dyDescent="0.25">
      <c r="B109" s="121" t="s">
        <v>32</v>
      </c>
      <c r="C109" s="190">
        <v>3.3236155159795073</v>
      </c>
      <c r="D109" s="191">
        <v>-4.349872101964003E-2</v>
      </c>
      <c r="E109" s="190">
        <v>3.5296277322404372</v>
      </c>
      <c r="F109" s="191">
        <f t="shared" si="15"/>
        <v>0.20601221626092991</v>
      </c>
      <c r="G109" s="190">
        <v>3.7794749943426114</v>
      </c>
      <c r="H109" s="191">
        <f t="shared" si="15"/>
        <v>0.24984726210217412</v>
      </c>
      <c r="I109" s="190">
        <v>3.714313677514069</v>
      </c>
      <c r="J109" s="191">
        <f t="shared" si="15"/>
        <v>-6.5161316828542315E-2</v>
      </c>
      <c r="K109" s="190">
        <v>3.7668196782120833</v>
      </c>
      <c r="L109" s="191">
        <f t="shared" si="16"/>
        <v>5.2506000698014255E-2</v>
      </c>
      <c r="M109" s="190">
        <v>3.7770037839697284</v>
      </c>
      <c r="N109" s="191">
        <v>-0.14227763368593749</v>
      </c>
    </row>
    <row r="110" spans="2:14" ht="6" customHeight="1" x14ac:dyDescent="0.25"/>
    <row r="111" spans="2:14" x14ac:dyDescent="0.25">
      <c r="B111" s="107" t="s">
        <v>57</v>
      </c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4" spans="1:15" ht="48.75" customHeight="1" thickBot="1" x14ac:dyDescent="0.3">
      <c r="B114" s="278" t="s">
        <v>291</v>
      </c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1" t="s">
        <v>110</v>
      </c>
    </row>
    <row r="115" spans="1:15" ht="10.5" customHeight="1" thickBot="1" x14ac:dyDescent="0.3">
      <c r="B115" s="108"/>
      <c r="C115" s="109"/>
      <c r="D115" s="108"/>
      <c r="E115" s="108"/>
      <c r="F115" s="108"/>
      <c r="G115" s="108"/>
      <c r="H115" s="108"/>
      <c r="I115" s="108"/>
      <c r="J115" s="108"/>
      <c r="K115" s="108"/>
      <c r="L115" s="108"/>
      <c r="M115" s="4"/>
      <c r="N115" s="4"/>
      <c r="O115" s="1" t="s">
        <v>111</v>
      </c>
    </row>
    <row r="116" spans="1:15" ht="22.5" thickTop="1" thickBot="1" x14ac:dyDescent="0.3">
      <c r="B116" s="125" t="str">
        <f>C116</f>
        <v>Reino Unido</v>
      </c>
      <c r="C116" s="303" t="s">
        <v>112</v>
      </c>
      <c r="D116" s="304"/>
      <c r="E116" s="304"/>
      <c r="F116" s="304"/>
      <c r="G116" s="304"/>
      <c r="H116" s="304"/>
      <c r="I116" s="304"/>
      <c r="J116" s="304"/>
      <c r="K116" s="304"/>
      <c r="L116" s="304"/>
      <c r="M116" s="304"/>
      <c r="N116" s="304"/>
    </row>
    <row r="117" spans="1:15" ht="22.5" thickTop="1" thickBot="1" x14ac:dyDescent="0.3">
      <c r="B117" s="111"/>
      <c r="C117" s="305">
        <v>2020</v>
      </c>
      <c r="D117" s="306"/>
      <c r="E117" s="307">
        <v>2021</v>
      </c>
      <c r="F117" s="306"/>
      <c r="G117" s="307">
        <v>2022</v>
      </c>
      <c r="H117" s="306"/>
      <c r="I117" s="307">
        <v>2023</v>
      </c>
      <c r="J117" s="306"/>
      <c r="K117" s="307">
        <v>2024</v>
      </c>
      <c r="L117" s="306"/>
      <c r="M117" s="307">
        <v>2025</v>
      </c>
      <c r="N117" s="308"/>
    </row>
    <row r="118" spans="1:15" ht="16.5" thickTop="1" thickBot="1" x14ac:dyDescent="0.3">
      <c r="B118" s="87"/>
      <c r="C118" s="115" t="s">
        <v>71</v>
      </c>
      <c r="D118" s="116" t="str">
        <f>CONCATENATE("dif ",RIGHT(C117,2),"/",RIGHT(C117-1,2))</f>
        <v>dif 20/19</v>
      </c>
      <c r="E118" s="117" t="s">
        <v>71</v>
      </c>
      <c r="F118" s="116" t="str">
        <f>CONCATENATE("dif ",RIGHT(E117,2),"/",RIGHT(C117,2))</f>
        <v>dif 21/20</v>
      </c>
      <c r="G118" s="117" t="s">
        <v>71</v>
      </c>
      <c r="H118" s="116" t="str">
        <f>CONCATENATE("dif ",RIGHT(G117,2),"/",RIGHT(E117,2))</f>
        <v>dif 22/21</v>
      </c>
      <c r="I118" s="117" t="s">
        <v>71</v>
      </c>
      <c r="J118" s="116" t="str">
        <f>CONCATENATE("dif ",RIGHT(I117,2),"/",RIGHT(G117,2))</f>
        <v>dif 23/22</v>
      </c>
      <c r="K118" s="117" t="s">
        <v>71</v>
      </c>
      <c r="L118" s="116" t="str">
        <f>CONCATENATE("dif ",RIGHT(K117,2),"/",RIGHT(I117,2))</f>
        <v>dif 24/23</v>
      </c>
      <c r="M118" s="117" t="s">
        <v>71</v>
      </c>
      <c r="N118" s="116" t="str">
        <f>CONCATENATE("dif ",RIGHT(M117,2),"/",RIGHT(K117,2))</f>
        <v>dif 25/24</v>
      </c>
    </row>
    <row r="119" spans="1:15" x14ac:dyDescent="0.25">
      <c r="B119" s="118" t="s">
        <v>73</v>
      </c>
      <c r="C119" s="188">
        <v>4.0140056022408963</v>
      </c>
      <c r="D119" s="189">
        <v>-3.0637254901960453E-2</v>
      </c>
      <c r="E119" s="188">
        <v>1.6666666666666667</v>
      </c>
      <c r="F119" s="189">
        <f t="shared" ref="F119:J121" si="17">IFERROR(E119-C119,"-")</f>
        <v>-2.3473389355742293</v>
      </c>
      <c r="G119" s="188">
        <v>3.9061371841155235</v>
      </c>
      <c r="H119" s="189">
        <f t="shared" si="17"/>
        <v>2.2394705174488569</v>
      </c>
      <c r="I119" s="188">
        <v>4.534391534391534</v>
      </c>
      <c r="J119" s="189">
        <f t="shared" si="17"/>
        <v>0.62825435027601051</v>
      </c>
      <c r="K119" s="188">
        <v>3.3109619686800893</v>
      </c>
      <c r="L119" s="189">
        <f t="shared" ref="L119:L121" si="18">IFERROR(K119-I119,"-")</f>
        <v>-1.2234295657114447</v>
      </c>
      <c r="M119" s="188">
        <v>3.440203562340967</v>
      </c>
      <c r="N119" s="189">
        <f t="shared" ref="N119:N124" si="19">IFERROR(M119-K119,"-")</f>
        <v>0.12924159366087773</v>
      </c>
    </row>
    <row r="120" spans="1:15" x14ac:dyDescent="0.25">
      <c r="B120" s="118" t="s">
        <v>75</v>
      </c>
      <c r="C120" s="188">
        <v>4.5580952380952384</v>
      </c>
      <c r="D120" s="189">
        <v>0.33558214909000306</v>
      </c>
      <c r="E120" s="188">
        <v>1.8</v>
      </c>
      <c r="F120" s="189">
        <f t="shared" si="17"/>
        <v>-2.7580952380952386</v>
      </c>
      <c r="G120" s="188">
        <v>3.7969696969696969</v>
      </c>
      <c r="H120" s="189">
        <f t="shared" si="17"/>
        <v>1.9969696969696968</v>
      </c>
      <c r="I120" s="188">
        <v>4.2433090024330902</v>
      </c>
      <c r="J120" s="189">
        <f t="shared" si="17"/>
        <v>0.44633930546339329</v>
      </c>
      <c r="K120" s="188">
        <v>4.3813559322033901</v>
      </c>
      <c r="L120" s="189">
        <f t="shared" si="18"/>
        <v>0.13804692977029998</v>
      </c>
      <c r="M120" s="188">
        <v>3.6422594142259412</v>
      </c>
      <c r="N120" s="189">
        <f t="shared" si="19"/>
        <v>-0.73909651797744891</v>
      </c>
    </row>
    <row r="121" spans="1:15" x14ac:dyDescent="0.25">
      <c r="B121" s="118" t="s">
        <v>77</v>
      </c>
      <c r="C121" s="188">
        <v>5.4910714285714288</v>
      </c>
      <c r="D121" s="189">
        <v>1.7039092664092665</v>
      </c>
      <c r="E121" s="188">
        <v>1.2571428571428571</v>
      </c>
      <c r="F121" s="189">
        <f t="shared" si="17"/>
        <v>-4.2339285714285717</v>
      </c>
      <c r="G121" s="188">
        <v>3.5324675324675323</v>
      </c>
      <c r="H121" s="189">
        <f t="shared" si="17"/>
        <v>2.2753246753246752</v>
      </c>
      <c r="I121" s="188">
        <v>4.5290697674418601</v>
      </c>
      <c r="J121" s="189">
        <f t="shared" si="17"/>
        <v>0.99660223497432776</v>
      </c>
      <c r="K121" s="188">
        <v>4.2471910112359552</v>
      </c>
      <c r="L121" s="189">
        <f t="shared" si="18"/>
        <v>-0.28187875620590486</v>
      </c>
      <c r="M121" s="188">
        <v>3.9305993690851735</v>
      </c>
      <c r="N121" s="189">
        <f t="shared" si="19"/>
        <v>-0.31659164215078173</v>
      </c>
    </row>
    <row r="122" spans="1:15" x14ac:dyDescent="0.25">
      <c r="B122" s="118" t="s">
        <v>79</v>
      </c>
      <c r="C122" s="188" t="s">
        <v>229</v>
      </c>
      <c r="D122" s="189" t="s">
        <v>229</v>
      </c>
      <c r="E122" s="188">
        <v>3.2352941176470589</v>
      </c>
      <c r="F122" s="189" t="str">
        <f>IFERROR(E122-C122,"-")</f>
        <v>-</v>
      </c>
      <c r="G122" s="188">
        <v>4.1937984496124034</v>
      </c>
      <c r="H122" s="189">
        <f>IFERROR(G122-E122,"-")</f>
        <v>0.95850433196534457</v>
      </c>
      <c r="I122" s="188">
        <v>4.4000000000000004</v>
      </c>
      <c r="J122" s="189">
        <f>IFERROR(I122-G122,"-")</f>
        <v>0.20620155038759691</v>
      </c>
      <c r="K122" s="188">
        <v>5.560483870967742</v>
      </c>
      <c r="L122" s="189">
        <f>IFERROR(K122-I122,"-")</f>
        <v>1.1604838709677416</v>
      </c>
      <c r="M122" s="188">
        <v>5.1338582677165352</v>
      </c>
      <c r="N122" s="189">
        <f t="shared" si="19"/>
        <v>-0.4266256032512068</v>
      </c>
    </row>
    <row r="123" spans="1:15" x14ac:dyDescent="0.25">
      <c r="B123" s="118" t="s">
        <v>81</v>
      </c>
      <c r="C123" s="188" t="s">
        <v>229</v>
      </c>
      <c r="D123" s="189" t="s">
        <v>229</v>
      </c>
      <c r="E123" s="188">
        <v>2.3157894736842106</v>
      </c>
      <c r="F123" s="189" t="str">
        <f t="shared" ref="F123:J131" si="20">IFERROR(E123-C123,"-")</f>
        <v>-</v>
      </c>
      <c r="G123" s="188">
        <v>3.6643356643356642</v>
      </c>
      <c r="H123" s="189">
        <f t="shared" si="20"/>
        <v>1.3485461906514535</v>
      </c>
      <c r="I123" s="188">
        <v>3.6912751677852347</v>
      </c>
      <c r="J123" s="189">
        <f t="shared" si="20"/>
        <v>2.6939503449570523E-2</v>
      </c>
      <c r="K123" s="188">
        <v>5.503759398496241</v>
      </c>
      <c r="L123" s="189">
        <f t="shared" ref="L123:L131" si="21">IFERROR(K123-I123,"-")</f>
        <v>1.8124842307110063</v>
      </c>
      <c r="M123" s="188">
        <v>3.8870967741935485</v>
      </c>
      <c r="N123" s="189">
        <f t="shared" si="19"/>
        <v>-1.6166626243026925</v>
      </c>
    </row>
    <row r="124" spans="1:15" x14ac:dyDescent="0.25">
      <c r="B124" s="118" t="s">
        <v>83</v>
      </c>
      <c r="C124" s="188" t="s">
        <v>229</v>
      </c>
      <c r="D124" s="189" t="s">
        <v>229</v>
      </c>
      <c r="E124" s="188">
        <v>4.84</v>
      </c>
      <c r="F124" s="189" t="str">
        <f t="shared" si="20"/>
        <v>-</v>
      </c>
      <c r="G124" s="188">
        <v>4.416666666666667</v>
      </c>
      <c r="H124" s="189">
        <f t="shared" si="20"/>
        <v>-0.4233333333333329</v>
      </c>
      <c r="I124" s="188">
        <v>4.112903225806452</v>
      </c>
      <c r="J124" s="189">
        <f t="shared" si="20"/>
        <v>-0.30376344086021501</v>
      </c>
      <c r="K124" s="188">
        <v>4.71</v>
      </c>
      <c r="L124" s="189">
        <f t="shared" si="21"/>
        <v>0.59709677419354801</v>
      </c>
      <c r="M124" s="188">
        <v>4</v>
      </c>
      <c r="N124" s="189">
        <f t="shared" si="19"/>
        <v>-0.71</v>
      </c>
    </row>
    <row r="125" spans="1:15" x14ac:dyDescent="0.25">
      <c r="B125" s="118" t="s">
        <v>85</v>
      </c>
      <c r="C125" s="188" t="s">
        <v>229</v>
      </c>
      <c r="D125" s="189" t="s">
        <v>229</v>
      </c>
      <c r="E125" s="188">
        <v>3.7551020408163267</v>
      </c>
      <c r="F125" s="189" t="str">
        <f t="shared" si="20"/>
        <v>-</v>
      </c>
      <c r="G125" s="188">
        <v>5.5609756097560972</v>
      </c>
      <c r="H125" s="189">
        <f t="shared" si="20"/>
        <v>1.8058735689397705</v>
      </c>
      <c r="I125" s="188">
        <v>2.7749999999999999</v>
      </c>
      <c r="J125" s="189">
        <f t="shared" si="20"/>
        <v>-2.7859756097560973</v>
      </c>
      <c r="K125" s="188">
        <v>2.5705128205128207</v>
      </c>
      <c r="L125" s="189">
        <f t="shared" si="21"/>
        <v>-0.2044871794871792</v>
      </c>
      <c r="M125" s="188"/>
      <c r="N125" s="189"/>
    </row>
    <row r="126" spans="1:15" x14ac:dyDescent="0.25">
      <c r="B126" s="118" t="s">
        <v>87</v>
      </c>
      <c r="C126" s="188">
        <v>2.75</v>
      </c>
      <c r="D126" s="189">
        <v>0.15697674418604635</v>
      </c>
      <c r="E126" s="188">
        <v>5.2531645569620249</v>
      </c>
      <c r="F126" s="189">
        <f t="shared" si="20"/>
        <v>2.5031645569620249</v>
      </c>
      <c r="G126" s="188">
        <v>4.4220183486238529</v>
      </c>
      <c r="H126" s="189">
        <f t="shared" si="20"/>
        <v>-0.83114620833817199</v>
      </c>
      <c r="I126" s="188">
        <v>3.7320261437908497</v>
      </c>
      <c r="J126" s="189">
        <f t="shared" si="20"/>
        <v>-0.68999220483300316</v>
      </c>
      <c r="K126" s="188">
        <v>4.6885245901639347</v>
      </c>
      <c r="L126" s="189">
        <f t="shared" si="21"/>
        <v>0.95649844637308501</v>
      </c>
      <c r="M126" s="188"/>
      <c r="N126" s="189"/>
    </row>
    <row r="127" spans="1:15" x14ac:dyDescent="0.25">
      <c r="B127" s="118" t="s">
        <v>89</v>
      </c>
      <c r="C127" s="188">
        <v>1.75</v>
      </c>
      <c r="D127" s="189">
        <v>-0.86702127659574479</v>
      </c>
      <c r="E127" s="188">
        <v>3.7397260273972601</v>
      </c>
      <c r="F127" s="189">
        <f t="shared" si="20"/>
        <v>1.9897260273972601</v>
      </c>
      <c r="G127" s="188">
        <v>4.4294478527607364</v>
      </c>
      <c r="H127" s="189">
        <f t="shared" si="20"/>
        <v>0.68972182536347626</v>
      </c>
      <c r="I127" s="188">
        <v>4.6111111111111107</v>
      </c>
      <c r="J127" s="189">
        <f t="shared" si="20"/>
        <v>0.18166325835037433</v>
      </c>
      <c r="K127" s="188">
        <v>4.2195121951219514</v>
      </c>
      <c r="L127" s="189">
        <f t="shared" si="21"/>
        <v>-0.3915989159891593</v>
      </c>
      <c r="M127" s="188"/>
      <c r="N127" s="189"/>
    </row>
    <row r="128" spans="1:15" x14ac:dyDescent="0.25">
      <c r="A128" s="124"/>
      <c r="B128" s="118" t="s">
        <v>91</v>
      </c>
      <c r="C128" s="188">
        <v>1.8</v>
      </c>
      <c r="D128" s="189">
        <v>-0.38181818181818161</v>
      </c>
      <c r="E128" s="188">
        <v>4.6441717791411046</v>
      </c>
      <c r="F128" s="189">
        <f t="shared" si="20"/>
        <v>2.8441717791411048</v>
      </c>
      <c r="G128" s="188">
        <v>3.862857142857143</v>
      </c>
      <c r="H128" s="189">
        <f t="shared" si="20"/>
        <v>-0.78131463628396158</v>
      </c>
      <c r="I128" s="188">
        <v>3.6555555555555554</v>
      </c>
      <c r="J128" s="189">
        <f t="shared" si="20"/>
        <v>-0.20730158730158754</v>
      </c>
      <c r="K128" s="188">
        <v>4.166666666666667</v>
      </c>
      <c r="L128" s="189">
        <f t="shared" si="21"/>
        <v>0.51111111111111152</v>
      </c>
      <c r="M128" s="188"/>
      <c r="N128" s="189"/>
    </row>
    <row r="129" spans="2:15" x14ac:dyDescent="0.25">
      <c r="B129" s="118" t="s">
        <v>93</v>
      </c>
      <c r="C129" s="188">
        <v>2.1458333333333335</v>
      </c>
      <c r="D129" s="189">
        <v>-0.56693262411347511</v>
      </c>
      <c r="E129" s="188">
        <v>3.4688796680497926</v>
      </c>
      <c r="F129" s="189">
        <f t="shared" si="20"/>
        <v>1.3230463347164592</v>
      </c>
      <c r="G129" s="188">
        <v>3.5871212121212119</v>
      </c>
      <c r="H129" s="189">
        <f t="shared" si="20"/>
        <v>0.11824154407141929</v>
      </c>
      <c r="I129" s="188">
        <v>3.0539568345323742</v>
      </c>
      <c r="J129" s="189">
        <f t="shared" si="20"/>
        <v>-0.53316437758883772</v>
      </c>
      <c r="K129" s="188">
        <v>3.359375</v>
      </c>
      <c r="L129" s="189">
        <f t="shared" si="21"/>
        <v>0.30541816546762579</v>
      </c>
      <c r="M129" s="188"/>
      <c r="N129" s="189"/>
    </row>
    <row r="130" spans="2:15" x14ac:dyDescent="0.25">
      <c r="B130" s="118" t="s">
        <v>95</v>
      </c>
      <c r="C130" s="188">
        <v>1.8378378378378379</v>
      </c>
      <c r="D130" s="189">
        <v>-1.5261972498814604</v>
      </c>
      <c r="E130" s="188">
        <v>3.9766081871345027</v>
      </c>
      <c r="F130" s="189">
        <f t="shared" si="20"/>
        <v>2.1387703492966645</v>
      </c>
      <c r="G130" s="188">
        <v>3.1287128712871288</v>
      </c>
      <c r="H130" s="189">
        <f t="shared" si="20"/>
        <v>-0.84789531584737388</v>
      </c>
      <c r="I130" s="188">
        <v>3.865203761755486</v>
      </c>
      <c r="J130" s="189">
        <f t="shared" si="20"/>
        <v>0.73649089046835714</v>
      </c>
      <c r="K130" s="188">
        <v>3.3038461538461537</v>
      </c>
      <c r="L130" s="189">
        <f t="shared" si="21"/>
        <v>-0.56135760790933231</v>
      </c>
      <c r="M130" s="188"/>
      <c r="N130" s="189"/>
    </row>
    <row r="131" spans="2:15" ht="15.75" x14ac:dyDescent="0.25">
      <c r="B131" s="121" t="s">
        <v>32</v>
      </c>
      <c r="C131" s="190">
        <v>3.8967391304347827</v>
      </c>
      <c r="D131" s="191">
        <v>0.55844916760950403</v>
      </c>
      <c r="E131" s="190">
        <v>3.7937024972855591</v>
      </c>
      <c r="F131" s="191">
        <f t="shared" si="20"/>
        <v>-0.10303663314922362</v>
      </c>
      <c r="G131" s="190">
        <v>3.8489388264669162</v>
      </c>
      <c r="H131" s="191">
        <f t="shared" si="20"/>
        <v>5.5236329181357124E-2</v>
      </c>
      <c r="I131" s="190">
        <v>3.9989266547406084</v>
      </c>
      <c r="J131" s="191">
        <f t="shared" si="20"/>
        <v>0.14998782827369217</v>
      </c>
      <c r="K131" s="190">
        <v>4.0580858085808584</v>
      </c>
      <c r="L131" s="191">
        <f t="shared" si="21"/>
        <v>5.9159153840250056E-2</v>
      </c>
      <c r="M131" s="190">
        <v>3.8176546391752577</v>
      </c>
      <c r="N131" s="191">
        <v>-0.52922882965943074</v>
      </c>
    </row>
    <row r="132" spans="2:15" ht="6" customHeight="1" x14ac:dyDescent="0.25"/>
    <row r="133" spans="2:15" x14ac:dyDescent="0.25">
      <c r="B133" s="107" t="s">
        <v>57</v>
      </c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5" x14ac:dyDescent="0.25">
      <c r="K134" s="124"/>
      <c r="M134" s="124"/>
      <c r="N134" s="126"/>
    </row>
    <row r="136" spans="2:15" ht="48.75" customHeight="1" thickBot="1" x14ac:dyDescent="0.3">
      <c r="B136" s="278" t="s">
        <v>292</v>
      </c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1" t="s">
        <v>113</v>
      </c>
    </row>
    <row r="137" spans="2:15" ht="10.5" customHeight="1" thickBot="1" x14ac:dyDescent="0.3">
      <c r="B137" s="108"/>
      <c r="C137" s="109"/>
      <c r="D137" s="108"/>
      <c r="E137" s="108"/>
      <c r="F137" s="108"/>
      <c r="G137" s="108"/>
      <c r="H137" s="108"/>
      <c r="I137" s="108"/>
      <c r="J137" s="108"/>
      <c r="K137" s="108"/>
      <c r="L137" s="108"/>
      <c r="M137" s="4"/>
      <c r="N137" s="4"/>
      <c r="O137" s="1" t="s">
        <v>114</v>
      </c>
    </row>
    <row r="138" spans="2:15" ht="22.5" thickTop="1" thickBot="1" x14ac:dyDescent="0.3">
      <c r="B138" s="125" t="str">
        <f>C138</f>
        <v>Alemania</v>
      </c>
      <c r="C138" s="303" t="s">
        <v>115</v>
      </c>
      <c r="D138" s="304"/>
      <c r="E138" s="304"/>
      <c r="F138" s="304"/>
      <c r="G138" s="304"/>
      <c r="H138" s="304"/>
      <c r="I138" s="304"/>
      <c r="J138" s="304"/>
      <c r="K138" s="304"/>
      <c r="L138" s="304"/>
      <c r="M138" s="304"/>
      <c r="N138" s="304"/>
    </row>
    <row r="139" spans="2:15" ht="22.5" thickTop="1" thickBot="1" x14ac:dyDescent="0.3">
      <c r="B139" s="111"/>
      <c r="C139" s="305">
        <v>2020</v>
      </c>
      <c r="D139" s="306"/>
      <c r="E139" s="307">
        <v>2021</v>
      </c>
      <c r="F139" s="306"/>
      <c r="G139" s="307">
        <v>2022</v>
      </c>
      <c r="H139" s="306"/>
      <c r="I139" s="307">
        <v>2023</v>
      </c>
      <c r="J139" s="306"/>
      <c r="K139" s="307">
        <v>2024</v>
      </c>
      <c r="L139" s="306"/>
      <c r="M139" s="307">
        <v>2025</v>
      </c>
      <c r="N139" s="308"/>
    </row>
    <row r="140" spans="2:15" ht="16.5" thickTop="1" thickBot="1" x14ac:dyDescent="0.3">
      <c r="B140" s="87"/>
      <c r="C140" s="115" t="s">
        <v>71</v>
      </c>
      <c r="D140" s="116" t="str">
        <f>CONCATENATE("dif ",RIGHT(C139,2),"/",RIGHT(C139-1,2))</f>
        <v>dif 20/19</v>
      </c>
      <c r="E140" s="117" t="s">
        <v>71</v>
      </c>
      <c r="F140" s="116" t="str">
        <f>CONCATENATE("dif ",RIGHT(E139,2),"/",RIGHT(C139,2))</f>
        <v>dif 21/20</v>
      </c>
      <c r="G140" s="117" t="s">
        <v>71</v>
      </c>
      <c r="H140" s="116" t="str">
        <f>CONCATENATE("dif ",RIGHT(G139,2),"/",RIGHT(E139,2))</f>
        <v>dif 22/21</v>
      </c>
      <c r="I140" s="117" t="s">
        <v>71</v>
      </c>
      <c r="J140" s="116" t="str">
        <f>CONCATENATE("dif ",RIGHT(I139,2),"/",RIGHT(G139,2))</f>
        <v>dif 23/22</v>
      </c>
      <c r="K140" s="117" t="s">
        <v>71</v>
      </c>
      <c r="L140" s="116" t="str">
        <f>CONCATENATE("dif ",RIGHT(K139,2),"/",RIGHT(I139,2))</f>
        <v>dif 24/23</v>
      </c>
      <c r="M140" s="117" t="s">
        <v>71</v>
      </c>
      <c r="N140" s="116" t="str">
        <f>CONCATENATE("dif ",RIGHT(M139,2),"/",RIGHT(K139,2))</f>
        <v>dif 25/24</v>
      </c>
    </row>
    <row r="141" spans="2:15" x14ac:dyDescent="0.25">
      <c r="B141" s="118" t="s">
        <v>73</v>
      </c>
      <c r="C141" s="188">
        <v>5.9742388758782203</v>
      </c>
      <c r="D141" s="189">
        <v>-0.5468137557007271</v>
      </c>
      <c r="E141" s="188">
        <v>5.7640449438202248</v>
      </c>
      <c r="F141" s="189">
        <f t="shared" ref="F141:J143" si="22">IFERROR(E141-C141,"-")</f>
        <v>-0.21019393205799553</v>
      </c>
      <c r="G141" s="188">
        <v>5.7216828478964405</v>
      </c>
      <c r="H141" s="189">
        <f t="shared" si="22"/>
        <v>-4.236209592378426E-2</v>
      </c>
      <c r="I141" s="188">
        <v>5.8413043478260871</v>
      </c>
      <c r="J141" s="189">
        <f t="shared" si="22"/>
        <v>0.11962149992964655</v>
      </c>
      <c r="K141" s="188">
        <v>5.5225505443234839</v>
      </c>
      <c r="L141" s="189">
        <f t="shared" ref="L141:L143" si="23">IFERROR(K141-I141,"-")</f>
        <v>-0.31875380350260318</v>
      </c>
      <c r="M141" s="188">
        <v>5.0589353612167303</v>
      </c>
      <c r="N141" s="189">
        <f t="shared" ref="N141:N146" si="24">IFERROR(M141-K141,"-")</f>
        <v>-0.46361518310675365</v>
      </c>
    </row>
    <row r="142" spans="2:15" x14ac:dyDescent="0.25">
      <c r="B142" s="118" t="s">
        <v>75</v>
      </c>
      <c r="C142" s="188">
        <v>5.5458515283842793</v>
      </c>
      <c r="D142" s="189">
        <v>-0.46253421585052124</v>
      </c>
      <c r="E142" s="188">
        <v>6.0217391304347823</v>
      </c>
      <c r="F142" s="189">
        <f t="shared" si="22"/>
        <v>0.47588760205050296</v>
      </c>
      <c r="G142" s="188">
        <v>6.0282051282051281</v>
      </c>
      <c r="H142" s="189">
        <f t="shared" si="22"/>
        <v>6.4659977703458438E-3</v>
      </c>
      <c r="I142" s="188">
        <v>6.4454545454545453</v>
      </c>
      <c r="J142" s="189">
        <f t="shared" si="22"/>
        <v>0.41724941724941722</v>
      </c>
      <c r="K142" s="188">
        <v>5.8026070763500934</v>
      </c>
      <c r="L142" s="189">
        <f t="shared" si="23"/>
        <v>-0.6428474691044519</v>
      </c>
      <c r="M142" s="188">
        <v>6.4574257425742578</v>
      </c>
      <c r="N142" s="189">
        <f t="shared" si="24"/>
        <v>0.6548186662241644</v>
      </c>
    </row>
    <row r="143" spans="2:15" x14ac:dyDescent="0.25">
      <c r="B143" s="118" t="s">
        <v>77</v>
      </c>
      <c r="C143" s="188">
        <v>7.397849462365591</v>
      </c>
      <c r="D143" s="189">
        <v>2.4376583795630431</v>
      </c>
      <c r="E143" s="188">
        <v>4.9820359281437128</v>
      </c>
      <c r="F143" s="189">
        <f t="shared" si="22"/>
        <v>-2.4158135342218783</v>
      </c>
      <c r="G143" s="188">
        <v>5.8561484918793507</v>
      </c>
      <c r="H143" s="189">
        <f t="shared" si="22"/>
        <v>0.87411256373563795</v>
      </c>
      <c r="I143" s="188">
        <v>6.64</v>
      </c>
      <c r="J143" s="189">
        <f t="shared" si="22"/>
        <v>0.78385150812064897</v>
      </c>
      <c r="K143" s="188">
        <v>5.9575221238938054</v>
      </c>
      <c r="L143" s="189">
        <f t="shared" si="23"/>
        <v>-0.68247787610619426</v>
      </c>
      <c r="M143" s="188">
        <v>6.3815028901734108</v>
      </c>
      <c r="N143" s="189">
        <f t="shared" si="24"/>
        <v>0.42398076627960535</v>
      </c>
    </row>
    <row r="144" spans="2:15" x14ac:dyDescent="0.25">
      <c r="B144" s="118" t="s">
        <v>79</v>
      </c>
      <c r="C144" s="188" t="s">
        <v>229</v>
      </c>
      <c r="D144" s="189" t="s">
        <v>229</v>
      </c>
      <c r="E144" s="188">
        <v>6.3734939759036147</v>
      </c>
      <c r="F144" s="189" t="str">
        <f>IFERROR(E144-C144,"-")</f>
        <v>-</v>
      </c>
      <c r="G144" s="188">
        <v>6.5965909090909092</v>
      </c>
      <c r="H144" s="189">
        <f>IFERROR(G144-E144,"-")</f>
        <v>0.22309693318729451</v>
      </c>
      <c r="I144" s="188">
        <v>6.6480446927374306</v>
      </c>
      <c r="J144" s="189">
        <f>IFERROR(I144-G144,"-")</f>
        <v>5.1453783646521423E-2</v>
      </c>
      <c r="K144" s="188">
        <v>6.6465517241379306</v>
      </c>
      <c r="L144" s="189">
        <f>IFERROR(K144-I144,"-")</f>
        <v>-1.4929685994999886E-3</v>
      </c>
      <c r="M144" s="188">
        <v>6.349152542372881</v>
      </c>
      <c r="N144" s="189">
        <f t="shared" si="24"/>
        <v>-0.29739918176504965</v>
      </c>
    </row>
    <row r="145" spans="1:15" x14ac:dyDescent="0.25">
      <c r="B145" s="118" t="s">
        <v>81</v>
      </c>
      <c r="C145" s="188" t="s">
        <v>229</v>
      </c>
      <c r="D145" s="189" t="s">
        <v>229</v>
      </c>
      <c r="E145" s="188">
        <v>4.7459016393442619</v>
      </c>
      <c r="F145" s="189" t="str">
        <f t="shared" ref="F145:J153" si="25">IFERROR(E145-C145,"-")</f>
        <v>-</v>
      </c>
      <c r="G145" s="188">
        <v>7.4578947368421051</v>
      </c>
      <c r="H145" s="189">
        <f t="shared" si="25"/>
        <v>2.7119930974978432</v>
      </c>
      <c r="I145" s="188">
        <v>6.7712765957446805</v>
      </c>
      <c r="J145" s="189">
        <f t="shared" si="25"/>
        <v>-0.68661814109742458</v>
      </c>
      <c r="K145" s="188">
        <v>6.5785123966942152</v>
      </c>
      <c r="L145" s="189">
        <f t="shared" ref="L145:L153" si="26">IFERROR(K145-I145,"-")</f>
        <v>-0.19276419905046538</v>
      </c>
      <c r="M145" s="188">
        <v>6.7061611374407581</v>
      </c>
      <c r="N145" s="189">
        <f t="shared" si="24"/>
        <v>0.12764874074654298</v>
      </c>
    </row>
    <row r="146" spans="1:15" x14ac:dyDescent="0.25">
      <c r="B146" s="118" t="s">
        <v>83</v>
      </c>
      <c r="C146" s="188" t="s">
        <v>229</v>
      </c>
      <c r="D146" s="189" t="s">
        <v>229</v>
      </c>
      <c r="E146" s="188">
        <v>8.3490566037735849</v>
      </c>
      <c r="F146" s="189" t="str">
        <f t="shared" si="25"/>
        <v>-</v>
      </c>
      <c r="G146" s="188">
        <v>5.2280701754385968</v>
      </c>
      <c r="H146" s="189">
        <f t="shared" si="25"/>
        <v>-3.1209864283349882</v>
      </c>
      <c r="I146" s="188">
        <v>6.4921875</v>
      </c>
      <c r="J146" s="189">
        <f t="shared" si="25"/>
        <v>1.2641173245614032</v>
      </c>
      <c r="K146" s="188">
        <v>6.5649350649350646</v>
      </c>
      <c r="L146" s="189">
        <f t="shared" si="26"/>
        <v>7.2747564935064624E-2</v>
      </c>
      <c r="M146" s="188">
        <v>8.247863247863247</v>
      </c>
      <c r="N146" s="189">
        <f t="shared" si="24"/>
        <v>1.6829281829281824</v>
      </c>
    </row>
    <row r="147" spans="1:15" x14ac:dyDescent="0.25">
      <c r="B147" s="118" t="s">
        <v>85</v>
      </c>
      <c r="C147" s="188" t="s">
        <v>229</v>
      </c>
      <c r="D147" s="189" t="s">
        <v>229</v>
      </c>
      <c r="E147" s="188">
        <v>7.1333333333333337</v>
      </c>
      <c r="F147" s="189" t="str">
        <f t="shared" si="25"/>
        <v>-</v>
      </c>
      <c r="G147" s="188">
        <v>6.9485294117647056</v>
      </c>
      <c r="H147" s="189">
        <f t="shared" si="25"/>
        <v>-0.18480392156862813</v>
      </c>
      <c r="I147" s="188">
        <v>3.9537037037037037</v>
      </c>
      <c r="J147" s="189">
        <f t="shared" si="25"/>
        <v>-2.9948257080610019</v>
      </c>
      <c r="K147" s="188">
        <v>3.661290322580645</v>
      </c>
      <c r="L147" s="189">
        <f t="shared" si="26"/>
        <v>-0.2924133811230587</v>
      </c>
      <c r="M147" s="188"/>
      <c r="N147" s="189"/>
    </row>
    <row r="148" spans="1:15" x14ac:dyDescent="0.25">
      <c r="B148" s="118" t="s">
        <v>87</v>
      </c>
      <c r="C148" s="188">
        <v>3.5697674418604652</v>
      </c>
      <c r="D148" s="189">
        <v>-0.35166112956810602</v>
      </c>
      <c r="E148" s="188">
        <v>6.527093596059113</v>
      </c>
      <c r="F148" s="189">
        <f t="shared" si="25"/>
        <v>2.9573261541986477</v>
      </c>
      <c r="G148" s="188">
        <v>5.5595854922279795</v>
      </c>
      <c r="H148" s="189">
        <f t="shared" si="25"/>
        <v>-0.9675081038311335</v>
      </c>
      <c r="I148" s="188">
        <v>5.2212765957446807</v>
      </c>
      <c r="J148" s="189">
        <f t="shared" si="25"/>
        <v>-0.33830889648329876</v>
      </c>
      <c r="K148" s="188">
        <v>6.5260115606936413</v>
      </c>
      <c r="L148" s="189">
        <f t="shared" si="26"/>
        <v>1.3047349649489606</v>
      </c>
      <c r="M148" s="188"/>
      <c r="N148" s="189"/>
    </row>
    <row r="149" spans="1:15" x14ac:dyDescent="0.25">
      <c r="B149" s="118" t="s">
        <v>89</v>
      </c>
      <c r="C149" s="188">
        <v>1.7142857142857142</v>
      </c>
      <c r="D149" s="189">
        <v>-1.5929768555466881</v>
      </c>
      <c r="E149" s="188">
        <v>6.3711340206185563</v>
      </c>
      <c r="F149" s="189">
        <f t="shared" si="25"/>
        <v>4.6568483063328419</v>
      </c>
      <c r="G149" s="188">
        <v>6.1875</v>
      </c>
      <c r="H149" s="189">
        <f t="shared" si="25"/>
        <v>-0.18363402061855627</v>
      </c>
      <c r="I149" s="188">
        <v>5.801801801801802</v>
      </c>
      <c r="J149" s="189">
        <f t="shared" si="25"/>
        <v>-0.38569819819819795</v>
      </c>
      <c r="K149" s="188">
        <v>5.8526785714285712</v>
      </c>
      <c r="L149" s="189">
        <f t="shared" si="26"/>
        <v>5.0876769626769125E-2</v>
      </c>
      <c r="M149" s="188"/>
      <c r="N149" s="189"/>
    </row>
    <row r="150" spans="1:15" x14ac:dyDescent="0.25">
      <c r="A150" s="124"/>
      <c r="B150" s="118" t="s">
        <v>91</v>
      </c>
      <c r="C150" s="188">
        <v>3.05</v>
      </c>
      <c r="D150" s="189">
        <v>-1.1842569269521412</v>
      </c>
      <c r="E150" s="188">
        <v>8.5621890547263675</v>
      </c>
      <c r="F150" s="189">
        <f t="shared" si="25"/>
        <v>5.5121890547263677</v>
      </c>
      <c r="G150" s="188">
        <v>6.6477987421383649</v>
      </c>
      <c r="H150" s="189">
        <f t="shared" si="25"/>
        <v>-1.9143903125880026</v>
      </c>
      <c r="I150" s="188">
        <v>5.7828947368421053</v>
      </c>
      <c r="J150" s="189">
        <f t="shared" si="25"/>
        <v>-0.86490400529625955</v>
      </c>
      <c r="K150" s="188">
        <v>5.9803278688524593</v>
      </c>
      <c r="L150" s="189">
        <f t="shared" si="26"/>
        <v>0.19743313201035395</v>
      </c>
      <c r="M150" s="188"/>
      <c r="N150" s="189"/>
    </row>
    <row r="151" spans="1:15" x14ac:dyDescent="0.25">
      <c r="B151" s="118" t="s">
        <v>93</v>
      </c>
      <c r="C151" s="188">
        <v>2.0388349514563107</v>
      </c>
      <c r="D151" s="189">
        <v>-3.9387769888421964</v>
      </c>
      <c r="E151" s="188">
        <v>5.795309168443497</v>
      </c>
      <c r="F151" s="189">
        <f t="shared" si="25"/>
        <v>3.7564742169871863</v>
      </c>
      <c r="G151" s="188">
        <v>5.9533169533169534</v>
      </c>
      <c r="H151" s="189">
        <f t="shared" si="25"/>
        <v>0.15800778487345646</v>
      </c>
      <c r="I151" s="188">
        <v>5.8276553106212425</v>
      </c>
      <c r="J151" s="189">
        <f t="shared" si="25"/>
        <v>-0.1256616426957109</v>
      </c>
      <c r="K151" s="188">
        <v>6.3442265795206971</v>
      </c>
      <c r="L151" s="189">
        <f t="shared" si="26"/>
        <v>0.51657126889945459</v>
      </c>
      <c r="M151" s="188"/>
      <c r="N151" s="189"/>
    </row>
    <row r="152" spans="1:15" x14ac:dyDescent="0.25">
      <c r="B152" s="118" t="s">
        <v>95</v>
      </c>
      <c r="C152" s="188">
        <v>2.2873563218390807</v>
      </c>
      <c r="D152" s="189">
        <v>-3.6677887968944285</v>
      </c>
      <c r="E152" s="188">
        <v>5.5287356321839081</v>
      </c>
      <c r="F152" s="189">
        <f t="shared" si="25"/>
        <v>3.2413793103448274</v>
      </c>
      <c r="G152" s="188">
        <v>5.0775623268698062</v>
      </c>
      <c r="H152" s="189">
        <f t="shared" si="25"/>
        <v>-0.45117330531410182</v>
      </c>
      <c r="I152" s="188">
        <v>4.8246445497630335</v>
      </c>
      <c r="J152" s="189">
        <f t="shared" si="25"/>
        <v>-0.25291777710677277</v>
      </c>
      <c r="K152" s="188">
        <v>5.3826086956521735</v>
      </c>
      <c r="L152" s="189">
        <f t="shared" si="26"/>
        <v>0.55796414588914001</v>
      </c>
      <c r="M152" s="188"/>
      <c r="N152" s="189"/>
    </row>
    <row r="153" spans="1:15" ht="15.75" x14ac:dyDescent="0.25">
      <c r="B153" s="121" t="s">
        <v>32</v>
      </c>
      <c r="C153" s="190">
        <v>5.0459149223497635</v>
      </c>
      <c r="D153" s="191">
        <v>-0.42553194064639488</v>
      </c>
      <c r="E153" s="190">
        <v>6.4271398747390398</v>
      </c>
      <c r="F153" s="191">
        <f t="shared" si="25"/>
        <v>1.3812249523892763</v>
      </c>
      <c r="G153" s="190">
        <v>6.0453762205628951</v>
      </c>
      <c r="H153" s="191">
        <f t="shared" si="25"/>
        <v>-0.38176365417614466</v>
      </c>
      <c r="I153" s="190">
        <v>5.9357629785002626</v>
      </c>
      <c r="J153" s="191">
        <f t="shared" si="25"/>
        <v>-0.10961324206263257</v>
      </c>
      <c r="K153" s="190">
        <v>5.917572035899858</v>
      </c>
      <c r="L153" s="191">
        <f t="shared" si="26"/>
        <v>-1.8190942600404547E-2</v>
      </c>
      <c r="M153" s="190">
        <v>6.2066267832489643</v>
      </c>
      <c r="N153" s="191">
        <v>0.20060026657560126</v>
      </c>
    </row>
    <row r="154" spans="1:15" ht="6" customHeight="1" x14ac:dyDescent="0.25"/>
    <row r="155" spans="1:15" x14ac:dyDescent="0.25">
      <c r="B155" s="107" t="s">
        <v>57</v>
      </c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1:15" x14ac:dyDescent="0.25">
      <c r="K156" s="124"/>
      <c r="N156" s="127"/>
    </row>
    <row r="158" spans="1:15" ht="48.75" customHeight="1" thickBot="1" x14ac:dyDescent="0.3">
      <c r="B158" s="278" t="s">
        <v>293</v>
      </c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1" t="s">
        <v>116</v>
      </c>
    </row>
    <row r="159" spans="1:15" ht="10.5" customHeight="1" thickBot="1" x14ac:dyDescent="0.3">
      <c r="B159" s="108"/>
      <c r="C159" s="109"/>
      <c r="D159" s="108"/>
      <c r="E159" s="108"/>
      <c r="F159" s="108"/>
      <c r="G159" s="108"/>
      <c r="H159" s="108"/>
      <c r="I159" s="108"/>
      <c r="J159" s="108"/>
      <c r="K159" s="108"/>
      <c r="L159" s="108"/>
      <c r="M159" s="4"/>
      <c r="N159" s="4"/>
      <c r="O159" s="1" t="s">
        <v>117</v>
      </c>
    </row>
    <row r="160" spans="1:15" ht="22.5" thickTop="1" thickBot="1" x14ac:dyDescent="0.3">
      <c r="B160" s="125" t="str">
        <f>C160</f>
        <v>Francia</v>
      </c>
      <c r="C160" s="303" t="s">
        <v>118</v>
      </c>
      <c r="D160" s="304"/>
      <c r="E160" s="304"/>
      <c r="F160" s="304"/>
      <c r="G160" s="304"/>
      <c r="H160" s="304"/>
      <c r="I160" s="304"/>
      <c r="J160" s="304"/>
      <c r="K160" s="304"/>
      <c r="L160" s="304"/>
      <c r="M160" s="304"/>
      <c r="N160" s="304"/>
    </row>
    <row r="161" spans="2:14" ht="22.5" thickTop="1" thickBot="1" x14ac:dyDescent="0.3">
      <c r="B161" s="111"/>
      <c r="C161" s="305">
        <v>2020</v>
      </c>
      <c r="D161" s="306"/>
      <c r="E161" s="307">
        <v>2021</v>
      </c>
      <c r="F161" s="306"/>
      <c r="G161" s="307">
        <v>2022</v>
      </c>
      <c r="H161" s="306"/>
      <c r="I161" s="307">
        <v>2023</v>
      </c>
      <c r="J161" s="306"/>
      <c r="K161" s="307">
        <v>2024</v>
      </c>
      <c r="L161" s="306"/>
      <c r="M161" s="307">
        <v>2025</v>
      </c>
      <c r="N161" s="308"/>
    </row>
    <row r="162" spans="2:14" ht="16.5" thickTop="1" thickBot="1" x14ac:dyDescent="0.3">
      <c r="B162" s="87"/>
      <c r="C162" s="115" t="s">
        <v>71</v>
      </c>
      <c r="D162" s="116" t="str">
        <f>CONCATENATE("dif ",RIGHT(C161,2),"/",RIGHT(C161-1,2))</f>
        <v>dif 20/19</v>
      </c>
      <c r="E162" s="117" t="s">
        <v>71</v>
      </c>
      <c r="F162" s="116" t="str">
        <f>CONCATENATE("dif ",RIGHT(E161,2),"/",RIGHT(C161,2))</f>
        <v>dif 21/20</v>
      </c>
      <c r="G162" s="117" t="s">
        <v>71</v>
      </c>
      <c r="H162" s="116" t="str">
        <f>CONCATENATE("dif ",RIGHT(G161,2),"/",RIGHT(E161,2))</f>
        <v>dif 22/21</v>
      </c>
      <c r="I162" s="117" t="s">
        <v>71</v>
      </c>
      <c r="J162" s="116" t="str">
        <f>CONCATENATE("dif ",RIGHT(I161,2),"/",RIGHT(G161,2))</f>
        <v>dif 23/22</v>
      </c>
      <c r="K162" s="117" t="s">
        <v>71</v>
      </c>
      <c r="L162" s="116" t="str">
        <f>CONCATENATE("dif ",RIGHT(K161,2),"/",RIGHT(I161,2))</f>
        <v>dif 24/23</v>
      </c>
      <c r="M162" s="117" t="s">
        <v>71</v>
      </c>
      <c r="N162" s="116" t="str">
        <f>CONCATENATE("dif ",RIGHT(M161,2),"/",RIGHT(K161,2))</f>
        <v>dif 25/24</v>
      </c>
    </row>
    <row r="163" spans="2:14" x14ac:dyDescent="0.25">
      <c r="B163" s="118" t="s">
        <v>73</v>
      </c>
      <c r="C163" s="188">
        <v>2.3308641975308642</v>
      </c>
      <c r="D163" s="189">
        <v>0.37964468533574225</v>
      </c>
      <c r="E163" s="188">
        <v>1.7464788732394365</v>
      </c>
      <c r="F163" s="189">
        <f t="shared" ref="F163:J165" si="27">IFERROR(E163-C163,"-")</f>
        <v>-0.58438532429142764</v>
      </c>
      <c r="G163" s="188">
        <v>2.3723076923076922</v>
      </c>
      <c r="H163" s="189">
        <f t="shared" si="27"/>
        <v>0.62582881906825572</v>
      </c>
      <c r="I163" s="188">
        <v>2.0614754098360657</v>
      </c>
      <c r="J163" s="189">
        <f t="shared" si="27"/>
        <v>-0.31083228247162653</v>
      </c>
      <c r="K163" s="188">
        <v>2.5740259740259739</v>
      </c>
      <c r="L163" s="189">
        <f t="shared" ref="L163:L165" si="28">IFERROR(K163-I163,"-")</f>
        <v>0.51255056418990819</v>
      </c>
      <c r="M163" s="188">
        <v>2.6155778894472363</v>
      </c>
      <c r="N163" s="189">
        <f t="shared" ref="N163:N168" si="29">IFERROR(M163-K163,"-")</f>
        <v>4.1551915421262464E-2</v>
      </c>
    </row>
    <row r="164" spans="2:14" x14ac:dyDescent="0.25">
      <c r="B164" s="118" t="s">
        <v>75</v>
      </c>
      <c r="C164" s="188">
        <v>2.4140000000000001</v>
      </c>
      <c r="D164" s="189">
        <v>-0.43284684684684649</v>
      </c>
      <c r="E164" s="188">
        <v>2.0147601476014758</v>
      </c>
      <c r="F164" s="189">
        <f t="shared" si="27"/>
        <v>-0.39923985239852433</v>
      </c>
      <c r="G164" s="188">
        <v>2.2242268041237114</v>
      </c>
      <c r="H164" s="189">
        <f t="shared" si="27"/>
        <v>0.20946665652223562</v>
      </c>
      <c r="I164" s="188">
        <v>2.5348258706467663</v>
      </c>
      <c r="J164" s="189">
        <f t="shared" si="27"/>
        <v>0.31059906652305491</v>
      </c>
      <c r="K164" s="188">
        <v>2.6754385964912282</v>
      </c>
      <c r="L164" s="189">
        <f t="shared" si="28"/>
        <v>0.14061272584446183</v>
      </c>
      <c r="M164" s="188">
        <v>2.4320388349514563</v>
      </c>
      <c r="N164" s="189">
        <f t="shared" si="29"/>
        <v>-0.24339976153977183</v>
      </c>
    </row>
    <row r="165" spans="2:14" x14ac:dyDescent="0.25">
      <c r="B165" s="118" t="s">
        <v>77</v>
      </c>
      <c r="C165" s="188">
        <v>1.97265625</v>
      </c>
      <c r="D165" s="189">
        <v>-0.37869510135135132</v>
      </c>
      <c r="E165" s="188">
        <v>1.8691796008869179</v>
      </c>
      <c r="F165" s="189">
        <f t="shared" si="27"/>
        <v>-0.10347664911308208</v>
      </c>
      <c r="G165" s="188">
        <v>2.4673629242819843</v>
      </c>
      <c r="H165" s="189">
        <f t="shared" si="27"/>
        <v>0.59818332339506641</v>
      </c>
      <c r="I165" s="188">
        <v>2.4316239316239314</v>
      </c>
      <c r="J165" s="189">
        <f t="shared" si="27"/>
        <v>-3.5738992658052915E-2</v>
      </c>
      <c r="K165" s="188">
        <v>2.6632653061224492</v>
      </c>
      <c r="L165" s="189">
        <f t="shared" si="28"/>
        <v>0.23164137449851774</v>
      </c>
      <c r="M165" s="188">
        <v>2.4990138067061145</v>
      </c>
      <c r="N165" s="189">
        <f t="shared" si="29"/>
        <v>-0.16425149941633466</v>
      </c>
    </row>
    <row r="166" spans="2:14" x14ac:dyDescent="0.25">
      <c r="B166" s="118" t="s">
        <v>79</v>
      </c>
      <c r="C166" s="188" t="s">
        <v>229</v>
      </c>
      <c r="D166" s="189" t="s">
        <v>229</v>
      </c>
      <c r="E166" s="188">
        <v>1.9146005509641872</v>
      </c>
      <c r="F166" s="189" t="str">
        <f>IFERROR(E166-C166,"-")</f>
        <v>-</v>
      </c>
      <c r="G166" s="188">
        <v>2.6418439716312059</v>
      </c>
      <c r="H166" s="189">
        <f>IFERROR(G166-E166,"-")</f>
        <v>0.72724342066701864</v>
      </c>
      <c r="I166" s="188">
        <v>2.1666666666666665</v>
      </c>
      <c r="J166" s="189">
        <f>IFERROR(I166-G166,"-")</f>
        <v>-0.47517730496453936</v>
      </c>
      <c r="K166" s="188">
        <v>2.4542772861356932</v>
      </c>
      <c r="L166" s="189">
        <f>IFERROR(K166-I166,"-")</f>
        <v>0.28761061946902666</v>
      </c>
      <c r="M166" s="188">
        <v>2.3902439024390243</v>
      </c>
      <c r="N166" s="189">
        <f t="shared" si="29"/>
        <v>-6.4033383696668889E-2</v>
      </c>
    </row>
    <row r="167" spans="2:14" x14ac:dyDescent="0.25">
      <c r="B167" s="118" t="s">
        <v>81</v>
      </c>
      <c r="C167" s="188" t="s">
        <v>229</v>
      </c>
      <c r="D167" s="189" t="s">
        <v>229</v>
      </c>
      <c r="E167" s="188">
        <v>1.8443877551020409</v>
      </c>
      <c r="F167" s="189" t="str">
        <f t="shared" ref="F167:J175" si="30">IFERROR(E167-C167,"-")</f>
        <v>-</v>
      </c>
      <c r="G167" s="188">
        <v>2.0501792114695339</v>
      </c>
      <c r="H167" s="189">
        <f t="shared" si="30"/>
        <v>0.20579145636749296</v>
      </c>
      <c r="I167" s="188">
        <v>2.3689320388349513</v>
      </c>
      <c r="J167" s="189">
        <f t="shared" si="30"/>
        <v>0.31875282736541743</v>
      </c>
      <c r="K167" s="188">
        <v>2.9319727891156462</v>
      </c>
      <c r="L167" s="189">
        <f t="shared" ref="L167:L175" si="31">IFERROR(K167-I167,"-")</f>
        <v>0.56304075028069489</v>
      </c>
      <c r="M167" s="188">
        <v>2.7326388888888888</v>
      </c>
      <c r="N167" s="189">
        <f t="shared" si="29"/>
        <v>-0.19933390022675734</v>
      </c>
    </row>
    <row r="168" spans="2:14" x14ac:dyDescent="0.25">
      <c r="B168" s="118" t="s">
        <v>83</v>
      </c>
      <c r="C168" s="188" t="s">
        <v>229</v>
      </c>
      <c r="D168" s="189" t="s">
        <v>229</v>
      </c>
      <c r="E168" s="188">
        <v>2.2037037037037037</v>
      </c>
      <c r="F168" s="189" t="str">
        <f t="shared" si="30"/>
        <v>-</v>
      </c>
      <c r="G168" s="188">
        <v>2.278688524590164</v>
      </c>
      <c r="H168" s="189">
        <f t="shared" si="30"/>
        <v>7.4984820886460302E-2</v>
      </c>
      <c r="I168" s="188">
        <v>2.4933333333333332</v>
      </c>
      <c r="J168" s="189">
        <f t="shared" si="30"/>
        <v>0.21464480874316916</v>
      </c>
      <c r="K168" s="188">
        <v>3.6101694915254239</v>
      </c>
      <c r="L168" s="189">
        <f t="shared" si="31"/>
        <v>1.1168361581920907</v>
      </c>
      <c r="M168" s="188">
        <v>2.8768115942028984</v>
      </c>
      <c r="N168" s="189">
        <f t="shared" si="29"/>
        <v>-0.73335789732252543</v>
      </c>
    </row>
    <row r="169" spans="2:14" x14ac:dyDescent="0.25">
      <c r="B169" s="118" t="s">
        <v>85</v>
      </c>
      <c r="C169" s="188" t="s">
        <v>229</v>
      </c>
      <c r="D169" s="189" t="s">
        <v>229</v>
      </c>
      <c r="E169" s="188">
        <v>1.9858490566037736</v>
      </c>
      <c r="F169" s="189" t="str">
        <f t="shared" si="30"/>
        <v>-</v>
      </c>
      <c r="G169" s="188">
        <v>2.9</v>
      </c>
      <c r="H169" s="189">
        <f t="shared" si="30"/>
        <v>0.91415094339622627</v>
      </c>
      <c r="I169" s="188">
        <v>2.0376344086021505</v>
      </c>
      <c r="J169" s="189">
        <f t="shared" si="30"/>
        <v>-0.86236559139784941</v>
      </c>
      <c r="K169" s="188">
        <v>3.2391304347826089</v>
      </c>
      <c r="L169" s="189">
        <f t="shared" si="31"/>
        <v>1.2014960261804584</v>
      </c>
      <c r="M169" s="188"/>
      <c r="N169" s="189"/>
    </row>
    <row r="170" spans="2:14" x14ac:dyDescent="0.25">
      <c r="B170" s="118" t="s">
        <v>87</v>
      </c>
      <c r="C170" s="188">
        <v>3.2</v>
      </c>
      <c r="D170" s="189">
        <v>1.2973684210526317</v>
      </c>
      <c r="E170" s="188">
        <v>2.2243436754176611</v>
      </c>
      <c r="F170" s="189">
        <f t="shared" si="30"/>
        <v>-0.97565632458233909</v>
      </c>
      <c r="G170" s="188">
        <v>2.0975609756097562</v>
      </c>
      <c r="H170" s="189">
        <f t="shared" si="30"/>
        <v>-0.12678269980790491</v>
      </c>
      <c r="I170" s="188">
        <v>2.2378048780487805</v>
      </c>
      <c r="J170" s="189">
        <f t="shared" si="30"/>
        <v>0.14024390243902429</v>
      </c>
      <c r="K170" s="188">
        <v>2.9610778443113772</v>
      </c>
      <c r="L170" s="189">
        <f t="shared" si="31"/>
        <v>0.72327296626259674</v>
      </c>
      <c r="M170" s="188"/>
      <c r="N170" s="189"/>
    </row>
    <row r="171" spans="2:14" x14ac:dyDescent="0.25">
      <c r="B171" s="118" t="s">
        <v>89</v>
      </c>
      <c r="C171" s="188">
        <v>2.1666666666666665</v>
      </c>
      <c r="D171" s="189">
        <v>-0.22195892575039489</v>
      </c>
      <c r="E171" s="188">
        <v>1.9833333333333334</v>
      </c>
      <c r="F171" s="189">
        <f t="shared" si="30"/>
        <v>-0.18333333333333313</v>
      </c>
      <c r="G171" s="188">
        <v>2.5324675324675323</v>
      </c>
      <c r="H171" s="189">
        <f t="shared" si="30"/>
        <v>0.54913419913419892</v>
      </c>
      <c r="I171" s="188">
        <v>2.3365384615384617</v>
      </c>
      <c r="J171" s="189">
        <f t="shared" si="30"/>
        <v>-0.19592907092907064</v>
      </c>
      <c r="K171" s="188">
        <v>2.7697368421052633</v>
      </c>
      <c r="L171" s="189">
        <f t="shared" si="31"/>
        <v>0.4331983805668016</v>
      </c>
      <c r="M171" s="188"/>
      <c r="N171" s="189"/>
    </row>
    <row r="172" spans="2:14" x14ac:dyDescent="0.25">
      <c r="B172" s="118" t="s">
        <v>91</v>
      </c>
      <c r="C172" s="188">
        <v>1.7272727272727273</v>
      </c>
      <c r="D172" s="189">
        <v>-0.21193699917104181</v>
      </c>
      <c r="E172" s="188">
        <v>1.9558823529411764</v>
      </c>
      <c r="F172" s="189">
        <f t="shared" si="30"/>
        <v>0.22860962566844911</v>
      </c>
      <c r="G172" s="188">
        <v>2.1704035874439462</v>
      </c>
      <c r="H172" s="189">
        <f t="shared" si="30"/>
        <v>0.21452123450276983</v>
      </c>
      <c r="I172" s="188">
        <v>1.9482758620689655</v>
      </c>
      <c r="J172" s="189">
        <f t="shared" si="30"/>
        <v>-0.22212772537498071</v>
      </c>
      <c r="K172" s="188">
        <v>2.174825174825175</v>
      </c>
      <c r="L172" s="189">
        <f t="shared" si="31"/>
        <v>0.22654931275620949</v>
      </c>
      <c r="M172" s="188"/>
      <c r="N172" s="189"/>
    </row>
    <row r="173" spans="2:14" x14ac:dyDescent="0.25">
      <c r="B173" s="118" t="s">
        <v>93</v>
      </c>
      <c r="C173" s="188">
        <v>2.9183673469387754</v>
      </c>
      <c r="D173" s="189">
        <v>0.99508692365835216</v>
      </c>
      <c r="E173" s="188">
        <v>2.2709677419354839</v>
      </c>
      <c r="F173" s="189">
        <f t="shared" si="30"/>
        <v>-0.64739960500329152</v>
      </c>
      <c r="G173" s="188">
        <v>2.3391003460207611</v>
      </c>
      <c r="H173" s="189">
        <f t="shared" si="30"/>
        <v>6.8132604085277215E-2</v>
      </c>
      <c r="I173" s="188">
        <v>2.5221238938053099</v>
      </c>
      <c r="J173" s="189">
        <f t="shared" si="30"/>
        <v>0.18302354778454877</v>
      </c>
      <c r="K173" s="188">
        <v>2.103542234332425</v>
      </c>
      <c r="L173" s="189">
        <f t="shared" si="31"/>
        <v>-0.41858165947288484</v>
      </c>
      <c r="M173" s="188"/>
      <c r="N173" s="189"/>
    </row>
    <row r="174" spans="2:14" x14ac:dyDescent="0.25">
      <c r="B174" s="118" t="s">
        <v>95</v>
      </c>
      <c r="C174" s="188">
        <v>2.2029702970297032</v>
      </c>
      <c r="D174" s="189">
        <v>-0.26744390415372887</v>
      </c>
      <c r="E174" s="188">
        <v>2.1950549450549453</v>
      </c>
      <c r="F174" s="189">
        <f t="shared" si="30"/>
        <v>-7.9153519747579004E-3</v>
      </c>
      <c r="G174" s="188">
        <v>2.0084033613445378</v>
      </c>
      <c r="H174" s="189">
        <f t="shared" si="30"/>
        <v>-0.18665158371040746</v>
      </c>
      <c r="I174" s="188">
        <v>2.2335526315789473</v>
      </c>
      <c r="J174" s="189">
        <f t="shared" si="30"/>
        <v>0.22514927023440956</v>
      </c>
      <c r="K174" s="188">
        <v>2.5499999999999998</v>
      </c>
      <c r="L174" s="189">
        <f t="shared" si="31"/>
        <v>0.31644736842105248</v>
      </c>
      <c r="M174" s="188"/>
      <c r="N174" s="189"/>
    </row>
    <row r="175" spans="2:14" ht="15.75" x14ac:dyDescent="0.25">
      <c r="B175" s="121" t="s">
        <v>32</v>
      </c>
      <c r="C175" s="190">
        <v>2.3596757852076999</v>
      </c>
      <c r="D175" s="191">
        <v>0.11343811006499127</v>
      </c>
      <c r="E175" s="190">
        <v>2.0186388025981361</v>
      </c>
      <c r="F175" s="191">
        <f t="shared" si="30"/>
        <v>-0.34103698260956383</v>
      </c>
      <c r="G175" s="190">
        <v>2.3097889800703402</v>
      </c>
      <c r="H175" s="191">
        <f t="shared" si="30"/>
        <v>0.29115017747220406</v>
      </c>
      <c r="I175" s="190">
        <v>2.2913770913770914</v>
      </c>
      <c r="J175" s="191">
        <f t="shared" si="30"/>
        <v>-1.8411888693248724E-2</v>
      </c>
      <c r="K175" s="190">
        <v>2.6458616010854819</v>
      </c>
      <c r="L175" s="191">
        <f t="shared" si="31"/>
        <v>0.35448450970839041</v>
      </c>
      <c r="M175" s="190">
        <v>2.5517241379310347</v>
      </c>
      <c r="N175" s="191">
        <v>-0.1552883500612805</v>
      </c>
    </row>
    <row r="176" spans="2:14" ht="6" customHeight="1" x14ac:dyDescent="0.25"/>
    <row r="177" spans="1:15" x14ac:dyDescent="0.25">
      <c r="B177" s="107" t="s">
        <v>57</v>
      </c>
      <c r="C177" s="107"/>
      <c r="D177" s="107"/>
      <c r="E177" s="107"/>
      <c r="F177" s="107"/>
      <c r="G177" s="107"/>
      <c r="H177" s="107"/>
      <c r="I177" s="107"/>
      <c r="J177" s="107"/>
      <c r="K177" s="128"/>
      <c r="L177" s="107"/>
      <c r="M177" s="107"/>
      <c r="N177" s="107"/>
    </row>
    <row r="180" spans="1:15" ht="48.75" customHeight="1" thickBot="1" x14ac:dyDescent="0.3">
      <c r="B180" s="278" t="s">
        <v>294</v>
      </c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1" t="s">
        <v>119</v>
      </c>
    </row>
    <row r="181" spans="1:15" ht="10.5" customHeight="1" thickBot="1" x14ac:dyDescent="0.3">
      <c r="B181" s="108"/>
      <c r="C181" s="109"/>
      <c r="D181" s="108"/>
      <c r="E181" s="108"/>
      <c r="F181" s="108"/>
      <c r="G181" s="108"/>
      <c r="H181" s="108"/>
      <c r="I181" s="108"/>
      <c r="J181" s="108"/>
      <c r="K181" s="108"/>
      <c r="L181" s="108"/>
      <c r="M181" s="4"/>
      <c r="N181" s="4"/>
      <c r="O181" s="1" t="s">
        <v>120</v>
      </c>
    </row>
    <row r="182" spans="1:15" ht="22.5" thickTop="1" thickBot="1" x14ac:dyDescent="0.3">
      <c r="B182" s="125" t="str">
        <f>C182</f>
        <v>Bélgica</v>
      </c>
      <c r="C182" s="303" t="s">
        <v>121</v>
      </c>
      <c r="D182" s="304"/>
      <c r="E182" s="304"/>
      <c r="F182" s="304"/>
      <c r="G182" s="304"/>
      <c r="H182" s="304"/>
      <c r="I182" s="304"/>
      <c r="J182" s="304"/>
      <c r="K182" s="304"/>
      <c r="L182" s="304"/>
      <c r="M182" s="304"/>
      <c r="N182" s="304"/>
    </row>
    <row r="183" spans="1:15" ht="22.5" thickTop="1" thickBot="1" x14ac:dyDescent="0.3">
      <c r="B183" s="111"/>
      <c r="C183" s="305">
        <v>2020</v>
      </c>
      <c r="D183" s="306"/>
      <c r="E183" s="307">
        <v>2021</v>
      </c>
      <c r="F183" s="306"/>
      <c r="G183" s="307">
        <v>2022</v>
      </c>
      <c r="H183" s="306"/>
      <c r="I183" s="307">
        <v>2023</v>
      </c>
      <c r="J183" s="306"/>
      <c r="K183" s="307">
        <v>2024</v>
      </c>
      <c r="L183" s="306"/>
      <c r="M183" s="307">
        <v>2025</v>
      </c>
      <c r="N183" s="308"/>
    </row>
    <row r="184" spans="1:15" ht="16.5" thickTop="1" thickBot="1" x14ac:dyDescent="0.3">
      <c r="B184" s="87"/>
      <c r="C184" s="115" t="s">
        <v>71</v>
      </c>
      <c r="D184" s="116" t="str">
        <f>CONCATENATE("dif ",RIGHT(C183,2),"/",RIGHT(C183-1,2))</f>
        <v>dif 20/19</v>
      </c>
      <c r="E184" s="117" t="s">
        <v>71</v>
      </c>
      <c r="F184" s="116" t="str">
        <f>CONCATENATE("dif ",RIGHT(E183,2),"/",RIGHT(C183,2))</f>
        <v>dif 21/20</v>
      </c>
      <c r="G184" s="117" t="s">
        <v>71</v>
      </c>
      <c r="H184" s="116" t="str">
        <f>CONCATENATE("dif ",RIGHT(G183,2),"/",RIGHT(E183,2))</f>
        <v>dif 22/21</v>
      </c>
      <c r="I184" s="117" t="s">
        <v>71</v>
      </c>
      <c r="J184" s="116" t="str">
        <f>CONCATENATE("dif ",RIGHT(I183,2),"/",RIGHT(G183,2))</f>
        <v>dif 23/22</v>
      </c>
      <c r="K184" s="117" t="s">
        <v>71</v>
      </c>
      <c r="L184" s="116" t="str">
        <f>CONCATENATE("dif ",RIGHT(K183,2),"/",RIGHT(I183,2))</f>
        <v>dif 24/23</v>
      </c>
      <c r="M184" s="117" t="s">
        <v>71</v>
      </c>
      <c r="N184" s="116" t="str">
        <f>CONCATENATE("dif ",RIGHT(M183,2),"/",RIGHT(K183,2))</f>
        <v>dif 25/24</v>
      </c>
    </row>
    <row r="185" spans="1:15" x14ac:dyDescent="0.25">
      <c r="A185" s="124"/>
      <c r="B185" s="118" t="s">
        <v>73</v>
      </c>
      <c r="C185" s="188">
        <v>2.408450704225352</v>
      </c>
      <c r="D185" s="189">
        <v>-0.17263037685572913</v>
      </c>
      <c r="E185" s="188">
        <v>3.375</v>
      </c>
      <c r="F185" s="189">
        <f t="shared" ref="F185:J187" si="32">IFERROR(E185-C185,"-")</f>
        <v>0.96654929577464799</v>
      </c>
      <c r="G185" s="188">
        <v>2.6404494382022472</v>
      </c>
      <c r="H185" s="189">
        <f t="shared" si="32"/>
        <v>-0.7345505617977528</v>
      </c>
      <c r="I185" s="188">
        <v>2.5185185185185186</v>
      </c>
      <c r="J185" s="189">
        <f t="shared" si="32"/>
        <v>-0.1219309196837286</v>
      </c>
      <c r="K185" s="188">
        <v>2.2865497076023393</v>
      </c>
      <c r="L185" s="189">
        <f t="shared" ref="L185:L187" si="33">IFERROR(K185-I185,"-")</f>
        <v>-0.23196881091617927</v>
      </c>
      <c r="M185" s="188">
        <v>2.7923076923076922</v>
      </c>
      <c r="N185" s="189">
        <f t="shared" ref="N185:N190" si="34">IFERROR(M185-K185,"-")</f>
        <v>0.50575798470535283</v>
      </c>
    </row>
    <row r="186" spans="1:15" x14ac:dyDescent="0.25">
      <c r="B186" s="118" t="s">
        <v>75</v>
      </c>
      <c r="C186" s="188">
        <v>2.7586206896551726</v>
      </c>
      <c r="D186" s="189">
        <v>-0.2413793103448274</v>
      </c>
      <c r="E186" s="188">
        <v>4</v>
      </c>
      <c r="F186" s="189">
        <f t="shared" si="32"/>
        <v>1.2413793103448274</v>
      </c>
      <c r="G186" s="188">
        <v>2.925925925925926</v>
      </c>
      <c r="H186" s="189">
        <f t="shared" si="32"/>
        <v>-1.074074074074074</v>
      </c>
      <c r="I186" s="188">
        <v>3</v>
      </c>
      <c r="J186" s="189">
        <f t="shared" si="32"/>
        <v>7.4074074074073959E-2</v>
      </c>
      <c r="K186" s="188">
        <v>3.2736842105263158</v>
      </c>
      <c r="L186" s="189">
        <f t="shared" si="33"/>
        <v>0.27368421052631575</v>
      </c>
      <c r="M186" s="188">
        <v>3.6956521739130435</v>
      </c>
      <c r="N186" s="189">
        <f t="shared" si="34"/>
        <v>0.42196796338672771</v>
      </c>
    </row>
    <row r="187" spans="1:15" x14ac:dyDescent="0.25">
      <c r="B187" s="118" t="s">
        <v>77</v>
      </c>
      <c r="C187" s="188">
        <v>1.34375</v>
      </c>
      <c r="D187" s="189">
        <v>-2.4923155737704916</v>
      </c>
      <c r="E187" s="188">
        <v>4.083333333333333</v>
      </c>
      <c r="F187" s="189">
        <f t="shared" si="32"/>
        <v>2.739583333333333</v>
      </c>
      <c r="G187" s="188">
        <v>3.3624999999999998</v>
      </c>
      <c r="H187" s="189">
        <f t="shared" si="32"/>
        <v>-0.72083333333333321</v>
      </c>
      <c r="I187" s="188">
        <v>4.253521126760563</v>
      </c>
      <c r="J187" s="189">
        <f t="shared" si="32"/>
        <v>0.89102112676056322</v>
      </c>
      <c r="K187" s="188">
        <v>3.043010752688172</v>
      </c>
      <c r="L187" s="189">
        <f t="shared" si="33"/>
        <v>-1.210510374072391</v>
      </c>
      <c r="M187" s="188">
        <v>3</v>
      </c>
      <c r="N187" s="189">
        <f t="shared" si="34"/>
        <v>-4.3010752688172005E-2</v>
      </c>
    </row>
    <row r="188" spans="1:15" x14ac:dyDescent="0.25">
      <c r="B188" s="118" t="s">
        <v>79</v>
      </c>
      <c r="C188" s="188" t="s">
        <v>229</v>
      </c>
      <c r="D188" s="189" t="s">
        <v>229</v>
      </c>
      <c r="E188" s="188">
        <v>2.0857142857142859</v>
      </c>
      <c r="F188" s="189" t="str">
        <f>IFERROR(E188-C188,"-")</f>
        <v>-</v>
      </c>
      <c r="G188" s="188">
        <v>2.6166666666666667</v>
      </c>
      <c r="H188" s="189">
        <f>IFERROR(G188-E188,"-")</f>
        <v>0.53095238095238084</v>
      </c>
      <c r="I188" s="188">
        <v>2.5909090909090908</v>
      </c>
      <c r="J188" s="189">
        <f>IFERROR(I188-G188,"-")</f>
        <v>-2.5757575757575868E-2</v>
      </c>
      <c r="K188" s="188">
        <v>2.6896551724137931</v>
      </c>
      <c r="L188" s="189">
        <f>IFERROR(K188-I188,"-")</f>
        <v>9.8746081504702321E-2</v>
      </c>
      <c r="M188" s="188">
        <v>3.3297872340425534</v>
      </c>
      <c r="N188" s="189">
        <f t="shared" si="34"/>
        <v>0.64013206162876024</v>
      </c>
    </row>
    <row r="189" spans="1:15" x14ac:dyDescent="0.25">
      <c r="B189" s="118" t="s">
        <v>81</v>
      </c>
      <c r="C189" s="188" t="s">
        <v>229</v>
      </c>
      <c r="D189" s="189" t="s">
        <v>229</v>
      </c>
      <c r="E189" s="188">
        <v>1.5454545454545454</v>
      </c>
      <c r="F189" s="189" t="str">
        <f t="shared" ref="F189:J197" si="35">IFERROR(E189-C189,"-")</f>
        <v>-</v>
      </c>
      <c r="G189" s="188">
        <v>3.25</v>
      </c>
      <c r="H189" s="189">
        <f t="shared" si="35"/>
        <v>1.7045454545454546</v>
      </c>
      <c r="I189" s="188">
        <v>2.59375</v>
      </c>
      <c r="J189" s="189">
        <f t="shared" si="35"/>
        <v>-0.65625</v>
      </c>
      <c r="K189" s="188">
        <v>1.346938775510204</v>
      </c>
      <c r="L189" s="189">
        <f t="shared" ref="L189:L197" si="36">IFERROR(K189-I189,"-")</f>
        <v>-1.246811224489796</v>
      </c>
      <c r="M189" s="188">
        <v>4</v>
      </c>
      <c r="N189" s="189">
        <f t="shared" si="34"/>
        <v>2.6530612244897958</v>
      </c>
    </row>
    <row r="190" spans="1:15" x14ac:dyDescent="0.25">
      <c r="B190" s="118" t="s">
        <v>122</v>
      </c>
      <c r="C190" s="188" t="s">
        <v>229</v>
      </c>
      <c r="D190" s="189" t="s">
        <v>229</v>
      </c>
      <c r="E190" s="188">
        <v>3.36</v>
      </c>
      <c r="F190" s="189" t="str">
        <f t="shared" si="35"/>
        <v>-</v>
      </c>
      <c r="G190" s="188">
        <v>2.2580645161290325</v>
      </c>
      <c r="H190" s="189">
        <f t="shared" si="35"/>
        <v>-1.1019354838709674</v>
      </c>
      <c r="I190" s="188">
        <v>2.28125</v>
      </c>
      <c r="J190" s="189">
        <f t="shared" si="35"/>
        <v>2.3185483870967527E-2</v>
      </c>
      <c r="K190" s="188">
        <v>2.8947368421052633</v>
      </c>
      <c r="L190" s="189">
        <f t="shared" si="36"/>
        <v>0.61348684210526327</v>
      </c>
      <c r="M190" s="188">
        <v>5.833333333333333</v>
      </c>
      <c r="N190" s="189">
        <f t="shared" si="34"/>
        <v>2.9385964912280698</v>
      </c>
    </row>
    <row r="191" spans="1:15" x14ac:dyDescent="0.25">
      <c r="B191" s="118" t="s">
        <v>85</v>
      </c>
      <c r="C191" s="188" t="s">
        <v>229</v>
      </c>
      <c r="D191" s="189" t="s">
        <v>229</v>
      </c>
      <c r="E191" s="188">
        <v>2.5116279069767442</v>
      </c>
      <c r="F191" s="189" t="str">
        <f t="shared" si="35"/>
        <v>-</v>
      </c>
      <c r="G191" s="188">
        <v>3.4262295081967213</v>
      </c>
      <c r="H191" s="189">
        <f t="shared" si="35"/>
        <v>0.91460160121997713</v>
      </c>
      <c r="I191" s="188">
        <v>2.5813953488372094</v>
      </c>
      <c r="J191" s="189">
        <f t="shared" si="35"/>
        <v>-0.84483415935951189</v>
      </c>
      <c r="K191" s="188">
        <v>2.36</v>
      </c>
      <c r="L191" s="189">
        <f t="shared" si="36"/>
        <v>-0.22139534883720957</v>
      </c>
      <c r="M191" s="188"/>
      <c r="N191" s="189"/>
    </row>
    <row r="192" spans="1:15" x14ac:dyDescent="0.25">
      <c r="B192" s="118" t="s">
        <v>87</v>
      </c>
      <c r="C192" s="188">
        <v>2.6666666666666665</v>
      </c>
      <c r="D192" s="189">
        <v>0.8484848484848484</v>
      </c>
      <c r="E192" s="188">
        <v>1.7179487179487178</v>
      </c>
      <c r="F192" s="189">
        <f t="shared" si="35"/>
        <v>-0.94871794871794868</v>
      </c>
      <c r="G192" s="188">
        <v>2.406779661016949</v>
      </c>
      <c r="H192" s="189">
        <f t="shared" si="35"/>
        <v>0.68883094306823112</v>
      </c>
      <c r="I192" s="188">
        <v>2.3877551020408165</v>
      </c>
      <c r="J192" s="189">
        <f t="shared" si="35"/>
        <v>-1.9024558976132422E-2</v>
      </c>
      <c r="K192" s="188">
        <v>2.3050847457627119</v>
      </c>
      <c r="L192" s="189">
        <f t="shared" si="36"/>
        <v>-8.2670356278104595E-2</v>
      </c>
      <c r="M192" s="188"/>
      <c r="N192" s="189"/>
    </row>
    <row r="193" spans="2:15" x14ac:dyDescent="0.25">
      <c r="B193" s="118" t="s">
        <v>89</v>
      </c>
      <c r="C193" s="188">
        <v>2.15</v>
      </c>
      <c r="D193" s="189">
        <v>0.64999999999999991</v>
      </c>
      <c r="E193" s="188">
        <v>2</v>
      </c>
      <c r="F193" s="189">
        <f t="shared" si="35"/>
        <v>-0.14999999999999991</v>
      </c>
      <c r="G193" s="188">
        <v>3.9</v>
      </c>
      <c r="H193" s="189">
        <f t="shared" si="35"/>
        <v>1.9</v>
      </c>
      <c r="I193" s="188">
        <v>2.9268292682926829</v>
      </c>
      <c r="J193" s="189">
        <f t="shared" si="35"/>
        <v>-0.97317073170731705</v>
      </c>
      <c r="K193" s="188">
        <v>3.8536585365853657</v>
      </c>
      <c r="L193" s="189">
        <f t="shared" si="36"/>
        <v>0.92682926829268286</v>
      </c>
      <c r="M193" s="188"/>
      <c r="N193" s="189"/>
    </row>
    <row r="194" spans="2:15" x14ac:dyDescent="0.25">
      <c r="B194" s="118" t="s">
        <v>91</v>
      </c>
      <c r="C194" s="188">
        <v>1.8974358974358974</v>
      </c>
      <c r="D194" s="189">
        <v>-0.1766381766381766</v>
      </c>
      <c r="E194" s="188">
        <v>2.7580645161290325</v>
      </c>
      <c r="F194" s="189">
        <f t="shared" si="35"/>
        <v>0.86062861869313512</v>
      </c>
      <c r="G194" s="188">
        <v>2.2432432432432434</v>
      </c>
      <c r="H194" s="189">
        <f t="shared" si="35"/>
        <v>-0.51482127288578905</v>
      </c>
      <c r="I194" s="188">
        <v>2.9</v>
      </c>
      <c r="J194" s="189">
        <f t="shared" si="35"/>
        <v>0.65675675675675649</v>
      </c>
      <c r="K194" s="188">
        <v>2.736842105263158</v>
      </c>
      <c r="L194" s="189">
        <f t="shared" si="36"/>
        <v>-0.16315789473684195</v>
      </c>
      <c r="M194" s="188"/>
      <c r="N194" s="189"/>
    </row>
    <row r="195" spans="2:15" x14ac:dyDescent="0.25">
      <c r="B195" s="118" t="s">
        <v>93</v>
      </c>
      <c r="C195" s="188">
        <v>2.4509803921568629</v>
      </c>
      <c r="D195" s="189">
        <v>0.91933482253660981</v>
      </c>
      <c r="E195" s="188">
        <v>3.0673076923076925</v>
      </c>
      <c r="F195" s="189">
        <f t="shared" si="35"/>
        <v>0.61632730015082959</v>
      </c>
      <c r="G195" s="188">
        <v>2.2428571428571429</v>
      </c>
      <c r="H195" s="189">
        <f t="shared" si="35"/>
        <v>-0.82445054945054963</v>
      </c>
      <c r="I195" s="188">
        <v>2.961904761904762</v>
      </c>
      <c r="J195" s="189">
        <f t="shared" si="35"/>
        <v>0.71904761904761916</v>
      </c>
      <c r="K195" s="188">
        <v>2.515625</v>
      </c>
      <c r="L195" s="189">
        <f t="shared" si="36"/>
        <v>-0.44627976190476204</v>
      </c>
      <c r="M195" s="188"/>
      <c r="N195" s="189"/>
    </row>
    <row r="196" spans="2:15" x14ac:dyDescent="0.25">
      <c r="B196" s="118" t="s">
        <v>95</v>
      </c>
      <c r="C196" s="188">
        <v>1.8</v>
      </c>
      <c r="D196" s="189">
        <v>-1.05</v>
      </c>
      <c r="E196" s="188">
        <v>2.4202898550724639</v>
      </c>
      <c r="F196" s="189">
        <f t="shared" si="35"/>
        <v>0.62028985507246381</v>
      </c>
      <c r="G196" s="188">
        <v>2.1538461538461537</v>
      </c>
      <c r="H196" s="189">
        <f t="shared" si="35"/>
        <v>-0.26644370122631011</v>
      </c>
      <c r="I196" s="188">
        <v>2.0506329113924049</v>
      </c>
      <c r="J196" s="189">
        <f t="shared" si="35"/>
        <v>-0.10321324245374885</v>
      </c>
      <c r="K196" s="188">
        <v>2.4335664335664338</v>
      </c>
      <c r="L196" s="189">
        <f t="shared" si="36"/>
        <v>0.38293352217402887</v>
      </c>
      <c r="M196" s="188"/>
      <c r="N196" s="189"/>
    </row>
    <row r="197" spans="2:15" ht="15.75" x14ac:dyDescent="0.25">
      <c r="B197" s="121" t="s">
        <v>32</v>
      </c>
      <c r="C197" s="190">
        <v>2.2450142450142452</v>
      </c>
      <c r="D197" s="191">
        <v>-0.25594914612255648</v>
      </c>
      <c r="E197" s="190">
        <v>2.5936883629191323</v>
      </c>
      <c r="F197" s="191">
        <f t="shared" si="35"/>
        <v>0.34867411790488712</v>
      </c>
      <c r="G197" s="190">
        <v>2.774193548387097</v>
      </c>
      <c r="H197" s="191">
        <f t="shared" si="35"/>
        <v>0.18050518546796468</v>
      </c>
      <c r="I197" s="190">
        <v>2.7876923076923079</v>
      </c>
      <c r="J197" s="191">
        <f t="shared" si="35"/>
        <v>1.3498759305210939E-2</v>
      </c>
      <c r="K197" s="190">
        <v>2.6112956810631229</v>
      </c>
      <c r="L197" s="191">
        <f t="shared" si="36"/>
        <v>-0.17639662662918498</v>
      </c>
      <c r="M197" s="190">
        <v>3.3243801652892562</v>
      </c>
      <c r="N197" s="191">
        <v>0.71737627423867245</v>
      </c>
    </row>
    <row r="198" spans="2:15" ht="6" customHeight="1" x14ac:dyDescent="0.25"/>
    <row r="199" spans="2:15" x14ac:dyDescent="0.25">
      <c r="B199" s="107" t="s">
        <v>57</v>
      </c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5" x14ac:dyDescent="0.25">
      <c r="K200" s="124"/>
    </row>
    <row r="201" spans="2:15" x14ac:dyDescent="0.25"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2:15" ht="48.75" customHeight="1" thickBot="1" x14ac:dyDescent="0.3">
      <c r="B202" s="278" t="s">
        <v>295</v>
      </c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1" t="s">
        <v>123</v>
      </c>
    </row>
    <row r="203" spans="2:15" ht="10.5" customHeight="1" thickBot="1" x14ac:dyDescent="0.3">
      <c r="B203" s="108"/>
      <c r="C203" s="109"/>
      <c r="D203" s="108"/>
      <c r="E203" s="108"/>
      <c r="F203" s="108"/>
      <c r="G203" s="108"/>
      <c r="H203" s="108"/>
      <c r="I203" s="108"/>
      <c r="J203" s="108"/>
      <c r="K203" s="108"/>
      <c r="L203" s="108"/>
      <c r="M203" s="4"/>
      <c r="N203" s="4"/>
      <c r="O203" s="1" t="s">
        <v>124</v>
      </c>
    </row>
    <row r="204" spans="2:15" ht="22.5" thickTop="1" thickBot="1" x14ac:dyDescent="0.3">
      <c r="B204" s="125" t="str">
        <f>C204</f>
        <v>Países Bajos</v>
      </c>
      <c r="C204" s="303" t="s">
        <v>125</v>
      </c>
      <c r="D204" s="304"/>
      <c r="E204" s="304"/>
      <c r="F204" s="304"/>
      <c r="G204" s="304"/>
      <c r="H204" s="304"/>
      <c r="I204" s="304"/>
      <c r="J204" s="304"/>
      <c r="K204" s="304"/>
      <c r="L204" s="304"/>
      <c r="M204" s="304"/>
      <c r="N204" s="304"/>
    </row>
    <row r="205" spans="2:15" ht="22.5" thickTop="1" thickBot="1" x14ac:dyDescent="0.3">
      <c r="B205" s="111"/>
      <c r="C205" s="305">
        <v>2020</v>
      </c>
      <c r="D205" s="306"/>
      <c r="E205" s="307">
        <v>2021</v>
      </c>
      <c r="F205" s="306"/>
      <c r="G205" s="307">
        <v>2022</v>
      </c>
      <c r="H205" s="306"/>
      <c r="I205" s="307">
        <v>2023</v>
      </c>
      <c r="J205" s="306"/>
      <c r="K205" s="307">
        <v>2024</v>
      </c>
      <c r="L205" s="306"/>
      <c r="M205" s="307">
        <v>2025</v>
      </c>
      <c r="N205" s="308"/>
    </row>
    <row r="206" spans="2:15" ht="16.5" thickTop="1" thickBot="1" x14ac:dyDescent="0.3">
      <c r="B206" s="87"/>
      <c r="C206" s="115" t="s">
        <v>71</v>
      </c>
      <c r="D206" s="116" t="str">
        <f>CONCATENATE("dif ",RIGHT(C205,2),"/",RIGHT(C205-1,2))</f>
        <v>dif 20/19</v>
      </c>
      <c r="E206" s="117" t="s">
        <v>71</v>
      </c>
      <c r="F206" s="116" t="str">
        <f>CONCATENATE("dif ",RIGHT(E205,2),"/",RIGHT(C205,2))</f>
        <v>dif 21/20</v>
      </c>
      <c r="G206" s="117" t="s">
        <v>71</v>
      </c>
      <c r="H206" s="116" t="str">
        <f>CONCATENATE("dif ",RIGHT(G205,2),"/",RIGHT(E205,2))</f>
        <v>dif 22/21</v>
      </c>
      <c r="I206" s="117" t="s">
        <v>71</v>
      </c>
      <c r="J206" s="116" t="str">
        <f>CONCATENATE("dif ",RIGHT(I205,2),"/",RIGHT(G205,2))</f>
        <v>dif 23/22</v>
      </c>
      <c r="K206" s="117" t="s">
        <v>71</v>
      </c>
      <c r="L206" s="116" t="str">
        <f>CONCATENATE("dif ",RIGHT(K205,2),"/",RIGHT(I205,2))</f>
        <v>dif 24/23</v>
      </c>
      <c r="M206" s="117" t="s">
        <v>71</v>
      </c>
      <c r="N206" s="116" t="str">
        <f>CONCATENATE("dif ",RIGHT(M205,2),"/",RIGHT(K205,2))</f>
        <v>dif 25/24</v>
      </c>
    </row>
    <row r="207" spans="2:15" x14ac:dyDescent="0.25">
      <c r="B207" s="118" t="s">
        <v>73</v>
      </c>
      <c r="C207" s="188">
        <v>2.3258426966292136</v>
      </c>
      <c r="D207" s="189">
        <v>-1.0866573033707865</v>
      </c>
      <c r="E207" s="188">
        <v>1.6</v>
      </c>
      <c r="F207" s="189">
        <f t="shared" ref="F207:J209" si="37">IFERROR(E207-C207,"-")</f>
        <v>-0.72584269662921352</v>
      </c>
      <c r="G207" s="188">
        <v>3.8759689922480618</v>
      </c>
      <c r="H207" s="189">
        <f t="shared" si="37"/>
        <v>2.2759689922480617</v>
      </c>
      <c r="I207" s="188">
        <v>4.2846715328467155</v>
      </c>
      <c r="J207" s="189">
        <f t="shared" si="37"/>
        <v>0.40870254059865374</v>
      </c>
      <c r="K207" s="188">
        <v>4.0129870129870131</v>
      </c>
      <c r="L207" s="189">
        <f t="shared" ref="L207:L209" si="38">IFERROR(K207-I207,"-")</f>
        <v>-0.27168451985970243</v>
      </c>
      <c r="M207" s="188">
        <v>2.6703296703296702</v>
      </c>
      <c r="N207" s="189">
        <f t="shared" ref="N207:N212" si="39">IFERROR(M207-K207,"-")</f>
        <v>-1.3426573426573429</v>
      </c>
    </row>
    <row r="208" spans="2:15" x14ac:dyDescent="0.25">
      <c r="B208" s="118" t="s">
        <v>75</v>
      </c>
      <c r="C208" s="188">
        <v>3.5098039215686274</v>
      </c>
      <c r="D208" s="189">
        <v>-0.88602941176470562</v>
      </c>
      <c r="E208" s="188">
        <v>1.7</v>
      </c>
      <c r="F208" s="189">
        <f t="shared" si="37"/>
        <v>-1.8098039215686275</v>
      </c>
      <c r="G208" s="188">
        <v>3.2136752136752138</v>
      </c>
      <c r="H208" s="189">
        <f t="shared" si="37"/>
        <v>1.5136752136752138</v>
      </c>
      <c r="I208" s="188">
        <v>4.5227272727272725</v>
      </c>
      <c r="J208" s="189">
        <f t="shared" si="37"/>
        <v>1.3090520590520587</v>
      </c>
      <c r="K208" s="188">
        <v>3.5890410958904111</v>
      </c>
      <c r="L208" s="189">
        <f t="shared" si="38"/>
        <v>-0.93368617683686139</v>
      </c>
      <c r="M208" s="188">
        <v>3</v>
      </c>
      <c r="N208" s="189">
        <f t="shared" si="39"/>
        <v>-0.58904109589041109</v>
      </c>
    </row>
    <row r="209" spans="2:15" x14ac:dyDescent="0.25">
      <c r="B209" s="118" t="s">
        <v>77</v>
      </c>
      <c r="C209" s="188">
        <v>4.1304347826086953</v>
      </c>
      <c r="D209" s="189">
        <v>1.4637681159420288</v>
      </c>
      <c r="E209" s="188">
        <v>2.2272727272727271</v>
      </c>
      <c r="F209" s="189">
        <f t="shared" si="37"/>
        <v>-1.9031620553359683</v>
      </c>
      <c r="G209" s="188">
        <v>2.9935897435897436</v>
      </c>
      <c r="H209" s="189">
        <f t="shared" si="37"/>
        <v>0.76631701631701654</v>
      </c>
      <c r="I209" s="188">
        <v>3.8451612903225807</v>
      </c>
      <c r="J209" s="189">
        <f t="shared" si="37"/>
        <v>0.85157154673283708</v>
      </c>
      <c r="K209" s="188">
        <v>3.3227848101265822</v>
      </c>
      <c r="L209" s="189">
        <f t="shared" si="38"/>
        <v>-0.52237648019599847</v>
      </c>
      <c r="M209" s="188">
        <v>3.0183486238532109</v>
      </c>
      <c r="N209" s="189">
        <f t="shared" si="39"/>
        <v>-0.30443618627337132</v>
      </c>
    </row>
    <row r="210" spans="2:15" x14ac:dyDescent="0.25">
      <c r="B210" s="118" t="s">
        <v>79</v>
      </c>
      <c r="C210" s="188" t="s">
        <v>229</v>
      </c>
      <c r="D210" s="189" t="s">
        <v>229</v>
      </c>
      <c r="E210" s="188">
        <v>3.75</v>
      </c>
      <c r="F210" s="189" t="str">
        <f>IFERROR(E210-C210,"-")</f>
        <v>-</v>
      </c>
      <c r="G210" s="188">
        <v>3.8653846153846154</v>
      </c>
      <c r="H210" s="189">
        <f>IFERROR(G210-E210,"-")</f>
        <v>0.11538461538461542</v>
      </c>
      <c r="I210" s="188">
        <v>2.9874999999999998</v>
      </c>
      <c r="J210" s="189">
        <f>IFERROR(I210-G210,"-")</f>
        <v>-0.8778846153846156</v>
      </c>
      <c r="K210" s="188">
        <v>7.709677419354839</v>
      </c>
      <c r="L210" s="189">
        <f>IFERROR(K210-I210,"-")</f>
        <v>4.7221774193548391</v>
      </c>
      <c r="M210" s="188">
        <v>2.9375</v>
      </c>
      <c r="N210" s="189">
        <f t="shared" si="39"/>
        <v>-4.772177419354839</v>
      </c>
    </row>
    <row r="211" spans="2:15" x14ac:dyDescent="0.25">
      <c r="B211" s="118" t="s">
        <v>81</v>
      </c>
      <c r="C211" s="188" t="s">
        <v>229</v>
      </c>
      <c r="D211" s="189" t="s">
        <v>229</v>
      </c>
      <c r="E211" s="188">
        <v>3.1666666666666665</v>
      </c>
      <c r="F211" s="189" t="str">
        <f t="shared" ref="F211:J219" si="40">IFERROR(E211-C211,"-")</f>
        <v>-</v>
      </c>
      <c r="G211" s="188">
        <v>4.5925925925925926</v>
      </c>
      <c r="H211" s="189">
        <f t="shared" si="40"/>
        <v>1.425925925925926</v>
      </c>
      <c r="I211" s="188">
        <v>4.8780487804878048</v>
      </c>
      <c r="J211" s="189">
        <f t="shared" si="40"/>
        <v>0.28545618789521221</v>
      </c>
      <c r="K211" s="188">
        <v>5.4523809523809526</v>
      </c>
      <c r="L211" s="189">
        <f t="shared" ref="L211:L219" si="41">IFERROR(K211-I211,"-")</f>
        <v>0.57433217189314778</v>
      </c>
      <c r="M211" s="188">
        <v>3.9142857142857141</v>
      </c>
      <c r="N211" s="189">
        <f t="shared" si="39"/>
        <v>-1.5380952380952384</v>
      </c>
    </row>
    <row r="212" spans="2:15" x14ac:dyDescent="0.25">
      <c r="B212" s="118" t="s">
        <v>83</v>
      </c>
      <c r="C212" s="188" t="s">
        <v>229</v>
      </c>
      <c r="D212" s="189" t="s">
        <v>229</v>
      </c>
      <c r="E212" s="188">
        <v>3.0588235294117645</v>
      </c>
      <c r="F212" s="189" t="str">
        <f t="shared" si="40"/>
        <v>-</v>
      </c>
      <c r="G212" s="188">
        <v>5.2705882352941176</v>
      </c>
      <c r="H212" s="189">
        <f t="shared" si="40"/>
        <v>2.2117647058823531</v>
      </c>
      <c r="I212" s="188">
        <v>4.2333333333333334</v>
      </c>
      <c r="J212" s="189">
        <f t="shared" si="40"/>
        <v>-1.0372549019607842</v>
      </c>
      <c r="K212" s="188">
        <v>8.7222222222222214</v>
      </c>
      <c r="L212" s="189">
        <f t="shared" si="41"/>
        <v>4.488888888888888</v>
      </c>
      <c r="M212" s="188">
        <v>4.6969696969696972</v>
      </c>
      <c r="N212" s="189">
        <f t="shared" si="39"/>
        <v>-4.0252525252525242</v>
      </c>
    </row>
    <row r="213" spans="2:15" x14ac:dyDescent="0.25">
      <c r="B213" s="118" t="s">
        <v>85</v>
      </c>
      <c r="C213" s="188" t="s">
        <v>229</v>
      </c>
      <c r="D213" s="189" t="s">
        <v>229</v>
      </c>
      <c r="E213" s="188">
        <v>2.4666666666666668</v>
      </c>
      <c r="F213" s="189" t="str">
        <f t="shared" si="40"/>
        <v>-</v>
      </c>
      <c r="G213" s="188">
        <v>3.6904761904761907</v>
      </c>
      <c r="H213" s="189">
        <f t="shared" si="40"/>
        <v>1.2238095238095239</v>
      </c>
      <c r="I213" s="188">
        <v>4.6315789473684212</v>
      </c>
      <c r="J213" s="189">
        <f t="shared" si="40"/>
        <v>0.94110275689223055</v>
      </c>
      <c r="K213" s="188">
        <v>4.6206896551724137</v>
      </c>
      <c r="L213" s="189">
        <f t="shared" si="41"/>
        <v>-1.0889292196007538E-2</v>
      </c>
      <c r="M213" s="188"/>
      <c r="N213" s="189"/>
    </row>
    <row r="214" spans="2:15" x14ac:dyDescent="0.25">
      <c r="B214" s="118" t="s">
        <v>87</v>
      </c>
      <c r="C214" s="188">
        <v>2.1111111111111112</v>
      </c>
      <c r="D214" s="189">
        <v>-5.5467836257309937</v>
      </c>
      <c r="E214" s="188">
        <v>3.1666666666666665</v>
      </c>
      <c r="F214" s="189">
        <f t="shared" si="40"/>
        <v>1.0555555555555554</v>
      </c>
      <c r="G214" s="188">
        <v>3.6132075471698113</v>
      </c>
      <c r="H214" s="189">
        <f t="shared" si="40"/>
        <v>0.44654088050314478</v>
      </c>
      <c r="I214" s="188">
        <v>3.3260869565217392</v>
      </c>
      <c r="J214" s="189">
        <f t="shared" si="40"/>
        <v>-0.28712059064807205</v>
      </c>
      <c r="K214" s="188">
        <v>5.0930232558139537</v>
      </c>
      <c r="L214" s="189">
        <f t="shared" si="41"/>
        <v>1.7669362992922144</v>
      </c>
      <c r="M214" s="188"/>
      <c r="N214" s="189"/>
    </row>
    <row r="215" spans="2:15" x14ac:dyDescent="0.25">
      <c r="B215" s="118" t="s">
        <v>89</v>
      </c>
      <c r="C215" s="188">
        <v>1</v>
      </c>
      <c r="D215" s="189">
        <v>-3</v>
      </c>
      <c r="E215" s="188">
        <v>6.2307692307692308</v>
      </c>
      <c r="F215" s="189">
        <f t="shared" si="40"/>
        <v>5.2307692307692308</v>
      </c>
      <c r="G215" s="188">
        <v>5.0454545454545459</v>
      </c>
      <c r="H215" s="189">
        <f t="shared" si="40"/>
        <v>-1.185314685314685</v>
      </c>
      <c r="I215" s="188">
        <v>6.258064516129032</v>
      </c>
      <c r="J215" s="189">
        <f t="shared" si="40"/>
        <v>1.2126099706744862</v>
      </c>
      <c r="K215" s="188">
        <v>3.903225806451613</v>
      </c>
      <c r="L215" s="189">
        <f t="shared" si="41"/>
        <v>-2.354838709677419</v>
      </c>
      <c r="M215" s="188"/>
      <c r="N215" s="189"/>
    </row>
    <row r="216" spans="2:15" x14ac:dyDescent="0.25">
      <c r="B216" s="118" t="s">
        <v>91</v>
      </c>
      <c r="C216" s="188">
        <v>1.25</v>
      </c>
      <c r="D216" s="189">
        <v>-2.1725352112676055</v>
      </c>
      <c r="E216" s="188">
        <v>2.9565217391304346</v>
      </c>
      <c r="F216" s="189">
        <f t="shared" si="40"/>
        <v>1.7065217391304346</v>
      </c>
      <c r="G216" s="188">
        <v>6.3611111111111107</v>
      </c>
      <c r="H216" s="189">
        <f t="shared" si="40"/>
        <v>3.4045893719806761</v>
      </c>
      <c r="I216" s="188">
        <v>4.092307692307692</v>
      </c>
      <c r="J216" s="189">
        <f t="shared" si="40"/>
        <v>-2.2688034188034187</v>
      </c>
      <c r="K216" s="188">
        <v>1.9620253164556962</v>
      </c>
      <c r="L216" s="189">
        <f t="shared" si="41"/>
        <v>-2.130282375851996</v>
      </c>
      <c r="M216" s="188"/>
      <c r="N216" s="189"/>
    </row>
    <row r="217" spans="2:15" x14ac:dyDescent="0.25">
      <c r="B217" s="118" t="s">
        <v>93</v>
      </c>
      <c r="C217" s="188">
        <v>1.3333333333333333</v>
      </c>
      <c r="D217" s="189">
        <v>-0.74213836477987427</v>
      </c>
      <c r="E217" s="188">
        <v>2.7094017094017095</v>
      </c>
      <c r="F217" s="189">
        <f t="shared" si="40"/>
        <v>1.3760683760683763</v>
      </c>
      <c r="G217" s="188">
        <v>7.666666666666667</v>
      </c>
      <c r="H217" s="189">
        <f t="shared" si="40"/>
        <v>4.9572649572649574</v>
      </c>
      <c r="I217" s="188">
        <v>2.8245614035087718</v>
      </c>
      <c r="J217" s="189">
        <f t="shared" si="40"/>
        <v>-4.8421052631578956</v>
      </c>
      <c r="K217" s="188">
        <v>3.4358974358974357</v>
      </c>
      <c r="L217" s="189">
        <f t="shared" si="41"/>
        <v>0.61133603238866385</v>
      </c>
      <c r="M217" s="188"/>
      <c r="N217" s="189"/>
    </row>
    <row r="218" spans="2:15" x14ac:dyDescent="0.25">
      <c r="B218" s="118" t="s">
        <v>95</v>
      </c>
      <c r="C218" s="188">
        <v>1</v>
      </c>
      <c r="D218" s="189">
        <v>-1.4624999999999999</v>
      </c>
      <c r="E218" s="188">
        <v>3.2523364485981308</v>
      </c>
      <c r="F218" s="189">
        <f t="shared" si="40"/>
        <v>2.2523364485981308</v>
      </c>
      <c r="G218" s="188">
        <v>3.0909090909090908</v>
      </c>
      <c r="H218" s="189">
        <f t="shared" si="40"/>
        <v>-0.16142735768903993</v>
      </c>
      <c r="I218" s="188">
        <v>3.2300884955752212</v>
      </c>
      <c r="J218" s="189">
        <f t="shared" si="40"/>
        <v>0.13917940466613032</v>
      </c>
      <c r="K218" s="188">
        <v>2.8666666666666667</v>
      </c>
      <c r="L218" s="189">
        <f t="shared" si="41"/>
        <v>-0.36342182890855446</v>
      </c>
      <c r="M218" s="188"/>
      <c r="N218" s="189"/>
    </row>
    <row r="219" spans="2:15" ht="15.75" x14ac:dyDescent="0.25">
      <c r="B219" s="121" t="s">
        <v>32</v>
      </c>
      <c r="C219" s="190">
        <v>2.9102167182662537</v>
      </c>
      <c r="D219" s="191">
        <v>-0.50895352493832435</v>
      </c>
      <c r="E219" s="190">
        <v>3.2060185185185186</v>
      </c>
      <c r="F219" s="191">
        <f t="shared" si="40"/>
        <v>0.29580180025226488</v>
      </c>
      <c r="G219" s="190">
        <v>4.25</v>
      </c>
      <c r="H219" s="191">
        <f t="shared" si="40"/>
        <v>1.0439814814814814</v>
      </c>
      <c r="I219" s="190">
        <v>3.8624733475479744</v>
      </c>
      <c r="J219" s="191">
        <f t="shared" si="40"/>
        <v>-0.38752665245202556</v>
      </c>
      <c r="K219" s="190">
        <v>4.072883172561629</v>
      </c>
      <c r="L219" s="191">
        <f t="shared" si="41"/>
        <v>0.21040982501365457</v>
      </c>
      <c r="M219" s="190">
        <v>3.1024305555555554</v>
      </c>
      <c r="N219" s="191">
        <v>-1.3925527220364176</v>
      </c>
    </row>
    <row r="220" spans="2:15" ht="6" customHeight="1" x14ac:dyDescent="0.25"/>
    <row r="221" spans="2:15" x14ac:dyDescent="0.25">
      <c r="B221" s="107" t="s">
        <v>57</v>
      </c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5" x14ac:dyDescent="0.25">
      <c r="K222" s="124"/>
      <c r="M222" s="126"/>
    </row>
    <row r="224" spans="2:15" ht="48.75" customHeight="1" thickBot="1" x14ac:dyDescent="0.3">
      <c r="B224" s="278" t="s">
        <v>294</v>
      </c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1" t="s">
        <v>126</v>
      </c>
    </row>
    <row r="225" spans="2:15" ht="10.5" customHeight="1" thickBot="1" x14ac:dyDescent="0.3">
      <c r="B225" s="108"/>
      <c r="C225" s="109"/>
      <c r="D225" s="108"/>
      <c r="E225" s="108"/>
      <c r="F225" s="108"/>
      <c r="G225" s="108"/>
      <c r="H225" s="108"/>
      <c r="I225" s="108"/>
      <c r="J225" s="108"/>
      <c r="K225" s="108"/>
      <c r="L225" s="108"/>
      <c r="M225" s="4"/>
      <c r="N225" s="4"/>
      <c r="O225" s="1" t="s">
        <v>127</v>
      </c>
    </row>
    <row r="226" spans="2:15" ht="22.5" thickTop="1" thickBot="1" x14ac:dyDescent="0.3">
      <c r="B226" s="125" t="str">
        <f>C226</f>
        <v>Bélgica</v>
      </c>
      <c r="C226" s="303" t="s">
        <v>121</v>
      </c>
      <c r="D226" s="304"/>
      <c r="E226" s="304"/>
      <c r="F226" s="304"/>
      <c r="G226" s="304"/>
      <c r="H226" s="304"/>
      <c r="I226" s="304"/>
      <c r="J226" s="304"/>
      <c r="K226" s="304"/>
      <c r="L226" s="304"/>
      <c r="M226" s="304"/>
      <c r="N226" s="304"/>
    </row>
    <row r="227" spans="2:15" ht="22.5" thickTop="1" thickBot="1" x14ac:dyDescent="0.3">
      <c r="B227" s="111"/>
      <c r="C227" s="305">
        <v>2020</v>
      </c>
      <c r="D227" s="306"/>
      <c r="E227" s="307">
        <v>2021</v>
      </c>
      <c r="F227" s="306"/>
      <c r="G227" s="307">
        <v>2022</v>
      </c>
      <c r="H227" s="306"/>
      <c r="I227" s="307">
        <v>2023</v>
      </c>
      <c r="J227" s="306"/>
      <c r="K227" s="307">
        <v>2024</v>
      </c>
      <c r="L227" s="306"/>
      <c r="M227" s="307">
        <v>2025</v>
      </c>
      <c r="N227" s="308"/>
    </row>
    <row r="228" spans="2:15" ht="16.5" thickTop="1" thickBot="1" x14ac:dyDescent="0.3">
      <c r="B228" s="87"/>
      <c r="C228" s="115" t="s">
        <v>71</v>
      </c>
      <c r="D228" s="116" t="str">
        <f>CONCATENATE("dif ",RIGHT(C227,2),"/",RIGHT(C227-1,2))</f>
        <v>dif 20/19</v>
      </c>
      <c r="E228" s="117" t="s">
        <v>71</v>
      </c>
      <c r="F228" s="116" t="str">
        <f>CONCATENATE("dif ",RIGHT(E227,2),"/",RIGHT(C227,2))</f>
        <v>dif 21/20</v>
      </c>
      <c r="G228" s="117" t="s">
        <v>71</v>
      </c>
      <c r="H228" s="116" t="str">
        <f>CONCATENATE("dif ",RIGHT(G227,2),"/",RIGHT(E227,2))</f>
        <v>dif 22/21</v>
      </c>
      <c r="I228" s="117" t="s">
        <v>71</v>
      </c>
      <c r="J228" s="116" t="str">
        <f>CONCATENATE("dif ",RIGHT(I227,2),"/",RIGHT(G227,2))</f>
        <v>dif 23/22</v>
      </c>
      <c r="K228" s="117" t="s">
        <v>71</v>
      </c>
      <c r="L228" s="116" t="str">
        <f>CONCATENATE("dif ",RIGHT(K227,2),"/",RIGHT(I227,2))</f>
        <v>dif 24/23</v>
      </c>
      <c r="M228" s="117" t="s">
        <v>71</v>
      </c>
      <c r="N228" s="116" t="str">
        <f>CONCATENATE("dif ",RIGHT(M227,2),"/",RIGHT(K227,2))</f>
        <v>dif 25/24</v>
      </c>
    </row>
    <row r="229" spans="2:15" x14ac:dyDescent="0.25">
      <c r="B229" s="118" t="s">
        <v>73</v>
      </c>
      <c r="C229" s="188">
        <v>2.408450704225352</v>
      </c>
      <c r="D229" s="189">
        <v>-0.17263037685572913</v>
      </c>
      <c r="E229" s="188">
        <v>3.375</v>
      </c>
      <c r="F229" s="189">
        <f t="shared" ref="F229:J231" si="42">IFERROR(E229-C229,"-")</f>
        <v>0.96654929577464799</v>
      </c>
      <c r="G229" s="188">
        <v>2.6404494382022472</v>
      </c>
      <c r="H229" s="189">
        <f t="shared" si="42"/>
        <v>-0.7345505617977528</v>
      </c>
      <c r="I229" s="188">
        <v>2.5185185185185186</v>
      </c>
      <c r="J229" s="189">
        <f t="shared" si="42"/>
        <v>-0.1219309196837286</v>
      </c>
      <c r="K229" s="188">
        <v>2.2865497076023393</v>
      </c>
      <c r="L229" s="189">
        <f t="shared" ref="L229:L231" si="43">IFERROR(K229-I229,"-")</f>
        <v>-0.23196881091617927</v>
      </c>
      <c r="M229" s="188">
        <v>2.7923076923076922</v>
      </c>
      <c r="N229" s="189">
        <f t="shared" ref="N229:N234" si="44">IFERROR(M229-K229,"-")</f>
        <v>0.50575798470535283</v>
      </c>
    </row>
    <row r="230" spans="2:15" x14ac:dyDescent="0.25">
      <c r="B230" s="118" t="s">
        <v>75</v>
      </c>
      <c r="C230" s="188">
        <v>2.7586206896551726</v>
      </c>
      <c r="D230" s="189">
        <v>-0.2413793103448274</v>
      </c>
      <c r="E230" s="188">
        <v>4</v>
      </c>
      <c r="F230" s="189">
        <f t="shared" si="42"/>
        <v>1.2413793103448274</v>
      </c>
      <c r="G230" s="188">
        <v>2.925925925925926</v>
      </c>
      <c r="H230" s="189">
        <f t="shared" si="42"/>
        <v>-1.074074074074074</v>
      </c>
      <c r="I230" s="188">
        <v>3</v>
      </c>
      <c r="J230" s="189">
        <f t="shared" si="42"/>
        <v>7.4074074074073959E-2</v>
      </c>
      <c r="K230" s="188">
        <v>3.2736842105263158</v>
      </c>
      <c r="L230" s="189">
        <f t="shared" si="43"/>
        <v>0.27368421052631575</v>
      </c>
      <c r="M230" s="188">
        <v>3.6956521739130435</v>
      </c>
      <c r="N230" s="189">
        <f t="shared" si="44"/>
        <v>0.42196796338672771</v>
      </c>
    </row>
    <row r="231" spans="2:15" x14ac:dyDescent="0.25">
      <c r="B231" s="118" t="s">
        <v>77</v>
      </c>
      <c r="C231" s="188">
        <v>1.34375</v>
      </c>
      <c r="D231" s="189">
        <v>-2.4923155737704916</v>
      </c>
      <c r="E231" s="188">
        <v>4.083333333333333</v>
      </c>
      <c r="F231" s="189">
        <f t="shared" si="42"/>
        <v>2.739583333333333</v>
      </c>
      <c r="G231" s="188">
        <v>3.3624999999999998</v>
      </c>
      <c r="H231" s="189">
        <f t="shared" si="42"/>
        <v>-0.72083333333333321</v>
      </c>
      <c r="I231" s="188">
        <v>4.253521126760563</v>
      </c>
      <c r="J231" s="189">
        <f t="shared" si="42"/>
        <v>0.89102112676056322</v>
      </c>
      <c r="K231" s="188">
        <v>3.043010752688172</v>
      </c>
      <c r="L231" s="189">
        <f t="shared" si="43"/>
        <v>-1.210510374072391</v>
      </c>
      <c r="M231" s="188">
        <v>3</v>
      </c>
      <c r="N231" s="189">
        <f t="shared" si="44"/>
        <v>-4.3010752688172005E-2</v>
      </c>
    </row>
    <row r="232" spans="2:15" x14ac:dyDescent="0.25">
      <c r="B232" s="118" t="s">
        <v>79</v>
      </c>
      <c r="C232" s="188" t="s">
        <v>229</v>
      </c>
      <c r="D232" s="189" t="s">
        <v>229</v>
      </c>
      <c r="E232" s="188">
        <v>2.0857142857142859</v>
      </c>
      <c r="F232" s="189" t="str">
        <f>IFERROR(E232-C232,"-")</f>
        <v>-</v>
      </c>
      <c r="G232" s="188">
        <v>2.6166666666666667</v>
      </c>
      <c r="H232" s="189">
        <f>IFERROR(G232-E232,"-")</f>
        <v>0.53095238095238084</v>
      </c>
      <c r="I232" s="188">
        <v>2.5909090909090908</v>
      </c>
      <c r="J232" s="189">
        <f>IFERROR(I232-G232,"-")</f>
        <v>-2.5757575757575868E-2</v>
      </c>
      <c r="K232" s="188">
        <v>2.6896551724137931</v>
      </c>
      <c r="L232" s="189">
        <f>IFERROR(K232-I232,"-")</f>
        <v>9.8746081504702321E-2</v>
      </c>
      <c r="M232" s="188">
        <v>3.3297872340425534</v>
      </c>
      <c r="N232" s="189">
        <f t="shared" si="44"/>
        <v>0.64013206162876024</v>
      </c>
    </row>
    <row r="233" spans="2:15" x14ac:dyDescent="0.25">
      <c r="B233" s="118" t="s">
        <v>81</v>
      </c>
      <c r="C233" s="188" t="s">
        <v>229</v>
      </c>
      <c r="D233" s="189" t="s">
        <v>229</v>
      </c>
      <c r="E233" s="188">
        <v>1.5454545454545454</v>
      </c>
      <c r="F233" s="189" t="str">
        <f t="shared" ref="F233:J241" si="45">IFERROR(E233-C233,"-")</f>
        <v>-</v>
      </c>
      <c r="G233" s="188">
        <v>3.25</v>
      </c>
      <c r="H233" s="189">
        <f t="shared" si="45"/>
        <v>1.7045454545454546</v>
      </c>
      <c r="I233" s="188">
        <v>2.59375</v>
      </c>
      <c r="J233" s="189">
        <f t="shared" si="45"/>
        <v>-0.65625</v>
      </c>
      <c r="K233" s="188">
        <v>1.346938775510204</v>
      </c>
      <c r="L233" s="189">
        <f t="shared" ref="L233:L241" si="46">IFERROR(K233-I233,"-")</f>
        <v>-1.246811224489796</v>
      </c>
      <c r="M233" s="188">
        <v>4</v>
      </c>
      <c r="N233" s="189">
        <f t="shared" si="44"/>
        <v>2.6530612244897958</v>
      </c>
    </row>
    <row r="234" spans="2:15" x14ac:dyDescent="0.25">
      <c r="B234" s="118" t="s">
        <v>83</v>
      </c>
      <c r="C234" s="188" t="s">
        <v>229</v>
      </c>
      <c r="D234" s="189" t="s">
        <v>229</v>
      </c>
      <c r="E234" s="188">
        <v>3.36</v>
      </c>
      <c r="F234" s="189" t="str">
        <f t="shared" si="45"/>
        <v>-</v>
      </c>
      <c r="G234" s="188">
        <v>2.2580645161290325</v>
      </c>
      <c r="H234" s="189">
        <f t="shared" si="45"/>
        <v>-1.1019354838709674</v>
      </c>
      <c r="I234" s="188">
        <v>2.28125</v>
      </c>
      <c r="J234" s="189">
        <f t="shared" si="45"/>
        <v>2.3185483870967527E-2</v>
      </c>
      <c r="K234" s="188">
        <v>2.8947368421052633</v>
      </c>
      <c r="L234" s="189">
        <f t="shared" si="46"/>
        <v>0.61348684210526327</v>
      </c>
      <c r="M234" s="188">
        <v>5.833333333333333</v>
      </c>
      <c r="N234" s="189">
        <f t="shared" si="44"/>
        <v>2.9385964912280698</v>
      </c>
    </row>
    <row r="235" spans="2:15" x14ac:dyDescent="0.25">
      <c r="B235" s="118" t="s">
        <v>85</v>
      </c>
      <c r="C235" s="188" t="s">
        <v>229</v>
      </c>
      <c r="D235" s="189" t="s">
        <v>229</v>
      </c>
      <c r="E235" s="188">
        <v>2.5116279069767442</v>
      </c>
      <c r="F235" s="189" t="str">
        <f t="shared" si="45"/>
        <v>-</v>
      </c>
      <c r="G235" s="188">
        <v>3.4262295081967213</v>
      </c>
      <c r="H235" s="189">
        <f t="shared" si="45"/>
        <v>0.91460160121997713</v>
      </c>
      <c r="I235" s="188">
        <v>2.5813953488372094</v>
      </c>
      <c r="J235" s="189">
        <f t="shared" si="45"/>
        <v>-0.84483415935951189</v>
      </c>
      <c r="K235" s="188">
        <v>2.36</v>
      </c>
      <c r="L235" s="189">
        <f t="shared" si="46"/>
        <v>-0.22139534883720957</v>
      </c>
      <c r="M235" s="188"/>
      <c r="N235" s="189"/>
    </row>
    <row r="236" spans="2:15" x14ac:dyDescent="0.25">
      <c r="B236" s="118" t="s">
        <v>87</v>
      </c>
      <c r="C236" s="188">
        <v>2.6666666666666665</v>
      </c>
      <c r="D236" s="189">
        <v>0.8484848484848484</v>
      </c>
      <c r="E236" s="188">
        <v>1.7179487179487178</v>
      </c>
      <c r="F236" s="189">
        <f t="shared" si="45"/>
        <v>-0.94871794871794868</v>
      </c>
      <c r="G236" s="188">
        <v>2.406779661016949</v>
      </c>
      <c r="H236" s="189">
        <f t="shared" si="45"/>
        <v>0.68883094306823112</v>
      </c>
      <c r="I236" s="188">
        <v>2.3877551020408165</v>
      </c>
      <c r="J236" s="189">
        <f t="shared" si="45"/>
        <v>-1.9024558976132422E-2</v>
      </c>
      <c r="K236" s="188">
        <v>2.3050847457627119</v>
      </c>
      <c r="L236" s="189">
        <f t="shared" si="46"/>
        <v>-8.2670356278104595E-2</v>
      </c>
      <c r="M236" s="188"/>
      <c r="N236" s="189"/>
    </row>
    <row r="237" spans="2:15" x14ac:dyDescent="0.25">
      <c r="B237" s="118" t="s">
        <v>89</v>
      </c>
      <c r="C237" s="188">
        <v>2.15</v>
      </c>
      <c r="D237" s="189">
        <v>0.64999999999999991</v>
      </c>
      <c r="E237" s="188">
        <v>2</v>
      </c>
      <c r="F237" s="189">
        <f t="shared" si="45"/>
        <v>-0.14999999999999991</v>
      </c>
      <c r="G237" s="188">
        <v>3.9</v>
      </c>
      <c r="H237" s="189">
        <f t="shared" si="45"/>
        <v>1.9</v>
      </c>
      <c r="I237" s="188">
        <v>2.9268292682926829</v>
      </c>
      <c r="J237" s="189">
        <f t="shared" si="45"/>
        <v>-0.97317073170731705</v>
      </c>
      <c r="K237" s="188">
        <v>3.8536585365853657</v>
      </c>
      <c r="L237" s="189">
        <f t="shared" si="46"/>
        <v>0.92682926829268286</v>
      </c>
      <c r="M237" s="188"/>
      <c r="N237" s="189"/>
    </row>
    <row r="238" spans="2:15" x14ac:dyDescent="0.25">
      <c r="B238" s="118" t="s">
        <v>91</v>
      </c>
      <c r="C238" s="188">
        <v>1.8974358974358974</v>
      </c>
      <c r="D238" s="189">
        <v>-0.1766381766381766</v>
      </c>
      <c r="E238" s="188">
        <v>2.7580645161290325</v>
      </c>
      <c r="F238" s="189">
        <f t="shared" si="45"/>
        <v>0.86062861869313512</v>
      </c>
      <c r="G238" s="188">
        <v>2.2432432432432434</v>
      </c>
      <c r="H238" s="189">
        <f t="shared" si="45"/>
        <v>-0.51482127288578905</v>
      </c>
      <c r="I238" s="188">
        <v>2.9</v>
      </c>
      <c r="J238" s="189">
        <f t="shared" si="45"/>
        <v>0.65675675675675649</v>
      </c>
      <c r="K238" s="188">
        <v>2.736842105263158</v>
      </c>
      <c r="L238" s="189">
        <f t="shared" si="46"/>
        <v>-0.16315789473684195</v>
      </c>
      <c r="M238" s="188"/>
      <c r="N238" s="189"/>
    </row>
    <row r="239" spans="2:15" x14ac:dyDescent="0.25">
      <c r="B239" s="118" t="s">
        <v>93</v>
      </c>
      <c r="C239" s="188">
        <v>2.4509803921568629</v>
      </c>
      <c r="D239" s="189">
        <v>0.91933482253660981</v>
      </c>
      <c r="E239" s="188">
        <v>3.0673076923076925</v>
      </c>
      <c r="F239" s="189">
        <f t="shared" si="45"/>
        <v>0.61632730015082959</v>
      </c>
      <c r="G239" s="188">
        <v>2.2428571428571429</v>
      </c>
      <c r="H239" s="189">
        <f t="shared" si="45"/>
        <v>-0.82445054945054963</v>
      </c>
      <c r="I239" s="188">
        <v>2.961904761904762</v>
      </c>
      <c r="J239" s="189">
        <f t="shared" si="45"/>
        <v>0.71904761904761916</v>
      </c>
      <c r="K239" s="188">
        <v>2.515625</v>
      </c>
      <c r="L239" s="189">
        <f t="shared" si="46"/>
        <v>-0.44627976190476204</v>
      </c>
      <c r="M239" s="188"/>
      <c r="N239" s="189"/>
    </row>
    <row r="240" spans="2:15" x14ac:dyDescent="0.25">
      <c r="B240" s="118" t="s">
        <v>95</v>
      </c>
      <c r="C240" s="188">
        <v>1.8</v>
      </c>
      <c r="D240" s="189">
        <v>-1.05</v>
      </c>
      <c r="E240" s="188">
        <v>2.4202898550724639</v>
      </c>
      <c r="F240" s="189">
        <f t="shared" si="45"/>
        <v>0.62028985507246381</v>
      </c>
      <c r="G240" s="188">
        <v>2.1538461538461537</v>
      </c>
      <c r="H240" s="189">
        <f t="shared" si="45"/>
        <v>-0.26644370122631011</v>
      </c>
      <c r="I240" s="188">
        <v>2.0506329113924049</v>
      </c>
      <c r="J240" s="189">
        <f t="shared" si="45"/>
        <v>-0.10321324245374885</v>
      </c>
      <c r="K240" s="188">
        <v>2.4335664335664338</v>
      </c>
      <c r="L240" s="189">
        <f t="shared" si="46"/>
        <v>0.38293352217402887</v>
      </c>
      <c r="M240" s="188"/>
      <c r="N240" s="189"/>
    </row>
    <row r="241" spans="2:15" ht="15.75" x14ac:dyDescent="0.25">
      <c r="B241" s="121" t="s">
        <v>32</v>
      </c>
      <c r="C241" s="190">
        <v>2.2450142450142452</v>
      </c>
      <c r="D241" s="191">
        <v>-0.25594914612255648</v>
      </c>
      <c r="E241" s="190">
        <v>2.5936883629191323</v>
      </c>
      <c r="F241" s="191">
        <f t="shared" si="45"/>
        <v>0.34867411790488712</v>
      </c>
      <c r="G241" s="190">
        <v>2.774193548387097</v>
      </c>
      <c r="H241" s="191">
        <f t="shared" si="45"/>
        <v>0.18050518546796468</v>
      </c>
      <c r="I241" s="190">
        <v>2.7876923076923079</v>
      </c>
      <c r="J241" s="191">
        <f t="shared" si="45"/>
        <v>1.3498759305210939E-2</v>
      </c>
      <c r="K241" s="190">
        <v>2.6112956810631229</v>
      </c>
      <c r="L241" s="191">
        <f t="shared" si="46"/>
        <v>-0.17639662662918498</v>
      </c>
      <c r="M241" s="190">
        <v>3.3243801652892562</v>
      </c>
      <c r="N241" s="191">
        <v>0.71737627423867245</v>
      </c>
    </row>
    <row r="242" spans="2:15" ht="6" customHeight="1" x14ac:dyDescent="0.25"/>
    <row r="243" spans="2:15" x14ac:dyDescent="0.25">
      <c r="B243" s="107" t="s">
        <v>57</v>
      </c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5" x14ac:dyDescent="0.25">
      <c r="C244" s="124"/>
      <c r="K244" s="124"/>
      <c r="M244" s="107"/>
    </row>
    <row r="246" spans="2:15" ht="48.75" customHeight="1" thickBot="1" x14ac:dyDescent="0.3">
      <c r="B246" s="278" t="s">
        <v>296</v>
      </c>
      <c r="C246" s="278"/>
      <c r="D246" s="278"/>
      <c r="E246" s="278"/>
      <c r="F246" s="278"/>
      <c r="G246" s="278"/>
      <c r="H246" s="278"/>
      <c r="I246" s="278"/>
      <c r="J246" s="278"/>
      <c r="K246" s="278"/>
      <c r="L246" s="278"/>
      <c r="M246" s="278"/>
      <c r="N246" s="278"/>
      <c r="O246" s="1" t="s">
        <v>128</v>
      </c>
    </row>
    <row r="247" spans="2:15" ht="10.5" customHeight="1" thickBot="1" x14ac:dyDescent="0.3">
      <c r="B247" s="108"/>
      <c r="C247" s="109"/>
      <c r="D247" s="108"/>
      <c r="E247" s="108"/>
      <c r="F247" s="108"/>
      <c r="G247" s="108"/>
      <c r="H247" s="108"/>
      <c r="I247" s="108"/>
      <c r="J247" s="108"/>
      <c r="K247" s="108"/>
      <c r="L247" s="108"/>
      <c r="M247" s="4"/>
      <c r="N247" s="4"/>
      <c r="O247" s="1" t="s">
        <v>129</v>
      </c>
    </row>
    <row r="248" spans="2:15" ht="22.5" thickTop="1" thickBot="1" x14ac:dyDescent="0.3">
      <c r="B248" s="125" t="str">
        <f>C248</f>
        <v>Dinamarca</v>
      </c>
      <c r="C248" s="303" t="s">
        <v>130</v>
      </c>
      <c r="D248" s="304"/>
      <c r="E248" s="304"/>
      <c r="F248" s="304"/>
      <c r="G248" s="304"/>
      <c r="H248" s="304"/>
      <c r="I248" s="304"/>
      <c r="J248" s="304"/>
      <c r="K248" s="304"/>
      <c r="L248" s="304"/>
      <c r="M248" s="304"/>
      <c r="N248" s="304"/>
    </row>
    <row r="249" spans="2:15" ht="22.5" thickTop="1" thickBot="1" x14ac:dyDescent="0.3">
      <c r="B249" s="111"/>
      <c r="C249" s="305">
        <v>2020</v>
      </c>
      <c r="D249" s="306"/>
      <c r="E249" s="307">
        <v>2021</v>
      </c>
      <c r="F249" s="306"/>
      <c r="G249" s="307">
        <v>2022</v>
      </c>
      <c r="H249" s="306"/>
      <c r="I249" s="307">
        <v>2023</v>
      </c>
      <c r="J249" s="306"/>
      <c r="K249" s="307">
        <v>2024</v>
      </c>
      <c r="L249" s="306"/>
      <c r="M249" s="307">
        <v>2025</v>
      </c>
      <c r="N249" s="308"/>
    </row>
    <row r="250" spans="2:15" ht="16.5" thickTop="1" thickBot="1" x14ac:dyDescent="0.3">
      <c r="B250" s="87"/>
      <c r="C250" s="115" t="s">
        <v>71</v>
      </c>
      <c r="D250" s="116" t="str">
        <f>CONCATENATE("dif ",RIGHT(C249,2),"/",RIGHT(C249-1,2))</f>
        <v>dif 20/19</v>
      </c>
      <c r="E250" s="117" t="s">
        <v>71</v>
      </c>
      <c r="F250" s="116" t="str">
        <f>CONCATENATE("dif ",RIGHT(E249,2),"/",RIGHT(C249,2))</f>
        <v>dif 21/20</v>
      </c>
      <c r="G250" s="117" t="s">
        <v>71</v>
      </c>
      <c r="H250" s="116" t="str">
        <f>CONCATENATE("dif ",RIGHT(G249,2),"/",RIGHT(E249,2))</f>
        <v>dif 22/21</v>
      </c>
      <c r="I250" s="117" t="s">
        <v>71</v>
      </c>
      <c r="J250" s="116" t="str">
        <f>CONCATENATE("dif ",RIGHT(I249,2),"/",RIGHT(G249,2))</f>
        <v>dif 23/22</v>
      </c>
      <c r="K250" s="117" t="s">
        <v>71</v>
      </c>
      <c r="L250" s="116" t="str">
        <f>CONCATENATE("dif ",RIGHT(K249,2),"/",RIGHT(I249,2))</f>
        <v>dif 24/23</v>
      </c>
      <c r="M250" s="117" t="s">
        <v>71</v>
      </c>
      <c r="N250" s="116" t="str">
        <f>CONCATENATE("dif ",RIGHT(M249,2),"/",RIGHT(K249,2))</f>
        <v>dif 25/24</v>
      </c>
    </row>
    <row r="251" spans="2:15" x14ac:dyDescent="0.25">
      <c r="B251" s="118" t="s">
        <v>73</v>
      </c>
      <c r="C251" s="188">
        <v>3.7241379310344827</v>
      </c>
      <c r="D251" s="189">
        <v>0.44636015325670497</v>
      </c>
      <c r="E251" s="188">
        <v>1.25</v>
      </c>
      <c r="F251" s="189">
        <f t="shared" ref="F251:J253" si="47">IFERROR(E251-C251,"-")</f>
        <v>-2.4741379310344827</v>
      </c>
      <c r="G251" s="188">
        <v>4.04</v>
      </c>
      <c r="H251" s="189">
        <f t="shared" si="47"/>
        <v>2.79</v>
      </c>
      <c r="I251" s="188">
        <v>3.6111111111111112</v>
      </c>
      <c r="J251" s="189">
        <f t="shared" si="47"/>
        <v>-0.42888888888888888</v>
      </c>
      <c r="K251" s="188">
        <v>2.8793103448275863</v>
      </c>
      <c r="L251" s="189">
        <f t="shared" ref="L251:L253" si="48">IFERROR(K251-I251,"-")</f>
        <v>-0.73180076628352486</v>
      </c>
      <c r="M251" s="188">
        <v>3.0909090909090908</v>
      </c>
      <c r="N251" s="189">
        <f t="shared" ref="N251:N256" si="49">IFERROR(M251-K251,"-")</f>
        <v>0.21159874608150453</v>
      </c>
    </row>
    <row r="252" spans="2:15" x14ac:dyDescent="0.25">
      <c r="B252" s="118" t="s">
        <v>75</v>
      </c>
      <c r="C252" s="188">
        <v>4.2941176470588234</v>
      </c>
      <c r="D252" s="189">
        <v>1.9705882352941173</v>
      </c>
      <c r="E252" s="188">
        <v>1</v>
      </c>
      <c r="F252" s="189">
        <f t="shared" si="47"/>
        <v>-3.2941176470588234</v>
      </c>
      <c r="G252" s="188">
        <v>2.9384615384615387</v>
      </c>
      <c r="H252" s="189">
        <f t="shared" si="47"/>
        <v>1.9384615384615387</v>
      </c>
      <c r="I252" s="188">
        <v>1.8235294117647058</v>
      </c>
      <c r="J252" s="189">
        <f t="shared" si="47"/>
        <v>-1.1149321266968328</v>
      </c>
      <c r="K252" s="188">
        <v>4.2424242424242422</v>
      </c>
      <c r="L252" s="189">
        <f t="shared" si="48"/>
        <v>2.4188948306595366</v>
      </c>
      <c r="M252" s="188">
        <v>1.8461538461538463</v>
      </c>
      <c r="N252" s="189">
        <f t="shared" si="49"/>
        <v>-2.396270396270396</v>
      </c>
    </row>
    <row r="253" spans="2:15" x14ac:dyDescent="0.25">
      <c r="B253" s="118" t="s">
        <v>77</v>
      </c>
      <c r="C253" s="188">
        <v>21</v>
      </c>
      <c r="D253" s="189">
        <v>17.2</v>
      </c>
      <c r="E253" s="188">
        <v>7</v>
      </c>
      <c r="F253" s="189">
        <f t="shared" si="47"/>
        <v>-14</v>
      </c>
      <c r="G253" s="188">
        <v>1.9318181818181819</v>
      </c>
      <c r="H253" s="189">
        <f t="shared" si="47"/>
        <v>-5.0681818181818183</v>
      </c>
      <c r="I253" s="188">
        <v>2</v>
      </c>
      <c r="J253" s="189">
        <f t="shared" si="47"/>
        <v>6.8181818181818121E-2</v>
      </c>
      <c r="K253" s="188">
        <v>4.7692307692307692</v>
      </c>
      <c r="L253" s="189">
        <f t="shared" si="48"/>
        <v>2.7692307692307692</v>
      </c>
      <c r="M253" s="188">
        <v>2.6</v>
      </c>
      <c r="N253" s="189">
        <f t="shared" si="49"/>
        <v>-2.1692307692307691</v>
      </c>
    </row>
    <row r="254" spans="2:15" x14ac:dyDescent="0.25">
      <c r="B254" s="118" t="s">
        <v>79</v>
      </c>
      <c r="C254" s="188" t="s">
        <v>229</v>
      </c>
      <c r="D254" s="189" t="s">
        <v>229</v>
      </c>
      <c r="E254" s="188">
        <v>1.8</v>
      </c>
      <c r="F254" s="189" t="str">
        <f>IFERROR(E254-C254,"-")</f>
        <v>-</v>
      </c>
      <c r="G254" s="188">
        <v>1.7</v>
      </c>
      <c r="H254" s="189">
        <f>IFERROR(G254-E254,"-")</f>
        <v>-0.10000000000000009</v>
      </c>
      <c r="I254" s="188">
        <v>2.625</v>
      </c>
      <c r="J254" s="189">
        <f>IFERROR(I254-G254,"-")</f>
        <v>0.92500000000000004</v>
      </c>
      <c r="K254" s="188" t="s">
        <v>229</v>
      </c>
      <c r="L254" s="189" t="str">
        <f>IFERROR(K254-I254,"-")</f>
        <v>-</v>
      </c>
      <c r="M254" s="188">
        <v>3.6666666666666665</v>
      </c>
      <c r="N254" s="189" t="str">
        <f t="shared" si="49"/>
        <v>-</v>
      </c>
    </row>
    <row r="255" spans="2:15" x14ac:dyDescent="0.25">
      <c r="B255" s="118" t="s">
        <v>81</v>
      </c>
      <c r="C255" s="188" t="s">
        <v>229</v>
      </c>
      <c r="D255" s="189" t="s">
        <v>229</v>
      </c>
      <c r="E255" s="188">
        <v>6</v>
      </c>
      <c r="F255" s="189" t="str">
        <f t="shared" ref="F255:J263" si="50">IFERROR(E255-C255,"-")</f>
        <v>-</v>
      </c>
      <c r="G255" s="188">
        <v>3.5</v>
      </c>
      <c r="H255" s="189">
        <f t="shared" si="50"/>
        <v>-2.5</v>
      </c>
      <c r="I255" s="188">
        <v>5</v>
      </c>
      <c r="J255" s="189">
        <f t="shared" si="50"/>
        <v>1.5</v>
      </c>
      <c r="K255" s="188" t="s">
        <v>229</v>
      </c>
      <c r="L255" s="189" t="str">
        <f t="shared" ref="L255:L263" si="51">IFERROR(K255-I255,"-")</f>
        <v>-</v>
      </c>
      <c r="M255" s="188">
        <v>6</v>
      </c>
      <c r="N255" s="189" t="str">
        <f t="shared" si="49"/>
        <v>-</v>
      </c>
    </row>
    <row r="256" spans="2:15" x14ac:dyDescent="0.25">
      <c r="B256" s="118" t="s">
        <v>83</v>
      </c>
      <c r="C256" s="188" t="s">
        <v>229</v>
      </c>
      <c r="D256" s="189" t="s">
        <v>229</v>
      </c>
      <c r="E256" s="188" t="s">
        <v>229</v>
      </c>
      <c r="F256" s="189" t="str">
        <f t="shared" si="50"/>
        <v>-</v>
      </c>
      <c r="G256" s="188">
        <v>1</v>
      </c>
      <c r="H256" s="189" t="str">
        <f t="shared" si="50"/>
        <v>-</v>
      </c>
      <c r="I256" s="188">
        <v>1</v>
      </c>
      <c r="J256" s="189">
        <f t="shared" si="50"/>
        <v>0</v>
      </c>
      <c r="K256" s="188">
        <v>3.7446808510638299</v>
      </c>
      <c r="L256" s="189">
        <f t="shared" si="51"/>
        <v>2.7446808510638299</v>
      </c>
      <c r="M256" s="188">
        <v>2</v>
      </c>
      <c r="N256" s="189">
        <f t="shared" si="49"/>
        <v>-1.7446808510638299</v>
      </c>
    </row>
    <row r="257" spans="2:15" x14ac:dyDescent="0.25">
      <c r="B257" s="118" t="s">
        <v>85</v>
      </c>
      <c r="C257" s="188" t="s">
        <v>229</v>
      </c>
      <c r="D257" s="189" t="s">
        <v>229</v>
      </c>
      <c r="E257" s="188">
        <v>1</v>
      </c>
      <c r="F257" s="189" t="str">
        <f t="shared" si="50"/>
        <v>-</v>
      </c>
      <c r="G257" s="188">
        <v>2.125</v>
      </c>
      <c r="H257" s="189">
        <f t="shared" si="50"/>
        <v>1.125</v>
      </c>
      <c r="I257" s="188">
        <v>3.8888888888888888</v>
      </c>
      <c r="J257" s="189">
        <f t="shared" si="50"/>
        <v>1.7638888888888888</v>
      </c>
      <c r="K257" s="188">
        <v>4.5</v>
      </c>
      <c r="L257" s="189">
        <f t="shared" si="51"/>
        <v>0.61111111111111116</v>
      </c>
      <c r="M257" s="188"/>
      <c r="N257" s="189"/>
    </row>
    <row r="258" spans="2:15" x14ac:dyDescent="0.25">
      <c r="B258" s="118" t="s">
        <v>87</v>
      </c>
      <c r="C258" s="188">
        <v>1</v>
      </c>
      <c r="D258" s="189">
        <v>0</v>
      </c>
      <c r="E258" s="188" t="s">
        <v>229</v>
      </c>
      <c r="F258" s="189" t="str">
        <f t="shared" si="50"/>
        <v>-</v>
      </c>
      <c r="G258" s="188">
        <v>2.3333333333333335</v>
      </c>
      <c r="H258" s="189" t="str">
        <f t="shared" si="50"/>
        <v>-</v>
      </c>
      <c r="I258" s="188">
        <v>1</v>
      </c>
      <c r="J258" s="189">
        <f t="shared" si="50"/>
        <v>-1.3333333333333335</v>
      </c>
      <c r="K258" s="188">
        <v>1</v>
      </c>
      <c r="L258" s="189">
        <f t="shared" si="51"/>
        <v>0</v>
      </c>
      <c r="M258" s="188"/>
      <c r="N258" s="189"/>
    </row>
    <row r="259" spans="2:15" x14ac:dyDescent="0.25">
      <c r="B259" s="118" t="s">
        <v>89</v>
      </c>
      <c r="C259" s="188">
        <v>2</v>
      </c>
      <c r="D259" s="189">
        <v>1</v>
      </c>
      <c r="E259" s="188">
        <v>1</v>
      </c>
      <c r="F259" s="189">
        <f t="shared" si="50"/>
        <v>-1</v>
      </c>
      <c r="G259" s="188">
        <v>5.4</v>
      </c>
      <c r="H259" s="189">
        <f t="shared" si="50"/>
        <v>4.4000000000000004</v>
      </c>
      <c r="I259" s="188">
        <v>3.5</v>
      </c>
      <c r="J259" s="189">
        <f t="shared" si="50"/>
        <v>-1.9000000000000004</v>
      </c>
      <c r="K259" s="188">
        <v>2.7692307692307692</v>
      </c>
      <c r="L259" s="189">
        <f t="shared" si="51"/>
        <v>-0.73076923076923084</v>
      </c>
      <c r="M259" s="188"/>
      <c r="N259" s="189"/>
    </row>
    <row r="260" spans="2:15" x14ac:dyDescent="0.25">
      <c r="B260" s="118" t="s">
        <v>91</v>
      </c>
      <c r="C260" s="188" t="s">
        <v>229</v>
      </c>
      <c r="D260" s="189" t="s">
        <v>229</v>
      </c>
      <c r="E260" s="188">
        <v>3.225806451612903</v>
      </c>
      <c r="F260" s="189" t="str">
        <f t="shared" si="50"/>
        <v>-</v>
      </c>
      <c r="G260" s="188">
        <v>3.2857142857142856</v>
      </c>
      <c r="H260" s="189">
        <f t="shared" si="50"/>
        <v>5.9907834101382562E-2</v>
      </c>
      <c r="I260" s="188">
        <v>1</v>
      </c>
      <c r="J260" s="189">
        <f t="shared" si="50"/>
        <v>-2.2857142857142856</v>
      </c>
      <c r="K260" s="188">
        <v>2.4</v>
      </c>
      <c r="L260" s="189">
        <f t="shared" si="51"/>
        <v>1.4</v>
      </c>
      <c r="M260" s="188"/>
      <c r="N260" s="189"/>
    </row>
    <row r="261" spans="2:15" x14ac:dyDescent="0.25">
      <c r="B261" s="118" t="s">
        <v>93</v>
      </c>
      <c r="C261" s="188">
        <v>4.5</v>
      </c>
      <c r="D261" s="189">
        <v>2.0625</v>
      </c>
      <c r="E261" s="188">
        <v>2.5909090909090908</v>
      </c>
      <c r="F261" s="189">
        <f t="shared" si="50"/>
        <v>-1.9090909090909092</v>
      </c>
      <c r="G261" s="188">
        <v>3.3333333333333335</v>
      </c>
      <c r="H261" s="189">
        <f t="shared" si="50"/>
        <v>0.74242424242424265</v>
      </c>
      <c r="I261" s="188">
        <v>3.4166666666666665</v>
      </c>
      <c r="J261" s="189">
        <f t="shared" si="50"/>
        <v>8.3333333333333037E-2</v>
      </c>
      <c r="K261" s="188">
        <v>3.0526315789473686</v>
      </c>
      <c r="L261" s="189">
        <f t="shared" si="51"/>
        <v>-0.36403508771929793</v>
      </c>
      <c r="M261" s="188"/>
      <c r="N261" s="189"/>
    </row>
    <row r="262" spans="2:15" x14ac:dyDescent="0.25">
      <c r="B262" s="118" t="s">
        <v>95</v>
      </c>
      <c r="C262" s="188">
        <v>1</v>
      </c>
      <c r="D262" s="189">
        <v>-2.7</v>
      </c>
      <c r="E262" s="188">
        <v>2.40625</v>
      </c>
      <c r="F262" s="189">
        <f t="shared" si="50"/>
        <v>1.40625</v>
      </c>
      <c r="G262" s="188">
        <v>4.5909090909090908</v>
      </c>
      <c r="H262" s="189">
        <f t="shared" si="50"/>
        <v>2.1846590909090908</v>
      </c>
      <c r="I262" s="188">
        <v>2</v>
      </c>
      <c r="J262" s="189">
        <f t="shared" si="50"/>
        <v>-2.5909090909090908</v>
      </c>
      <c r="K262" s="188">
        <v>2.5</v>
      </c>
      <c r="L262" s="189">
        <f t="shared" si="51"/>
        <v>0.5</v>
      </c>
      <c r="M262" s="188"/>
      <c r="N262" s="189"/>
    </row>
    <row r="263" spans="2:15" ht="15.75" x14ac:dyDescent="0.25">
      <c r="B263" s="121" t="s">
        <v>32</v>
      </c>
      <c r="C263" s="190">
        <v>4.830645161290323</v>
      </c>
      <c r="D263" s="191">
        <v>1.9661290322580647</v>
      </c>
      <c r="E263" s="190">
        <v>2.6190476190476191</v>
      </c>
      <c r="F263" s="191">
        <f t="shared" si="50"/>
        <v>-2.2115975422427039</v>
      </c>
      <c r="G263" s="190">
        <v>3.0259259259259261</v>
      </c>
      <c r="H263" s="191">
        <f t="shared" si="50"/>
        <v>0.40687830687830706</v>
      </c>
      <c r="I263" s="190">
        <v>2.7450980392156863</v>
      </c>
      <c r="J263" s="191">
        <f t="shared" si="50"/>
        <v>-0.28082788671023984</v>
      </c>
      <c r="K263" s="190">
        <v>3.4</v>
      </c>
      <c r="L263" s="191">
        <f t="shared" si="51"/>
        <v>0.65490196078431362</v>
      </c>
      <c r="M263" s="190">
        <v>2.421875</v>
      </c>
      <c r="N263" s="191">
        <v>-1.2006415562913908</v>
      </c>
    </row>
    <row r="264" spans="2:15" ht="6" customHeight="1" x14ac:dyDescent="0.25"/>
    <row r="265" spans="2:15" x14ac:dyDescent="0.25">
      <c r="B265" s="107" t="s">
        <v>57</v>
      </c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</row>
    <row r="266" spans="2:15" x14ac:dyDescent="0.25">
      <c r="K266" s="124"/>
    </row>
    <row r="268" spans="2:15" ht="48.75" customHeight="1" thickBot="1" x14ac:dyDescent="0.3">
      <c r="B268" s="278" t="s">
        <v>297</v>
      </c>
      <c r="C268" s="278"/>
      <c r="D268" s="278"/>
      <c r="E268" s="278"/>
      <c r="F268" s="278"/>
      <c r="G268" s="278"/>
      <c r="H268" s="278"/>
      <c r="I268" s="278"/>
      <c r="J268" s="278"/>
      <c r="K268" s="278"/>
      <c r="L268" s="278"/>
      <c r="M268" s="278"/>
      <c r="N268" s="278"/>
      <c r="O268" s="1" t="s">
        <v>131</v>
      </c>
    </row>
    <row r="269" spans="2:15" ht="10.5" customHeight="1" thickBot="1" x14ac:dyDescent="0.3">
      <c r="B269" s="108"/>
      <c r="C269" s="109"/>
      <c r="D269" s="108"/>
      <c r="E269" s="108"/>
      <c r="F269" s="108"/>
      <c r="G269" s="108"/>
      <c r="H269" s="108"/>
      <c r="I269" s="108"/>
      <c r="J269" s="108"/>
      <c r="K269" s="108"/>
      <c r="L269" s="108"/>
      <c r="M269" s="4"/>
      <c r="N269" s="4"/>
      <c r="O269" s="1" t="s">
        <v>132</v>
      </c>
    </row>
    <row r="270" spans="2:15" ht="22.5" thickTop="1" thickBot="1" x14ac:dyDescent="0.3">
      <c r="B270" s="125" t="str">
        <f>C270</f>
        <v>Suecia</v>
      </c>
      <c r="C270" s="303" t="s">
        <v>133</v>
      </c>
      <c r="D270" s="304"/>
      <c r="E270" s="304"/>
      <c r="F270" s="304"/>
      <c r="G270" s="304"/>
      <c r="H270" s="304"/>
      <c r="I270" s="304"/>
      <c r="J270" s="304"/>
      <c r="K270" s="304"/>
      <c r="L270" s="304"/>
      <c r="M270" s="304"/>
      <c r="N270" s="304"/>
    </row>
    <row r="271" spans="2:15" ht="22.5" thickTop="1" thickBot="1" x14ac:dyDescent="0.3">
      <c r="B271" s="111"/>
      <c r="C271" s="305">
        <v>2020</v>
      </c>
      <c r="D271" s="306"/>
      <c r="E271" s="307">
        <v>2021</v>
      </c>
      <c r="F271" s="306"/>
      <c r="G271" s="307">
        <v>2022</v>
      </c>
      <c r="H271" s="306"/>
      <c r="I271" s="307">
        <v>2023</v>
      </c>
      <c r="J271" s="306"/>
      <c r="K271" s="307">
        <v>2024</v>
      </c>
      <c r="L271" s="306"/>
      <c r="M271" s="307">
        <v>2025</v>
      </c>
      <c r="N271" s="308"/>
    </row>
    <row r="272" spans="2:15" ht="16.5" thickTop="1" thickBot="1" x14ac:dyDescent="0.3">
      <c r="B272" s="87"/>
      <c r="C272" s="115" t="s">
        <v>71</v>
      </c>
      <c r="D272" s="116" t="str">
        <f>CONCATENATE("dif ",RIGHT(C271,2),"/",RIGHT(C271-1,2))</f>
        <v>dif 20/19</v>
      </c>
      <c r="E272" s="117" t="s">
        <v>71</v>
      </c>
      <c r="F272" s="116" t="str">
        <f>CONCATENATE("dif ",RIGHT(E271,2),"/",RIGHT(C271,2))</f>
        <v>dif 21/20</v>
      </c>
      <c r="G272" s="117" t="s">
        <v>71</v>
      </c>
      <c r="H272" s="116" t="str">
        <f>CONCATENATE("dif ",RIGHT(G271,2),"/",RIGHT(E271,2))</f>
        <v>dif 22/21</v>
      </c>
      <c r="I272" s="117" t="s">
        <v>71</v>
      </c>
      <c r="J272" s="116" t="str">
        <f>CONCATENATE("dif ",RIGHT(I271,2),"/",RIGHT(G271,2))</f>
        <v>dif 23/22</v>
      </c>
      <c r="K272" s="117" t="s">
        <v>71</v>
      </c>
      <c r="L272" s="116" t="str">
        <f>CONCATENATE("dif ",RIGHT(K271,2),"/",RIGHT(I271,2))</f>
        <v>dif 24/23</v>
      </c>
      <c r="M272" s="117" t="s">
        <v>71</v>
      </c>
      <c r="N272" s="116" t="str">
        <f>CONCATENATE("dif ",RIGHT(M271,2),"/",RIGHT(K271,2))</f>
        <v>dif 25/24</v>
      </c>
    </row>
    <row r="273" spans="2:14" x14ac:dyDescent="0.25">
      <c r="B273" s="118" t="s">
        <v>73</v>
      </c>
      <c r="C273" s="188">
        <v>3.1</v>
      </c>
      <c r="D273" s="189">
        <v>-0.39999999999999991</v>
      </c>
      <c r="E273" s="188">
        <v>3.2857142857142856</v>
      </c>
      <c r="F273" s="189">
        <f t="shared" ref="F273:J275" si="52">IFERROR(E273-C273,"-")</f>
        <v>0.1857142857142855</v>
      </c>
      <c r="G273" s="188">
        <v>2.8918918918918921</v>
      </c>
      <c r="H273" s="189">
        <f t="shared" si="52"/>
        <v>-0.39382239382239348</v>
      </c>
      <c r="I273" s="188">
        <v>3.6875</v>
      </c>
      <c r="J273" s="189">
        <f t="shared" si="52"/>
        <v>0.79560810810810789</v>
      </c>
      <c r="K273" s="188">
        <v>2.7826086956521738</v>
      </c>
      <c r="L273" s="189">
        <f t="shared" ref="L273:L275" si="53">IFERROR(K273-I273,"-")</f>
        <v>-0.90489130434782616</v>
      </c>
      <c r="M273" s="188">
        <v>2.4457831325301207</v>
      </c>
      <c r="N273" s="189">
        <f t="shared" ref="N273:N278" si="54">IFERROR(M273-K273,"-")</f>
        <v>-0.33682556312205314</v>
      </c>
    </row>
    <row r="274" spans="2:14" x14ac:dyDescent="0.25">
      <c r="B274" s="118" t="s">
        <v>75</v>
      </c>
      <c r="C274" s="188">
        <v>3.7692307692307692</v>
      </c>
      <c r="D274" s="189">
        <v>-0.17016317016317029</v>
      </c>
      <c r="E274" s="188">
        <v>7</v>
      </c>
      <c r="F274" s="189">
        <f t="shared" si="52"/>
        <v>3.2307692307692308</v>
      </c>
      <c r="G274" s="188">
        <v>4.4000000000000004</v>
      </c>
      <c r="H274" s="189">
        <f t="shared" si="52"/>
        <v>-2.5999999999999996</v>
      </c>
      <c r="I274" s="188">
        <v>3.6875</v>
      </c>
      <c r="J274" s="189">
        <f t="shared" si="52"/>
        <v>-0.71250000000000036</v>
      </c>
      <c r="K274" s="188">
        <v>4.2</v>
      </c>
      <c r="L274" s="189">
        <f t="shared" si="53"/>
        <v>0.51250000000000018</v>
      </c>
      <c r="M274" s="188">
        <v>1.9090909090909092</v>
      </c>
      <c r="N274" s="189">
        <f t="shared" si="54"/>
        <v>-2.290909090909091</v>
      </c>
    </row>
    <row r="275" spans="2:14" x14ac:dyDescent="0.25">
      <c r="B275" s="118" t="s">
        <v>77</v>
      </c>
      <c r="C275" s="188">
        <v>3.8</v>
      </c>
      <c r="D275" s="189">
        <v>1.1947368421052631</v>
      </c>
      <c r="E275" s="188">
        <v>4.125</v>
      </c>
      <c r="F275" s="189">
        <f t="shared" si="52"/>
        <v>0.32500000000000018</v>
      </c>
      <c r="G275" s="188">
        <v>1.0454545454545454</v>
      </c>
      <c r="H275" s="189">
        <f t="shared" si="52"/>
        <v>-3.0795454545454546</v>
      </c>
      <c r="I275" s="188">
        <v>2.763157894736842</v>
      </c>
      <c r="J275" s="189">
        <f t="shared" si="52"/>
        <v>1.7177033492822966</v>
      </c>
      <c r="K275" s="188">
        <v>3.2857142857142856</v>
      </c>
      <c r="L275" s="189">
        <f t="shared" si="53"/>
        <v>0.52255639097744355</v>
      </c>
      <c r="M275" s="188">
        <v>3.5862068965517242</v>
      </c>
      <c r="N275" s="189">
        <f t="shared" si="54"/>
        <v>0.30049261083743861</v>
      </c>
    </row>
    <row r="276" spans="2:14" x14ac:dyDescent="0.25">
      <c r="B276" s="118" t="s">
        <v>79</v>
      </c>
      <c r="C276" s="188" t="s">
        <v>229</v>
      </c>
      <c r="D276" s="189" t="s">
        <v>229</v>
      </c>
      <c r="E276" s="188">
        <v>2</v>
      </c>
      <c r="F276" s="189" t="str">
        <f>IFERROR(E276-C276,"-")</f>
        <v>-</v>
      </c>
      <c r="G276" s="188">
        <v>2</v>
      </c>
      <c r="H276" s="189">
        <f>IFERROR(G276-E276,"-")</f>
        <v>0</v>
      </c>
      <c r="I276" s="188">
        <v>3</v>
      </c>
      <c r="J276" s="189">
        <f>IFERROR(I276-G276,"-")</f>
        <v>1</v>
      </c>
      <c r="K276" s="188">
        <v>3.2</v>
      </c>
      <c r="L276" s="189">
        <f>IFERROR(K276-I276,"-")</f>
        <v>0.20000000000000018</v>
      </c>
      <c r="M276" s="188">
        <v>3.8333333333333335</v>
      </c>
      <c r="N276" s="189">
        <f t="shared" si="54"/>
        <v>0.6333333333333333</v>
      </c>
    </row>
    <row r="277" spans="2:14" x14ac:dyDescent="0.25">
      <c r="B277" s="118" t="s">
        <v>81</v>
      </c>
      <c r="C277" s="188" t="s">
        <v>229</v>
      </c>
      <c r="D277" s="189" t="s">
        <v>229</v>
      </c>
      <c r="E277" s="188">
        <v>1.25</v>
      </c>
      <c r="F277" s="189" t="str">
        <f t="shared" ref="F277:J285" si="55">IFERROR(E277-C277,"-")</f>
        <v>-</v>
      </c>
      <c r="G277" s="188">
        <v>1.6666666666666667</v>
      </c>
      <c r="H277" s="189">
        <f t="shared" si="55"/>
        <v>0.41666666666666674</v>
      </c>
      <c r="I277" s="188">
        <v>10.5</v>
      </c>
      <c r="J277" s="189">
        <f t="shared" si="55"/>
        <v>8.8333333333333339</v>
      </c>
      <c r="K277" s="188">
        <v>1.5</v>
      </c>
      <c r="L277" s="189">
        <f t="shared" ref="L277:L285" si="56">IFERROR(K277-I277,"-")</f>
        <v>-9</v>
      </c>
      <c r="M277" s="188">
        <v>5.2</v>
      </c>
      <c r="N277" s="189">
        <f t="shared" si="54"/>
        <v>3.7</v>
      </c>
    </row>
    <row r="278" spans="2:14" x14ac:dyDescent="0.25">
      <c r="B278" s="118" t="s">
        <v>83</v>
      </c>
      <c r="C278" s="188" t="s">
        <v>229</v>
      </c>
      <c r="D278" s="189" t="s">
        <v>229</v>
      </c>
      <c r="E278" s="188">
        <v>2</v>
      </c>
      <c r="F278" s="189" t="str">
        <f t="shared" si="55"/>
        <v>-</v>
      </c>
      <c r="G278" s="188">
        <v>1.3181818181818181</v>
      </c>
      <c r="H278" s="189">
        <f t="shared" si="55"/>
        <v>-0.68181818181818188</v>
      </c>
      <c r="I278" s="188">
        <v>5.333333333333333</v>
      </c>
      <c r="J278" s="189">
        <f t="shared" si="55"/>
        <v>4.0151515151515147</v>
      </c>
      <c r="K278" s="188" t="s">
        <v>229</v>
      </c>
      <c r="L278" s="189" t="str">
        <f t="shared" si="56"/>
        <v>-</v>
      </c>
      <c r="M278" s="188">
        <v>7.5</v>
      </c>
      <c r="N278" s="189" t="str">
        <f t="shared" si="54"/>
        <v>-</v>
      </c>
    </row>
    <row r="279" spans="2:14" x14ac:dyDescent="0.25">
      <c r="B279" s="118" t="s">
        <v>85</v>
      </c>
      <c r="C279" s="188" t="s">
        <v>229</v>
      </c>
      <c r="D279" s="189" t="s">
        <v>229</v>
      </c>
      <c r="E279" s="188">
        <v>3.5</v>
      </c>
      <c r="F279" s="189" t="str">
        <f t="shared" si="55"/>
        <v>-</v>
      </c>
      <c r="G279" s="188">
        <v>2.5</v>
      </c>
      <c r="H279" s="189">
        <f t="shared" si="55"/>
        <v>-1</v>
      </c>
      <c r="I279" s="188">
        <v>3.2222222222222223</v>
      </c>
      <c r="J279" s="189">
        <f t="shared" si="55"/>
        <v>0.72222222222222232</v>
      </c>
      <c r="K279" s="188">
        <v>1</v>
      </c>
      <c r="L279" s="189">
        <f t="shared" si="56"/>
        <v>-2.2222222222222223</v>
      </c>
      <c r="M279" s="188"/>
      <c r="N279" s="189"/>
    </row>
    <row r="280" spans="2:14" x14ac:dyDescent="0.25">
      <c r="B280" s="118" t="s">
        <v>87</v>
      </c>
      <c r="C280" s="188">
        <v>1</v>
      </c>
      <c r="D280" s="189">
        <v>-2.8571428571428572</v>
      </c>
      <c r="E280" s="188">
        <v>3.3333333333333335</v>
      </c>
      <c r="F280" s="189">
        <f t="shared" si="55"/>
        <v>2.3333333333333335</v>
      </c>
      <c r="G280" s="188">
        <v>2.4</v>
      </c>
      <c r="H280" s="189">
        <f t="shared" si="55"/>
        <v>-0.93333333333333357</v>
      </c>
      <c r="I280" s="188">
        <v>2.4285714285714284</v>
      </c>
      <c r="J280" s="189">
        <f t="shared" si="55"/>
        <v>2.857142857142847E-2</v>
      </c>
      <c r="K280" s="188">
        <v>4.5999999999999996</v>
      </c>
      <c r="L280" s="189">
        <f t="shared" si="56"/>
        <v>2.1714285714285713</v>
      </c>
      <c r="M280" s="188"/>
      <c r="N280" s="189"/>
    </row>
    <row r="281" spans="2:14" x14ac:dyDescent="0.25">
      <c r="B281" s="118" t="s">
        <v>89</v>
      </c>
      <c r="C281" s="188">
        <v>3</v>
      </c>
      <c r="D281" s="189" t="s">
        <v>229</v>
      </c>
      <c r="E281" s="188">
        <v>1.7</v>
      </c>
      <c r="F281" s="189">
        <f t="shared" si="55"/>
        <v>-1.3</v>
      </c>
      <c r="G281" s="188">
        <v>1.3333333333333333</v>
      </c>
      <c r="H281" s="189">
        <f t="shared" si="55"/>
        <v>-0.3666666666666667</v>
      </c>
      <c r="I281" s="188">
        <v>3.3333333333333335</v>
      </c>
      <c r="J281" s="189">
        <f t="shared" si="55"/>
        <v>2</v>
      </c>
      <c r="K281" s="188">
        <v>2.4</v>
      </c>
      <c r="L281" s="189">
        <f t="shared" si="56"/>
        <v>-0.93333333333333357</v>
      </c>
      <c r="M281" s="188"/>
      <c r="N281" s="189"/>
    </row>
    <row r="282" spans="2:14" x14ac:dyDescent="0.25">
      <c r="B282" s="118" t="s">
        <v>91</v>
      </c>
      <c r="C282" s="188">
        <v>1.5</v>
      </c>
      <c r="D282" s="189">
        <v>-0.68181818181818166</v>
      </c>
      <c r="E282" s="188">
        <v>1.75</v>
      </c>
      <c r="F282" s="189">
        <f t="shared" si="55"/>
        <v>0.25</v>
      </c>
      <c r="G282" s="188">
        <v>1.8181818181818181</v>
      </c>
      <c r="H282" s="189">
        <f t="shared" si="55"/>
        <v>6.8181818181818121E-2</v>
      </c>
      <c r="I282" s="188">
        <v>1.625</v>
      </c>
      <c r="J282" s="189">
        <f t="shared" si="55"/>
        <v>-0.19318181818181812</v>
      </c>
      <c r="K282" s="188">
        <v>4.6923076923076925</v>
      </c>
      <c r="L282" s="189">
        <f t="shared" si="56"/>
        <v>3.0673076923076925</v>
      </c>
      <c r="M282" s="188"/>
      <c r="N282" s="189"/>
    </row>
    <row r="283" spans="2:14" x14ac:dyDescent="0.25">
      <c r="B283" s="118" t="s">
        <v>93</v>
      </c>
      <c r="C283" s="188">
        <v>1.6666666666666667</v>
      </c>
      <c r="D283" s="189">
        <v>-0.88172043010752676</v>
      </c>
      <c r="E283" s="188">
        <v>3.4615384615384617</v>
      </c>
      <c r="F283" s="189">
        <f t="shared" si="55"/>
        <v>1.7948717948717949</v>
      </c>
      <c r="G283" s="188">
        <v>3</v>
      </c>
      <c r="H283" s="189">
        <f t="shared" si="55"/>
        <v>-0.46153846153846168</v>
      </c>
      <c r="I283" s="188">
        <v>3.03125</v>
      </c>
      <c r="J283" s="189">
        <f t="shared" si="55"/>
        <v>3.125E-2</v>
      </c>
      <c r="K283" s="188">
        <v>2.6764705882352939</v>
      </c>
      <c r="L283" s="189">
        <f t="shared" si="56"/>
        <v>-0.35477941176470607</v>
      </c>
      <c r="M283" s="188"/>
      <c r="N283" s="189"/>
    </row>
    <row r="284" spans="2:14" x14ac:dyDescent="0.25">
      <c r="B284" s="118" t="s">
        <v>95</v>
      </c>
      <c r="C284" s="188">
        <v>2</v>
      </c>
      <c r="D284" s="189">
        <v>-0.68292682926829285</v>
      </c>
      <c r="E284" s="188">
        <v>2.625</v>
      </c>
      <c r="F284" s="189">
        <f t="shared" si="55"/>
        <v>0.625</v>
      </c>
      <c r="G284" s="188">
        <v>2.6857142857142855</v>
      </c>
      <c r="H284" s="189">
        <f t="shared" si="55"/>
        <v>6.0714285714285499E-2</v>
      </c>
      <c r="I284" s="188">
        <v>4.59375</v>
      </c>
      <c r="J284" s="189">
        <f t="shared" si="55"/>
        <v>1.9080357142857145</v>
      </c>
      <c r="K284" s="188">
        <v>3.8095238095238093</v>
      </c>
      <c r="L284" s="189">
        <f t="shared" si="56"/>
        <v>-0.78422619047619069</v>
      </c>
      <c r="M284" s="188"/>
      <c r="N284" s="189"/>
    </row>
    <row r="285" spans="2:14" ht="15.75" x14ac:dyDescent="0.25">
      <c r="B285" s="121" t="s">
        <v>32</v>
      </c>
      <c r="C285" s="190">
        <v>2.9101123595505616</v>
      </c>
      <c r="D285" s="191">
        <v>0.33077656619262807</v>
      </c>
      <c r="E285" s="190">
        <v>2.6979166666666665</v>
      </c>
      <c r="F285" s="191">
        <f t="shared" si="55"/>
        <v>-0.21219569288389506</v>
      </c>
      <c r="G285" s="190">
        <v>2.2916666666666665</v>
      </c>
      <c r="H285" s="191">
        <f t="shared" si="55"/>
        <v>-0.40625</v>
      </c>
      <c r="I285" s="190">
        <v>3.5185185185185186</v>
      </c>
      <c r="J285" s="191">
        <f t="shared" si="55"/>
        <v>1.2268518518518521</v>
      </c>
      <c r="K285" s="190">
        <v>3.2395833333333335</v>
      </c>
      <c r="L285" s="191">
        <f t="shared" si="56"/>
        <v>-0.27893518518518512</v>
      </c>
      <c r="M285" s="190">
        <v>3.0279720279720279</v>
      </c>
      <c r="N285" s="191">
        <v>-7.3914764480802475E-2</v>
      </c>
    </row>
    <row r="286" spans="2:14" ht="6" customHeight="1" x14ac:dyDescent="0.25"/>
    <row r="287" spans="2:14" x14ac:dyDescent="0.25">
      <c r="B287" s="107" t="s">
        <v>57</v>
      </c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</row>
    <row r="288" spans="2:14" x14ac:dyDescent="0.25">
      <c r="C288" s="124"/>
      <c r="K288" s="124"/>
      <c r="N288" s="81"/>
    </row>
    <row r="290" spans="3:13" x14ac:dyDescent="0.25">
      <c r="C290" s="81"/>
      <c r="E290" s="81"/>
      <c r="G290" s="81"/>
      <c r="I290" s="81"/>
      <c r="K290" s="81"/>
      <c r="M290" s="81"/>
    </row>
  </sheetData>
  <mergeCells count="104">
    <mergeCell ref="B268:N268"/>
    <mergeCell ref="C270:N270"/>
    <mergeCell ref="C271:D271"/>
    <mergeCell ref="E271:F271"/>
    <mergeCell ref="G271:H271"/>
    <mergeCell ref="I271:J271"/>
    <mergeCell ref="K271:L271"/>
    <mergeCell ref="M271:N271"/>
    <mergeCell ref="B246:N246"/>
    <mergeCell ref="C248:N248"/>
    <mergeCell ref="C249:D249"/>
    <mergeCell ref="E249:F249"/>
    <mergeCell ref="G249:H249"/>
    <mergeCell ref="I249:J249"/>
    <mergeCell ref="K249:L249"/>
    <mergeCell ref="M249:N249"/>
    <mergeCell ref="B224:N224"/>
    <mergeCell ref="C226:N226"/>
    <mergeCell ref="C227:D227"/>
    <mergeCell ref="E227:F227"/>
    <mergeCell ref="G227:H227"/>
    <mergeCell ref="I227:J227"/>
    <mergeCell ref="K227:L227"/>
    <mergeCell ref="M227:N227"/>
    <mergeCell ref="B202:N202"/>
    <mergeCell ref="C204:N204"/>
    <mergeCell ref="C205:D205"/>
    <mergeCell ref="E205:F205"/>
    <mergeCell ref="G205:H205"/>
    <mergeCell ref="I205:J205"/>
    <mergeCell ref="K205:L205"/>
    <mergeCell ref="M205:N205"/>
    <mergeCell ref="B180:N180"/>
    <mergeCell ref="C182:N182"/>
    <mergeCell ref="C183:D183"/>
    <mergeCell ref="E183:F183"/>
    <mergeCell ref="G183:H183"/>
    <mergeCell ref="I183:J183"/>
    <mergeCell ref="K183:L183"/>
    <mergeCell ref="M183:N183"/>
    <mergeCell ref="B158:N158"/>
    <mergeCell ref="C160:N160"/>
    <mergeCell ref="C161:D161"/>
    <mergeCell ref="E161:F161"/>
    <mergeCell ref="G161:H161"/>
    <mergeCell ref="I161:J161"/>
    <mergeCell ref="K161:L161"/>
    <mergeCell ref="M161:N161"/>
    <mergeCell ref="B136:N136"/>
    <mergeCell ref="C138:N138"/>
    <mergeCell ref="C139:D139"/>
    <mergeCell ref="E139:F139"/>
    <mergeCell ref="G139:H139"/>
    <mergeCell ref="I139:J139"/>
    <mergeCell ref="K139:L139"/>
    <mergeCell ref="M139:N139"/>
    <mergeCell ref="B114:N114"/>
    <mergeCell ref="C116:N116"/>
    <mergeCell ref="C117:D117"/>
    <mergeCell ref="E117:F117"/>
    <mergeCell ref="G117:H117"/>
    <mergeCell ref="I117:J117"/>
    <mergeCell ref="K117:L117"/>
    <mergeCell ref="M117:N117"/>
    <mergeCell ref="B92:N92"/>
    <mergeCell ref="C94:N94"/>
    <mergeCell ref="C95:D95"/>
    <mergeCell ref="E95:F95"/>
    <mergeCell ref="G95:H95"/>
    <mergeCell ref="I95:J95"/>
    <mergeCell ref="K95:L95"/>
    <mergeCell ref="M95:N95"/>
    <mergeCell ref="B70:N70"/>
    <mergeCell ref="C72:N72"/>
    <mergeCell ref="C73:D73"/>
    <mergeCell ref="E73:F73"/>
    <mergeCell ref="G73:H73"/>
    <mergeCell ref="I73:J73"/>
    <mergeCell ref="K73:L73"/>
    <mergeCell ref="M73:N73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  <mergeCell ref="B48:N48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6F1FF-406A-4F68-81E1-FA2AEF27D9AC}">
  <sheetPr>
    <tabColor theme="4" tint="0.79998168889431442"/>
  </sheetPr>
  <dimension ref="A4:O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13" width="11.42578125" style="193"/>
    <col min="14" max="14" width="13.5703125" style="193" bestFit="1" customWidth="1"/>
  </cols>
  <sheetData>
    <row r="4" spans="1:15" ht="48.75" customHeight="1" thickBot="1" x14ac:dyDescent="0.3">
      <c r="B4" s="278" t="s">
        <v>286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1" t="s">
        <v>68</v>
      </c>
    </row>
    <row r="5" spans="1:15" ht="10.5" customHeight="1" thickBot="1" x14ac:dyDescent="0.3">
      <c r="B5" s="108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39"/>
      <c r="N5" s="39"/>
      <c r="O5" s="1" t="s">
        <v>69</v>
      </c>
    </row>
    <row r="6" spans="1:15" ht="22.5" thickTop="1" thickBot="1" x14ac:dyDescent="0.3">
      <c r="B6" s="110" t="s">
        <v>32</v>
      </c>
      <c r="C6" s="313" t="s">
        <v>134</v>
      </c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</row>
    <row r="7" spans="1:15" ht="22.5" thickTop="1" thickBot="1" x14ac:dyDescent="0.3">
      <c r="B7" s="111"/>
      <c r="C7" s="305">
        <v>2020</v>
      </c>
      <c r="D7" s="306"/>
      <c r="E7" s="307">
        <v>2021</v>
      </c>
      <c r="F7" s="306"/>
      <c r="G7" s="307">
        <v>2022</v>
      </c>
      <c r="H7" s="306"/>
      <c r="I7" s="307">
        <v>2023</v>
      </c>
      <c r="J7" s="306"/>
      <c r="K7" s="307">
        <v>2024</v>
      </c>
      <c r="L7" s="306"/>
      <c r="M7" s="307">
        <v>2025</v>
      </c>
      <c r="N7" s="308"/>
    </row>
    <row r="8" spans="1:15" ht="16.5" thickTop="1" thickBot="1" x14ac:dyDescent="0.3">
      <c r="B8" s="87"/>
      <c r="C8" s="115" t="s">
        <v>71</v>
      </c>
      <c r="D8" s="116" t="str">
        <f>CONCATENATE("dif ",RIGHT(C7,2),"/",RIGHT(C7-1,2))</f>
        <v>dif 20/19</v>
      </c>
      <c r="E8" s="117" t="s">
        <v>71</v>
      </c>
      <c r="F8" s="116" t="str">
        <f>CONCATENATE("dif ",RIGHT(E7,2),"/",RIGHT(C7,2))</f>
        <v>dif 21/20</v>
      </c>
      <c r="G8" s="117" t="s">
        <v>71</v>
      </c>
      <c r="H8" s="116" t="str">
        <f>CONCATENATE("dif ",RIGHT(G7,2),"/",RIGHT(E7,2))</f>
        <v>dif 22/21</v>
      </c>
      <c r="I8" s="117" t="s">
        <v>71</v>
      </c>
      <c r="J8" s="116" t="str">
        <f>CONCATENATE("dif ",RIGHT(I7,2),"/",RIGHT(G7,2))</f>
        <v>dif 23/22</v>
      </c>
      <c r="K8" s="117" t="s">
        <v>71</v>
      </c>
      <c r="L8" s="116" t="str">
        <f>CONCATENATE("dif ",RIGHT(K7,2),"/",RIGHT(I7,2))</f>
        <v>dif 24/23</v>
      </c>
      <c r="M8" s="117" t="s">
        <v>71</v>
      </c>
      <c r="N8" s="116" t="str">
        <f>CONCATENATE("def ",RIGHT(M7,2),"/",RIGHT(K7,2))</f>
        <v>def 25/24</v>
      </c>
    </row>
    <row r="9" spans="1:15" x14ac:dyDescent="0.25">
      <c r="A9" s="1" t="s">
        <v>72</v>
      </c>
      <c r="B9" s="118" t="s">
        <v>73</v>
      </c>
      <c r="C9" s="188">
        <v>2.6174716182412929</v>
      </c>
      <c r="D9" s="189">
        <v>-1.8024564964814083E-2</v>
      </c>
      <c r="E9" s="188">
        <v>2.4109947643979059</v>
      </c>
      <c r="F9" s="189">
        <f t="shared" ref="F9:J21" si="0">IFERROR(E9-C9,"-")</f>
        <v>-0.20647685384338699</v>
      </c>
      <c r="G9" s="188">
        <v>3.2322086759285513</v>
      </c>
      <c r="H9" s="189">
        <f t="shared" si="0"/>
        <v>0.82121391153064538</v>
      </c>
      <c r="I9" s="188">
        <v>2.6628942486085343</v>
      </c>
      <c r="J9" s="189">
        <f t="shared" si="0"/>
        <v>-0.56931442732001702</v>
      </c>
      <c r="K9" s="188">
        <v>2.7949012842629863</v>
      </c>
      <c r="L9" s="189">
        <f t="shared" ref="L9:L21" si="1">IFERROR(K9-I9,"-")</f>
        <v>0.13200703565445204</v>
      </c>
      <c r="M9" s="188">
        <v>2.6840519676143852</v>
      </c>
      <c r="N9" s="189">
        <f t="shared" ref="N9:N14" si="2">IFERROR(M9-K9,"-")</f>
        <v>-0.11084931664860109</v>
      </c>
    </row>
    <row r="10" spans="1:15" x14ac:dyDescent="0.25">
      <c r="A10" s="1" t="s">
        <v>74</v>
      </c>
      <c r="B10" s="118" t="s">
        <v>75</v>
      </c>
      <c r="C10" s="188">
        <v>2.6762455682030231</v>
      </c>
      <c r="D10" s="189">
        <v>-4.9792932303562409E-2</v>
      </c>
      <c r="E10" s="188">
        <v>2.2361010830324908</v>
      </c>
      <c r="F10" s="189">
        <f t="shared" si="0"/>
        <v>-0.44014448517053228</v>
      </c>
      <c r="G10" s="188">
        <v>2.7251615992338998</v>
      </c>
      <c r="H10" s="189">
        <f t="shared" si="0"/>
        <v>0.489060516201409</v>
      </c>
      <c r="I10" s="188">
        <v>2.7041745730550284</v>
      </c>
      <c r="J10" s="189">
        <f t="shared" si="0"/>
        <v>-2.0987026178871382E-2</v>
      </c>
      <c r="K10" s="188">
        <v>3.1517801374141161</v>
      </c>
      <c r="L10" s="189">
        <f t="shared" si="1"/>
        <v>0.44760556435908772</v>
      </c>
      <c r="M10" s="188">
        <v>3.1261325703385787</v>
      </c>
      <c r="N10" s="189">
        <f t="shared" si="2"/>
        <v>-2.5647567075537392E-2</v>
      </c>
    </row>
    <row r="11" spans="1:15" x14ac:dyDescent="0.25">
      <c r="A11" s="1" t="s">
        <v>76</v>
      </c>
      <c r="B11" s="118" t="s">
        <v>77</v>
      </c>
      <c r="C11" s="188">
        <v>2.599636032757052</v>
      </c>
      <c r="D11" s="189">
        <v>-0.10626917314815376</v>
      </c>
      <c r="E11" s="188">
        <v>2.167395104895105</v>
      </c>
      <c r="F11" s="189">
        <f t="shared" si="0"/>
        <v>-0.43224092786194701</v>
      </c>
      <c r="G11" s="188">
        <v>2.6814345991561179</v>
      </c>
      <c r="H11" s="189">
        <f t="shared" si="0"/>
        <v>0.51403949426101292</v>
      </c>
      <c r="I11" s="188">
        <v>2.7572009188902631</v>
      </c>
      <c r="J11" s="189">
        <f t="shared" si="0"/>
        <v>7.576631973414516E-2</v>
      </c>
      <c r="K11" s="188">
        <v>2.9589783281733748</v>
      </c>
      <c r="L11" s="189">
        <f t="shared" si="1"/>
        <v>0.20177740928311172</v>
      </c>
      <c r="M11" s="188">
        <v>2.6383377012354923</v>
      </c>
      <c r="N11" s="189">
        <f t="shared" si="2"/>
        <v>-0.32064062693788253</v>
      </c>
    </row>
    <row r="12" spans="1:15" x14ac:dyDescent="0.25">
      <c r="A12" s="1" t="s">
        <v>78</v>
      </c>
      <c r="B12" s="118" t="s">
        <v>79</v>
      </c>
      <c r="C12" s="188" t="s">
        <v>229</v>
      </c>
      <c r="D12" s="189" t="s">
        <v>229</v>
      </c>
      <c r="E12" s="188">
        <v>2.2338797814207649</v>
      </c>
      <c r="F12" s="189" t="str">
        <f t="shared" si="0"/>
        <v>-</v>
      </c>
      <c r="G12" s="188">
        <v>2.9921472392638035</v>
      </c>
      <c r="H12" s="189">
        <f t="shared" si="0"/>
        <v>0.75826745784303862</v>
      </c>
      <c r="I12" s="188">
        <v>2.4570599613152804</v>
      </c>
      <c r="J12" s="189">
        <f t="shared" si="0"/>
        <v>-0.53508727794852318</v>
      </c>
      <c r="K12" s="188">
        <v>2.6590819153146024</v>
      </c>
      <c r="L12" s="189">
        <f t="shared" si="1"/>
        <v>0.20202195399932199</v>
      </c>
      <c r="M12" s="188">
        <v>2.7806406685236769</v>
      </c>
      <c r="N12" s="189">
        <f t="shared" si="2"/>
        <v>0.1215587532090745</v>
      </c>
    </row>
    <row r="13" spans="1:15" x14ac:dyDescent="0.25">
      <c r="A13" s="1" t="s">
        <v>80</v>
      </c>
      <c r="B13" s="118" t="s">
        <v>81</v>
      </c>
      <c r="C13" s="188" t="s">
        <v>229</v>
      </c>
      <c r="D13" s="189" t="s">
        <v>229</v>
      </c>
      <c r="E13" s="188">
        <v>2.1226024821361413</v>
      </c>
      <c r="F13" s="189" t="str">
        <f t="shared" si="0"/>
        <v>-</v>
      </c>
      <c r="G13" s="188">
        <v>2.77670704845815</v>
      </c>
      <c r="H13" s="189">
        <f t="shared" si="0"/>
        <v>0.65410456632200864</v>
      </c>
      <c r="I13" s="188">
        <v>2.5519648912826649</v>
      </c>
      <c r="J13" s="189">
        <f t="shared" si="0"/>
        <v>-0.22474215717548507</v>
      </c>
      <c r="K13" s="188">
        <v>2.5066105769230771</v>
      </c>
      <c r="L13" s="189">
        <f t="shared" si="1"/>
        <v>-4.5354314359587811E-2</v>
      </c>
      <c r="M13" s="188">
        <v>2.6832733093237295</v>
      </c>
      <c r="N13" s="189">
        <f t="shared" si="2"/>
        <v>0.17666273240065244</v>
      </c>
    </row>
    <row r="14" spans="1:15" x14ac:dyDescent="0.25">
      <c r="A14" s="1" t="s">
        <v>82</v>
      </c>
      <c r="B14" s="118" t="s">
        <v>83</v>
      </c>
      <c r="C14" s="188" t="s">
        <v>229</v>
      </c>
      <c r="D14" s="189" t="s">
        <v>229</v>
      </c>
      <c r="E14" s="188">
        <v>2.2000801924619084</v>
      </c>
      <c r="F14" s="189" t="str">
        <f t="shared" si="0"/>
        <v>-</v>
      </c>
      <c r="G14" s="188">
        <v>2.4949115044247789</v>
      </c>
      <c r="H14" s="189">
        <f t="shared" si="0"/>
        <v>0.29483131196287049</v>
      </c>
      <c r="I14" s="188">
        <v>2.4809854101889499</v>
      </c>
      <c r="J14" s="189">
        <f t="shared" si="0"/>
        <v>-1.3926094235829023E-2</v>
      </c>
      <c r="K14" s="188">
        <v>2.5517154389505552</v>
      </c>
      <c r="L14" s="189">
        <f t="shared" si="1"/>
        <v>7.0730028761605279E-2</v>
      </c>
      <c r="M14" s="188">
        <v>2.8302986161689732</v>
      </c>
      <c r="N14" s="189">
        <f t="shared" si="2"/>
        <v>0.27858317721841797</v>
      </c>
    </row>
    <row r="15" spans="1:15" x14ac:dyDescent="0.25">
      <c r="A15" s="1" t="s">
        <v>84</v>
      </c>
      <c r="B15" s="118" t="s">
        <v>85</v>
      </c>
      <c r="C15" s="188" t="s">
        <v>229</v>
      </c>
      <c r="D15" s="189" t="s">
        <v>229</v>
      </c>
      <c r="E15" s="188">
        <v>2.3360790774299836</v>
      </c>
      <c r="F15" s="189" t="str">
        <f t="shared" si="0"/>
        <v>-</v>
      </c>
      <c r="G15" s="188">
        <v>2.5052631578947366</v>
      </c>
      <c r="H15" s="189">
        <f t="shared" si="0"/>
        <v>0.16918408046475308</v>
      </c>
      <c r="I15" s="188">
        <v>2.2105990783410139</v>
      </c>
      <c r="J15" s="189">
        <f t="shared" si="0"/>
        <v>-0.29466407955372276</v>
      </c>
      <c r="K15" s="188">
        <v>2.2077073807968648</v>
      </c>
      <c r="L15" s="189">
        <f t="shared" si="1"/>
        <v>-2.8916975441490855E-3</v>
      </c>
      <c r="M15" s="188"/>
      <c r="N15" s="189"/>
    </row>
    <row r="16" spans="1:15" x14ac:dyDescent="0.25">
      <c r="A16" s="1" t="s">
        <v>86</v>
      </c>
      <c r="B16" s="118" t="s">
        <v>87</v>
      </c>
      <c r="C16" s="188">
        <v>2.499459848757652</v>
      </c>
      <c r="D16" s="189">
        <v>0.32659695508017172</v>
      </c>
      <c r="E16" s="188">
        <v>2.9317173096620008</v>
      </c>
      <c r="F16" s="189">
        <f t="shared" si="0"/>
        <v>0.4322574609043488</v>
      </c>
      <c r="G16" s="188">
        <v>2.6119023397761953</v>
      </c>
      <c r="H16" s="189">
        <f t="shared" si="0"/>
        <v>-0.31981496988580549</v>
      </c>
      <c r="I16" s="188">
        <v>2.5556512378902045</v>
      </c>
      <c r="J16" s="189">
        <f t="shared" si="0"/>
        <v>-5.6251101885990806E-2</v>
      </c>
      <c r="K16" s="188">
        <v>3.1938599517074855</v>
      </c>
      <c r="L16" s="189">
        <f t="shared" si="1"/>
        <v>0.63820871381728095</v>
      </c>
      <c r="M16" s="188"/>
      <c r="N16" s="189"/>
    </row>
    <row r="17" spans="1:15" x14ac:dyDescent="0.25">
      <c r="A17" s="1" t="s">
        <v>88</v>
      </c>
      <c r="B17" s="118" t="s">
        <v>89</v>
      </c>
      <c r="C17" s="188">
        <v>2.135487528344671</v>
      </c>
      <c r="D17" s="189">
        <v>4.8655716089129886E-2</v>
      </c>
      <c r="E17" s="188">
        <v>2.452733776188043</v>
      </c>
      <c r="F17" s="189">
        <f t="shared" si="0"/>
        <v>0.31724624784337196</v>
      </c>
      <c r="G17" s="188">
        <v>2.3955875928352994</v>
      </c>
      <c r="H17" s="189">
        <f t="shared" si="0"/>
        <v>-5.7146183352743574E-2</v>
      </c>
      <c r="I17" s="188">
        <v>2.3459411634594116</v>
      </c>
      <c r="J17" s="189">
        <f t="shared" si="0"/>
        <v>-4.9646429375887813E-2</v>
      </c>
      <c r="K17" s="188">
        <v>2.2301946137212503</v>
      </c>
      <c r="L17" s="189">
        <f t="shared" si="1"/>
        <v>-0.11574654973816134</v>
      </c>
      <c r="M17" s="188"/>
      <c r="N17" s="189"/>
    </row>
    <row r="18" spans="1:15" x14ac:dyDescent="0.25">
      <c r="A18" s="1" t="s">
        <v>90</v>
      </c>
      <c r="B18" s="118" t="s">
        <v>91</v>
      </c>
      <c r="C18" s="188">
        <v>2.0425170068027212</v>
      </c>
      <c r="D18" s="189">
        <v>-0.23159032695823667</v>
      </c>
      <c r="E18" s="188">
        <v>2.9937869822485208</v>
      </c>
      <c r="F18" s="189">
        <f t="shared" si="0"/>
        <v>0.95126997544579961</v>
      </c>
      <c r="G18" s="188">
        <v>2.8807453416149067</v>
      </c>
      <c r="H18" s="189">
        <f t="shared" si="0"/>
        <v>-0.1130416406336141</v>
      </c>
      <c r="I18" s="188">
        <v>2.5134645847476804</v>
      </c>
      <c r="J18" s="189">
        <f t="shared" si="0"/>
        <v>-0.36728075686722628</v>
      </c>
      <c r="K18" s="188">
        <v>2.4775360845700347</v>
      </c>
      <c r="L18" s="189">
        <f t="shared" si="1"/>
        <v>-3.5928500177645706E-2</v>
      </c>
      <c r="M18" s="188"/>
      <c r="N18" s="189"/>
    </row>
    <row r="19" spans="1:15" x14ac:dyDescent="0.25">
      <c r="A19" s="1" t="s">
        <v>92</v>
      </c>
      <c r="B19" s="118" t="s">
        <v>93</v>
      </c>
      <c r="C19" s="188">
        <v>2.0164492342597846</v>
      </c>
      <c r="D19" s="189">
        <v>-0.33604246009237482</v>
      </c>
      <c r="E19" s="188">
        <v>2.7396582733812949</v>
      </c>
      <c r="F19" s="189">
        <f t="shared" si="0"/>
        <v>0.72320903912151024</v>
      </c>
      <c r="G19" s="188">
        <v>2.6980157089706491</v>
      </c>
      <c r="H19" s="189">
        <f t="shared" si="0"/>
        <v>-4.1642564410645733E-2</v>
      </c>
      <c r="I19" s="188">
        <v>2.6623690572119258</v>
      </c>
      <c r="J19" s="189">
        <f t="shared" si="0"/>
        <v>-3.564665175872328E-2</v>
      </c>
      <c r="K19" s="188">
        <v>2.7401171303074672</v>
      </c>
      <c r="L19" s="189">
        <f t="shared" si="1"/>
        <v>7.7748073095541326E-2</v>
      </c>
      <c r="M19" s="188"/>
      <c r="N19" s="189"/>
    </row>
    <row r="20" spans="1:15" x14ac:dyDescent="0.25">
      <c r="A20" s="1" t="s">
        <v>94</v>
      </c>
      <c r="B20" s="118" t="s">
        <v>95</v>
      </c>
      <c r="C20" s="188">
        <v>2.2569676700111483</v>
      </c>
      <c r="D20" s="189">
        <v>-7.0529686937881308E-4</v>
      </c>
      <c r="E20" s="188">
        <v>2.4653312788906008</v>
      </c>
      <c r="F20" s="189">
        <f t="shared" si="0"/>
        <v>0.20836360887945249</v>
      </c>
      <c r="G20" s="188">
        <v>2.3449477351916377</v>
      </c>
      <c r="H20" s="189">
        <f t="shared" si="0"/>
        <v>-0.12038354369896309</v>
      </c>
      <c r="I20" s="188">
        <v>2.587568157033806</v>
      </c>
      <c r="J20" s="189">
        <f t="shared" si="0"/>
        <v>0.24262042184216837</v>
      </c>
      <c r="K20" s="188">
        <v>2.5476281560826322</v>
      </c>
      <c r="L20" s="189">
        <f t="shared" si="1"/>
        <v>-3.9940000951173893E-2</v>
      </c>
      <c r="M20" s="188"/>
      <c r="N20" s="189"/>
    </row>
    <row r="21" spans="1:15" ht="15.75" x14ac:dyDescent="0.25">
      <c r="A21" s="1" t="s">
        <v>0</v>
      </c>
      <c r="B21" s="121" t="s">
        <v>32</v>
      </c>
      <c r="C21" s="190">
        <v>2.437843193922629</v>
      </c>
      <c r="D21" s="191">
        <v>2.1067972650881117E-3</v>
      </c>
      <c r="E21" s="190">
        <v>2.4937806482478173</v>
      </c>
      <c r="F21" s="191">
        <f t="shared" si="0"/>
        <v>5.5937454325188263E-2</v>
      </c>
      <c r="G21" s="190">
        <v>2.6756725259784404</v>
      </c>
      <c r="H21" s="191">
        <f t="shared" si="0"/>
        <v>0.1818918777306231</v>
      </c>
      <c r="I21" s="190">
        <v>2.5505786061867015</v>
      </c>
      <c r="J21" s="191">
        <f t="shared" si="0"/>
        <v>-0.12509391979173889</v>
      </c>
      <c r="K21" s="190">
        <v>2.6538649194953647</v>
      </c>
      <c r="L21" s="191">
        <f t="shared" si="1"/>
        <v>0.10328631330866322</v>
      </c>
      <c r="M21" s="190">
        <v>2.7768817204301075</v>
      </c>
      <c r="N21" s="191">
        <v>4.7690702043912125E-5</v>
      </c>
    </row>
    <row r="22" spans="1:15" ht="6" customHeight="1" x14ac:dyDescent="0.25"/>
    <row r="23" spans="1:15" x14ac:dyDescent="0.25">
      <c r="B23" s="107" t="s">
        <v>57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</row>
    <row r="24" spans="1:15" x14ac:dyDescent="0.25">
      <c r="N24" s="195"/>
    </row>
    <row r="26" spans="1:15" ht="48.75" customHeight="1" thickBot="1" x14ac:dyDescent="0.3">
      <c r="B26" s="278" t="s">
        <v>298</v>
      </c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1" t="s">
        <v>96</v>
      </c>
    </row>
    <row r="27" spans="1:15" ht="10.5" customHeight="1" thickBot="1" x14ac:dyDescent="0.3">
      <c r="B27" s="108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39"/>
      <c r="N27" s="39"/>
      <c r="O27" s="1" t="s">
        <v>97</v>
      </c>
    </row>
    <row r="28" spans="1:15" ht="22.5" thickTop="1" thickBot="1" x14ac:dyDescent="0.3">
      <c r="B28" s="125" t="s">
        <v>98</v>
      </c>
      <c r="C28" s="313" t="s">
        <v>139</v>
      </c>
      <c r="D28" s="314"/>
      <c r="E28" s="314"/>
      <c r="F28" s="314"/>
      <c r="G28" s="314"/>
      <c r="H28" s="314"/>
      <c r="I28" s="314"/>
      <c r="J28" s="314"/>
      <c r="K28" s="314"/>
      <c r="L28" s="314"/>
      <c r="M28" s="314"/>
      <c r="N28" s="314"/>
    </row>
    <row r="29" spans="1:15" ht="22.5" thickTop="1" thickBot="1" x14ac:dyDescent="0.3">
      <c r="B29" s="111"/>
      <c r="C29" s="305">
        <v>2020</v>
      </c>
      <c r="D29" s="306"/>
      <c r="E29" s="307">
        <v>2021</v>
      </c>
      <c r="F29" s="306"/>
      <c r="G29" s="307">
        <v>2022</v>
      </c>
      <c r="H29" s="306"/>
      <c r="I29" s="307">
        <v>2023</v>
      </c>
      <c r="J29" s="306"/>
      <c r="K29" s="307">
        <v>2024</v>
      </c>
      <c r="L29" s="306"/>
      <c r="M29" s="307">
        <f>M$7</f>
        <v>2025</v>
      </c>
      <c r="N29" s="308"/>
    </row>
    <row r="30" spans="1:15" ht="16.5" thickTop="1" thickBot="1" x14ac:dyDescent="0.3">
      <c r="B30" s="87"/>
      <c r="C30" s="115" t="s">
        <v>71</v>
      </c>
      <c r="D30" s="116" t="str">
        <f>CONCATENATE("dif ",RIGHT(C29,2),"/",RIGHT(C29-1,2))</f>
        <v>dif 20/19</v>
      </c>
      <c r="E30" s="117" t="s">
        <v>71</v>
      </c>
      <c r="F30" s="116" t="str">
        <f>CONCATENATE("dif ",RIGHT(E29,2),"/",RIGHT(C29,2))</f>
        <v>dif 21/20</v>
      </c>
      <c r="G30" s="117" t="s">
        <v>71</v>
      </c>
      <c r="H30" s="116" t="str">
        <f>CONCATENATE("dif ",RIGHT(G29,2),"/",RIGHT(E29,2))</f>
        <v>dif 22/21</v>
      </c>
      <c r="I30" s="117" t="s">
        <v>71</v>
      </c>
      <c r="J30" s="116" t="str">
        <f>CONCATENATE("dif ",RIGHT(I29,2),"/",RIGHT(G29,2))</f>
        <v>dif 23/22</v>
      </c>
      <c r="K30" s="117" t="s">
        <v>71</v>
      </c>
      <c r="L30" s="116" t="str">
        <f>CONCATENATE("dif ",RIGHT(K29,2),"/",RIGHT(I29,2))</f>
        <v>dif 24/23</v>
      </c>
      <c r="M30" s="117" t="s">
        <v>71</v>
      </c>
      <c r="N30" s="116" t="str">
        <f>CONCATENATE("def ",RIGHT(M29,2),"/",RIGHT(K29,2))</f>
        <v>def 25/24</v>
      </c>
    </row>
    <row r="31" spans="1:15" x14ac:dyDescent="0.25">
      <c r="B31" s="118" t="s">
        <v>73</v>
      </c>
      <c r="C31" s="188">
        <v>2.6174716182412929</v>
      </c>
      <c r="D31" s="189">
        <v>-1.8024564964814083E-2</v>
      </c>
      <c r="E31" s="188">
        <v>2.4109947643979059</v>
      </c>
      <c r="F31" s="189">
        <f t="shared" ref="F31:J43" si="3">IFERROR(E31-C31,"-")</f>
        <v>-0.20647685384338699</v>
      </c>
      <c r="G31" s="188">
        <v>3.2322086759285513</v>
      </c>
      <c r="H31" s="189">
        <f t="shared" si="3"/>
        <v>0.82121391153064538</v>
      </c>
      <c r="I31" s="188">
        <v>2.6628942486085343</v>
      </c>
      <c r="J31" s="189">
        <f t="shared" si="3"/>
        <v>-0.56931442732001702</v>
      </c>
      <c r="K31" s="188">
        <v>2.7949012842629863</v>
      </c>
      <c r="L31" s="189">
        <f t="shared" ref="L31:L43" si="4">IFERROR(K31-I31,"-")</f>
        <v>0.13200703565445204</v>
      </c>
      <c r="M31" s="188">
        <v>2.6840519676143852</v>
      </c>
      <c r="N31" s="189">
        <f>IFERROR(M31-K31,"-")</f>
        <v>-0.11084931664860109</v>
      </c>
    </row>
    <row r="32" spans="1:15" x14ac:dyDescent="0.25">
      <c r="B32" s="118" t="s">
        <v>75</v>
      </c>
      <c r="C32" s="188">
        <v>2.6762455682030231</v>
      </c>
      <c r="D32" s="189">
        <v>-4.9792932303562409E-2</v>
      </c>
      <c r="E32" s="188">
        <v>2.2361010830324908</v>
      </c>
      <c r="F32" s="189">
        <f t="shared" si="3"/>
        <v>-0.44014448517053228</v>
      </c>
      <c r="G32" s="188">
        <v>2.7251615992338998</v>
      </c>
      <c r="H32" s="189">
        <f t="shared" si="3"/>
        <v>0.489060516201409</v>
      </c>
      <c r="I32" s="188">
        <v>2.7041745730550284</v>
      </c>
      <c r="J32" s="189">
        <f t="shared" si="3"/>
        <v>-2.0987026178871382E-2</v>
      </c>
      <c r="K32" s="188">
        <v>3.1517801374141161</v>
      </c>
      <c r="L32" s="189">
        <f t="shared" si="4"/>
        <v>0.44760556435908772</v>
      </c>
      <c r="M32" s="188">
        <v>3.1261325703385787</v>
      </c>
      <c r="N32" s="189">
        <f t="shared" ref="N32:N36" si="5">IFERROR(M32-K32,"-")</f>
        <v>-2.5647567075537392E-2</v>
      </c>
    </row>
    <row r="33" spans="2:15" x14ac:dyDescent="0.25">
      <c r="B33" s="118" t="s">
        <v>77</v>
      </c>
      <c r="C33" s="188">
        <v>2.599636032757052</v>
      </c>
      <c r="D33" s="189">
        <v>-0.10626917314815376</v>
      </c>
      <c r="E33" s="188">
        <v>2.167395104895105</v>
      </c>
      <c r="F33" s="189">
        <f t="shared" si="3"/>
        <v>-0.43224092786194701</v>
      </c>
      <c r="G33" s="188">
        <v>2.6814345991561179</v>
      </c>
      <c r="H33" s="189">
        <f t="shared" si="3"/>
        <v>0.51403949426101292</v>
      </c>
      <c r="I33" s="188">
        <v>2.7572009188902631</v>
      </c>
      <c r="J33" s="189">
        <f t="shared" si="3"/>
        <v>7.576631973414516E-2</v>
      </c>
      <c r="K33" s="188">
        <v>2.9589783281733748</v>
      </c>
      <c r="L33" s="189">
        <f t="shared" si="4"/>
        <v>0.20177740928311172</v>
      </c>
      <c r="M33" s="188">
        <v>2.6383377012354923</v>
      </c>
      <c r="N33" s="189">
        <f t="shared" si="5"/>
        <v>-0.32064062693788253</v>
      </c>
    </row>
    <row r="34" spans="2:15" x14ac:dyDescent="0.25">
      <c r="B34" s="118" t="s">
        <v>79</v>
      </c>
      <c r="C34" s="188" t="s">
        <v>229</v>
      </c>
      <c r="D34" s="189" t="s">
        <v>229</v>
      </c>
      <c r="E34" s="188">
        <v>2.2338797814207649</v>
      </c>
      <c r="F34" s="189" t="str">
        <f t="shared" si="3"/>
        <v>-</v>
      </c>
      <c r="G34" s="188">
        <v>2.9921472392638035</v>
      </c>
      <c r="H34" s="189">
        <f t="shared" si="3"/>
        <v>0.75826745784303862</v>
      </c>
      <c r="I34" s="188">
        <v>2.4570599613152804</v>
      </c>
      <c r="J34" s="189">
        <f t="shared" si="3"/>
        <v>-0.53508727794852318</v>
      </c>
      <c r="K34" s="188">
        <v>2.6590819153146024</v>
      </c>
      <c r="L34" s="189">
        <f t="shared" si="4"/>
        <v>0.20202195399932199</v>
      </c>
      <c r="M34" s="188">
        <v>2.7806406685236769</v>
      </c>
      <c r="N34" s="189">
        <f t="shared" si="5"/>
        <v>0.1215587532090745</v>
      </c>
    </row>
    <row r="35" spans="2:15" x14ac:dyDescent="0.25">
      <c r="B35" s="118" t="s">
        <v>81</v>
      </c>
      <c r="C35" s="188" t="s">
        <v>229</v>
      </c>
      <c r="D35" s="189" t="s">
        <v>229</v>
      </c>
      <c r="E35" s="188">
        <v>2.1226024821361413</v>
      </c>
      <c r="F35" s="189" t="str">
        <f t="shared" si="3"/>
        <v>-</v>
      </c>
      <c r="G35" s="188">
        <v>2.77670704845815</v>
      </c>
      <c r="H35" s="189">
        <f t="shared" si="3"/>
        <v>0.65410456632200864</v>
      </c>
      <c r="I35" s="188">
        <v>2.5519648912826649</v>
      </c>
      <c r="J35" s="189">
        <f t="shared" si="3"/>
        <v>-0.22474215717548507</v>
      </c>
      <c r="K35" s="188">
        <v>2.5066105769230771</v>
      </c>
      <c r="L35" s="189">
        <f t="shared" si="4"/>
        <v>-4.5354314359587811E-2</v>
      </c>
      <c r="M35" s="188">
        <v>2.6832733093237295</v>
      </c>
      <c r="N35" s="189">
        <f t="shared" si="5"/>
        <v>0.17666273240065244</v>
      </c>
    </row>
    <row r="36" spans="2:15" x14ac:dyDescent="0.25">
      <c r="B36" s="118" t="s">
        <v>83</v>
      </c>
      <c r="C36" s="188" t="s">
        <v>229</v>
      </c>
      <c r="D36" s="189" t="s">
        <v>229</v>
      </c>
      <c r="E36" s="188">
        <v>2.2000801924619084</v>
      </c>
      <c r="F36" s="189" t="str">
        <f t="shared" si="3"/>
        <v>-</v>
      </c>
      <c r="G36" s="188">
        <v>2.4949115044247789</v>
      </c>
      <c r="H36" s="189">
        <f t="shared" si="3"/>
        <v>0.29483131196287049</v>
      </c>
      <c r="I36" s="188">
        <v>2.4809854101889499</v>
      </c>
      <c r="J36" s="189">
        <f t="shared" si="3"/>
        <v>-1.3926094235829023E-2</v>
      </c>
      <c r="K36" s="188">
        <v>2.5517154389505552</v>
      </c>
      <c r="L36" s="189">
        <f t="shared" si="4"/>
        <v>7.0730028761605279E-2</v>
      </c>
      <c r="M36" s="188">
        <v>2.8302986161689732</v>
      </c>
      <c r="N36" s="189">
        <f t="shared" si="5"/>
        <v>0.27858317721841797</v>
      </c>
    </row>
    <row r="37" spans="2:15" x14ac:dyDescent="0.25">
      <c r="B37" s="118" t="s">
        <v>85</v>
      </c>
      <c r="C37" s="188" t="s">
        <v>229</v>
      </c>
      <c r="D37" s="189" t="s">
        <v>229</v>
      </c>
      <c r="E37" s="188">
        <v>2.3360790774299836</v>
      </c>
      <c r="F37" s="189" t="str">
        <f t="shared" si="3"/>
        <v>-</v>
      </c>
      <c r="G37" s="188">
        <v>2.5052631578947366</v>
      </c>
      <c r="H37" s="189">
        <f t="shared" si="3"/>
        <v>0.16918408046475308</v>
      </c>
      <c r="I37" s="188">
        <v>2.2105990783410139</v>
      </c>
      <c r="J37" s="189">
        <f t="shared" si="3"/>
        <v>-0.29466407955372276</v>
      </c>
      <c r="K37" s="188">
        <v>2.2077073807968648</v>
      </c>
      <c r="L37" s="189">
        <f t="shared" si="4"/>
        <v>-2.8916975441490855E-3</v>
      </c>
      <c r="M37" s="188"/>
      <c r="N37" s="189"/>
    </row>
    <row r="38" spans="2:15" x14ac:dyDescent="0.25">
      <c r="B38" s="118" t="s">
        <v>87</v>
      </c>
      <c r="C38" s="188">
        <v>2.499459848757652</v>
      </c>
      <c r="D38" s="189">
        <v>0.32659695508017172</v>
      </c>
      <c r="E38" s="188">
        <v>2.9317173096620008</v>
      </c>
      <c r="F38" s="189">
        <f t="shared" si="3"/>
        <v>0.4322574609043488</v>
      </c>
      <c r="G38" s="188">
        <v>2.6119023397761953</v>
      </c>
      <c r="H38" s="189">
        <f t="shared" si="3"/>
        <v>-0.31981496988580549</v>
      </c>
      <c r="I38" s="188">
        <v>2.5556512378902045</v>
      </c>
      <c r="J38" s="189">
        <f t="shared" si="3"/>
        <v>-5.6251101885990806E-2</v>
      </c>
      <c r="K38" s="188">
        <v>3.1938599517074855</v>
      </c>
      <c r="L38" s="189">
        <f t="shared" si="4"/>
        <v>0.63820871381728095</v>
      </c>
      <c r="M38" s="188"/>
      <c r="N38" s="189"/>
    </row>
    <row r="39" spans="2:15" x14ac:dyDescent="0.25">
      <c r="B39" s="118" t="s">
        <v>89</v>
      </c>
      <c r="C39" s="188">
        <v>2.135487528344671</v>
      </c>
      <c r="D39" s="189">
        <v>4.8655716089129886E-2</v>
      </c>
      <c r="E39" s="188">
        <v>2.452733776188043</v>
      </c>
      <c r="F39" s="189">
        <f t="shared" si="3"/>
        <v>0.31724624784337196</v>
      </c>
      <c r="G39" s="188">
        <v>2.3955875928352994</v>
      </c>
      <c r="H39" s="189">
        <f t="shared" si="3"/>
        <v>-5.7146183352743574E-2</v>
      </c>
      <c r="I39" s="188">
        <v>2.3459411634594116</v>
      </c>
      <c r="J39" s="189">
        <f t="shared" si="3"/>
        <v>-4.9646429375887813E-2</v>
      </c>
      <c r="K39" s="188">
        <v>2.2301946137212503</v>
      </c>
      <c r="L39" s="189">
        <f t="shared" si="4"/>
        <v>-0.11574654973816134</v>
      </c>
      <c r="M39" s="188"/>
      <c r="N39" s="189"/>
    </row>
    <row r="40" spans="2:15" x14ac:dyDescent="0.25">
      <c r="B40" s="118" t="s">
        <v>91</v>
      </c>
      <c r="C40" s="188">
        <v>2.0425170068027212</v>
      </c>
      <c r="D40" s="189">
        <v>-0.23159032695823667</v>
      </c>
      <c r="E40" s="188">
        <v>2.9937869822485208</v>
      </c>
      <c r="F40" s="189">
        <f t="shared" si="3"/>
        <v>0.95126997544579961</v>
      </c>
      <c r="G40" s="188">
        <v>2.8807453416149067</v>
      </c>
      <c r="H40" s="189">
        <f t="shared" si="3"/>
        <v>-0.1130416406336141</v>
      </c>
      <c r="I40" s="188">
        <v>2.5134645847476804</v>
      </c>
      <c r="J40" s="189">
        <f t="shared" si="3"/>
        <v>-0.36728075686722628</v>
      </c>
      <c r="K40" s="188">
        <v>2.4775360845700347</v>
      </c>
      <c r="L40" s="189">
        <f t="shared" si="4"/>
        <v>-3.5928500177645706E-2</v>
      </c>
      <c r="M40" s="188"/>
      <c r="N40" s="189"/>
    </row>
    <row r="41" spans="2:15" x14ac:dyDescent="0.25">
      <c r="B41" s="118" t="s">
        <v>93</v>
      </c>
      <c r="C41" s="188">
        <v>2.0164492342597846</v>
      </c>
      <c r="D41" s="189">
        <v>-0.33604246009237482</v>
      </c>
      <c r="E41" s="188">
        <v>2.7396582733812949</v>
      </c>
      <c r="F41" s="189">
        <f t="shared" si="3"/>
        <v>0.72320903912151024</v>
      </c>
      <c r="G41" s="188">
        <v>2.6980157089706491</v>
      </c>
      <c r="H41" s="189">
        <f t="shared" si="3"/>
        <v>-4.1642564410645733E-2</v>
      </c>
      <c r="I41" s="188">
        <v>2.6623690572119258</v>
      </c>
      <c r="J41" s="189">
        <f t="shared" si="3"/>
        <v>-3.564665175872328E-2</v>
      </c>
      <c r="K41" s="188">
        <v>2.7401171303074672</v>
      </c>
      <c r="L41" s="189">
        <f t="shared" si="4"/>
        <v>7.7748073095541326E-2</v>
      </c>
      <c r="M41" s="188"/>
      <c r="N41" s="189"/>
    </row>
    <row r="42" spans="2:15" x14ac:dyDescent="0.25">
      <c r="B42" s="118" t="s">
        <v>95</v>
      </c>
      <c r="C42" s="188">
        <v>2.2569676700111483</v>
      </c>
      <c r="D42" s="189">
        <v>-7.0529686937881308E-4</v>
      </c>
      <c r="E42" s="188">
        <v>2.4653312788906008</v>
      </c>
      <c r="F42" s="189">
        <f t="shared" si="3"/>
        <v>0.20836360887945249</v>
      </c>
      <c r="G42" s="188">
        <v>2.3449477351916377</v>
      </c>
      <c r="H42" s="189">
        <f t="shared" si="3"/>
        <v>-0.12038354369896309</v>
      </c>
      <c r="I42" s="188">
        <v>2.587568157033806</v>
      </c>
      <c r="J42" s="189">
        <f t="shared" si="3"/>
        <v>0.24262042184216837</v>
      </c>
      <c r="K42" s="188">
        <v>2.5476281560826322</v>
      </c>
      <c r="L42" s="189">
        <f t="shared" si="4"/>
        <v>-3.9940000951173893E-2</v>
      </c>
      <c r="M42" s="188"/>
      <c r="N42" s="189"/>
    </row>
    <row r="43" spans="2:15" ht="15.75" x14ac:dyDescent="0.25">
      <c r="B43" s="121" t="s">
        <v>32</v>
      </c>
      <c r="C43" s="190">
        <v>2.437843193922629</v>
      </c>
      <c r="D43" s="191">
        <v>2.1067972650881117E-3</v>
      </c>
      <c r="E43" s="190">
        <v>2.4937806482478173</v>
      </c>
      <c r="F43" s="191">
        <f t="shared" si="3"/>
        <v>5.5937454325188263E-2</v>
      </c>
      <c r="G43" s="190">
        <v>2.6756725259784404</v>
      </c>
      <c r="H43" s="191">
        <f t="shared" si="3"/>
        <v>0.1818918777306231</v>
      </c>
      <c r="I43" s="190">
        <v>2.5505786061867015</v>
      </c>
      <c r="J43" s="191">
        <f t="shared" si="3"/>
        <v>-0.12509391979173889</v>
      </c>
      <c r="K43" s="190">
        <v>2.6538649194953647</v>
      </c>
      <c r="L43" s="191">
        <f t="shared" si="4"/>
        <v>0.10328631330866322</v>
      </c>
      <c r="M43" s="190">
        <v>2.7768817204301075</v>
      </c>
      <c r="N43" s="191">
        <v>4.7690702043912125E-5</v>
      </c>
    </row>
    <row r="44" spans="2:15" ht="6" customHeight="1" x14ac:dyDescent="0.25"/>
    <row r="45" spans="2:15" x14ac:dyDescent="0.25">
      <c r="B45" s="107" t="s">
        <v>57</v>
      </c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</row>
    <row r="48" spans="2:15" ht="48.75" customHeight="1" thickBot="1" x14ac:dyDescent="0.3">
      <c r="B48" s="278" t="s">
        <v>299</v>
      </c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1" t="s">
        <v>100</v>
      </c>
    </row>
    <row r="49" spans="1:15" ht="10.5" customHeight="1" thickBot="1" x14ac:dyDescent="0.3">
      <c r="B49" s="108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39"/>
      <c r="N49" s="39"/>
      <c r="O49" s="1" t="s">
        <v>101</v>
      </c>
    </row>
    <row r="50" spans="1:15" ht="22.5" thickTop="1" thickBot="1" x14ac:dyDescent="0.3">
      <c r="B50" s="111"/>
      <c r="C50" s="313" t="s">
        <v>63</v>
      </c>
      <c r="D50" s="314"/>
      <c r="E50" s="314"/>
      <c r="F50" s="314"/>
      <c r="G50" s="314"/>
      <c r="H50" s="314"/>
      <c r="I50" s="314"/>
      <c r="J50" s="314"/>
      <c r="K50" s="314"/>
      <c r="L50" s="314"/>
      <c r="M50" s="314"/>
      <c r="N50" s="314"/>
    </row>
    <row r="51" spans="1:15" ht="22.5" thickTop="1" thickBot="1" x14ac:dyDescent="0.3">
      <c r="B51" s="111"/>
      <c r="C51" s="305">
        <v>2020</v>
      </c>
      <c r="D51" s="306"/>
      <c r="E51" s="307">
        <v>2021</v>
      </c>
      <c r="F51" s="306"/>
      <c r="G51" s="307">
        <v>2022</v>
      </c>
      <c r="H51" s="306"/>
      <c r="I51" s="307">
        <v>2023</v>
      </c>
      <c r="J51" s="306"/>
      <c r="K51" s="307">
        <v>2024</v>
      </c>
      <c r="L51" s="306"/>
      <c r="M51" s="307">
        <f>M$7</f>
        <v>2025</v>
      </c>
      <c r="N51" s="308"/>
    </row>
    <row r="52" spans="1:15" ht="16.5" thickTop="1" thickBot="1" x14ac:dyDescent="0.3">
      <c r="B52" s="87"/>
      <c r="C52" s="115" t="s">
        <v>71</v>
      </c>
      <c r="D52" s="116" t="str">
        <f>CONCATENATE("dif ",RIGHT(C51,2),"/",RIGHT(C51-1,2))</f>
        <v>dif 20/19</v>
      </c>
      <c r="E52" s="117" t="s">
        <v>71</v>
      </c>
      <c r="F52" s="116" t="str">
        <f>CONCATENATE("dif ",RIGHT(E51,2),"/",RIGHT(C51,2))</f>
        <v>dif 21/20</v>
      </c>
      <c r="G52" s="117" t="s">
        <v>71</v>
      </c>
      <c r="H52" s="116" t="str">
        <f>CONCATENATE("dif ",RIGHT(G51,2),"/",RIGHT(E51,2))</f>
        <v>dif 22/21</v>
      </c>
      <c r="I52" s="117" t="s">
        <v>71</v>
      </c>
      <c r="J52" s="116" t="str">
        <f>CONCATENATE("dif ",RIGHT(I51,2),"/",RIGHT(G51,2))</f>
        <v>dif 23/22</v>
      </c>
      <c r="K52" s="117" t="s">
        <v>71</v>
      </c>
      <c r="L52" s="116" t="str">
        <f>CONCATENATE("dif ",RIGHT(K51,2),"/",RIGHT(I51,2))</f>
        <v>dif 24/23</v>
      </c>
      <c r="M52" s="117" t="s">
        <v>71</v>
      </c>
      <c r="N52" s="116" t="str">
        <f>CONCATENATE("def ",RIGHT(M51,2),"/",RIGHT(K51,2))</f>
        <v>def 25/24</v>
      </c>
    </row>
    <row r="53" spans="1:15" x14ac:dyDescent="0.25">
      <c r="A53" s="1"/>
      <c r="B53" s="118" t="s">
        <v>73</v>
      </c>
      <c r="C53" s="188">
        <v>3.0477990818255467</v>
      </c>
      <c r="D53" s="189">
        <v>0.2117827107477841</v>
      </c>
      <c r="E53" s="188" t="s">
        <v>229</v>
      </c>
      <c r="F53" s="189" t="str">
        <f t="shared" ref="F53:J65" si="6">IFERROR(E53-C53,"-")</f>
        <v>-</v>
      </c>
      <c r="G53" s="188" t="s">
        <v>229</v>
      </c>
      <c r="H53" s="189" t="str">
        <f t="shared" si="6"/>
        <v>-</v>
      </c>
      <c r="I53" s="188">
        <v>2.7950872656755008</v>
      </c>
      <c r="J53" s="189" t="str">
        <f t="shared" si="6"/>
        <v>-</v>
      </c>
      <c r="K53" s="188">
        <v>2.9186357556843512</v>
      </c>
      <c r="L53" s="189">
        <f t="shared" ref="L53:L65" si="7">IFERROR(K53-I53,"-")</f>
        <v>0.12354849000885038</v>
      </c>
      <c r="M53" s="188">
        <v>2.8401337792642138</v>
      </c>
      <c r="N53" s="189">
        <f>IFERROR(M53-K53,"-")</f>
        <v>-7.8501976420137343E-2</v>
      </c>
    </row>
    <row r="54" spans="1:15" x14ac:dyDescent="0.25">
      <c r="A54" s="1"/>
      <c r="B54" s="118" t="s">
        <v>75</v>
      </c>
      <c r="C54" s="188">
        <v>3.1402388225492919</v>
      </c>
      <c r="D54" s="189">
        <v>0.16780511291421707</v>
      </c>
      <c r="E54" s="188" t="s">
        <v>229</v>
      </c>
      <c r="F54" s="189" t="str">
        <f t="shared" si="6"/>
        <v>-</v>
      </c>
      <c r="G54" s="188" t="s">
        <v>229</v>
      </c>
      <c r="H54" s="189" t="str">
        <f t="shared" si="6"/>
        <v>-</v>
      </c>
      <c r="I54" s="188">
        <v>2.8731359893167148</v>
      </c>
      <c r="J54" s="189" t="str">
        <f t="shared" si="6"/>
        <v>-</v>
      </c>
      <c r="K54" s="188">
        <v>3.347750434998757</v>
      </c>
      <c r="L54" s="189">
        <f t="shared" si="7"/>
        <v>0.47461444568204225</v>
      </c>
      <c r="M54" s="188">
        <v>3.4421083802191292</v>
      </c>
      <c r="N54" s="189">
        <f t="shared" ref="N54:N58" si="8">IFERROR(M54-K54,"-")</f>
        <v>9.4357945220372219E-2</v>
      </c>
    </row>
    <row r="55" spans="1:15" x14ac:dyDescent="0.25">
      <c r="A55" s="1"/>
      <c r="B55" s="118" t="s">
        <v>77</v>
      </c>
      <c r="C55" s="188">
        <v>3.2750179985601151</v>
      </c>
      <c r="D55" s="189">
        <v>0.33952549320679593</v>
      </c>
      <c r="E55" s="188" t="s">
        <v>229</v>
      </c>
      <c r="F55" s="189" t="str">
        <f t="shared" si="6"/>
        <v>-</v>
      </c>
      <c r="G55" s="188" t="s">
        <v>229</v>
      </c>
      <c r="H55" s="189" t="str">
        <f t="shared" si="6"/>
        <v>-</v>
      </c>
      <c r="I55" s="188">
        <v>2.9364389233954453</v>
      </c>
      <c r="J55" s="189" t="str">
        <f t="shared" si="6"/>
        <v>-</v>
      </c>
      <c r="K55" s="188">
        <v>3.1342297174111211</v>
      </c>
      <c r="L55" s="189">
        <f t="shared" si="7"/>
        <v>0.19779079401567579</v>
      </c>
      <c r="M55" s="188">
        <v>2.7850322007550523</v>
      </c>
      <c r="N55" s="189">
        <f t="shared" si="8"/>
        <v>-0.3491975166560688</v>
      </c>
    </row>
    <row r="56" spans="1:15" x14ac:dyDescent="0.25">
      <c r="A56" s="1"/>
      <c r="B56" s="118" t="s">
        <v>79</v>
      </c>
      <c r="C56" s="188" t="s">
        <v>229</v>
      </c>
      <c r="D56" s="189" t="s">
        <v>229</v>
      </c>
      <c r="E56" s="188" t="s">
        <v>229</v>
      </c>
      <c r="F56" s="189" t="str">
        <f t="shared" si="6"/>
        <v>-</v>
      </c>
      <c r="G56" s="188">
        <v>3.1402254605444049</v>
      </c>
      <c r="H56" s="189" t="str">
        <f t="shared" si="6"/>
        <v>-</v>
      </c>
      <c r="I56" s="188">
        <v>2.5746586075665996</v>
      </c>
      <c r="J56" s="189">
        <f t="shared" si="6"/>
        <v>-0.56556685297780529</v>
      </c>
      <c r="K56" s="188">
        <v>2.7839800317676424</v>
      </c>
      <c r="L56" s="189">
        <f t="shared" si="7"/>
        <v>0.20932142420104283</v>
      </c>
      <c r="M56" s="188">
        <v>2.9443530701754388</v>
      </c>
      <c r="N56" s="189">
        <f t="shared" si="8"/>
        <v>0.16037303840779638</v>
      </c>
    </row>
    <row r="57" spans="1:15" x14ac:dyDescent="0.25">
      <c r="A57" s="1"/>
      <c r="B57" s="118" t="s">
        <v>81</v>
      </c>
      <c r="C57" s="188" t="s">
        <v>229</v>
      </c>
      <c r="D57" s="189" t="s">
        <v>229</v>
      </c>
      <c r="E57" s="188" t="s">
        <v>229</v>
      </c>
      <c r="F57" s="189" t="str">
        <f t="shared" si="6"/>
        <v>-</v>
      </c>
      <c r="G57" s="188">
        <v>2.9780715898097387</v>
      </c>
      <c r="H57" s="189" t="str">
        <f t="shared" si="6"/>
        <v>-</v>
      </c>
      <c r="I57" s="188">
        <v>2.6306366047745358</v>
      </c>
      <c r="J57" s="189">
        <f t="shared" si="6"/>
        <v>-0.34743498503520298</v>
      </c>
      <c r="K57" s="188">
        <v>2.5609430604982206</v>
      </c>
      <c r="L57" s="189">
        <f t="shared" si="7"/>
        <v>-6.9693544276315134E-2</v>
      </c>
      <c r="M57" s="188">
        <v>2.8007017543859649</v>
      </c>
      <c r="N57" s="189">
        <f t="shared" si="8"/>
        <v>0.23975869388774429</v>
      </c>
    </row>
    <row r="58" spans="1:15" x14ac:dyDescent="0.25">
      <c r="A58" s="1"/>
      <c r="B58" s="118" t="s">
        <v>83</v>
      </c>
      <c r="C58" s="188" t="s">
        <v>229</v>
      </c>
      <c r="D58" s="189" t="s">
        <v>229</v>
      </c>
      <c r="E58" s="188" t="s">
        <v>229</v>
      </c>
      <c r="F58" s="189" t="str">
        <f t="shared" si="6"/>
        <v>-</v>
      </c>
      <c r="G58" s="188">
        <v>2.5641587533479426</v>
      </c>
      <c r="H58" s="189" t="str">
        <f t="shared" si="6"/>
        <v>-</v>
      </c>
      <c r="I58" s="188">
        <v>2.5592901317558483</v>
      </c>
      <c r="J58" s="189">
        <f t="shared" si="6"/>
        <v>-4.8686215920943354E-3</v>
      </c>
      <c r="K58" s="188">
        <v>2.6040229885057471</v>
      </c>
      <c r="L58" s="189">
        <f t="shared" si="7"/>
        <v>4.4732856749898797E-2</v>
      </c>
      <c r="M58" s="188">
        <v>3.045272206303725</v>
      </c>
      <c r="N58" s="189">
        <f t="shared" si="8"/>
        <v>0.44124921779797788</v>
      </c>
    </row>
    <row r="59" spans="1:15" x14ac:dyDescent="0.25">
      <c r="A59" s="1"/>
      <c r="B59" s="118" t="s">
        <v>85</v>
      </c>
      <c r="C59" s="188" t="s">
        <v>229</v>
      </c>
      <c r="D59" s="189" t="s">
        <v>229</v>
      </c>
      <c r="E59" s="188" t="s">
        <v>229</v>
      </c>
      <c r="F59" s="189" t="str">
        <f t="shared" si="6"/>
        <v>-</v>
      </c>
      <c r="G59" s="188">
        <v>2.501542416452442</v>
      </c>
      <c r="H59" s="189" t="str">
        <f t="shared" si="6"/>
        <v>-</v>
      </c>
      <c r="I59" s="188" t="s">
        <v>229</v>
      </c>
      <c r="J59" s="189" t="str">
        <f t="shared" si="6"/>
        <v>-</v>
      </c>
      <c r="K59" s="188">
        <v>2.2533062054933874</v>
      </c>
      <c r="L59" s="189" t="str">
        <f t="shared" si="7"/>
        <v>-</v>
      </c>
      <c r="M59" s="188"/>
      <c r="N59" s="189"/>
    </row>
    <row r="60" spans="1:15" x14ac:dyDescent="0.25">
      <c r="A60" s="1"/>
      <c r="B60" s="118" t="s">
        <v>87</v>
      </c>
      <c r="C60" s="188" t="s">
        <v>229</v>
      </c>
      <c r="D60" s="189" t="s">
        <v>229</v>
      </c>
      <c r="E60" s="188" t="s">
        <v>229</v>
      </c>
      <c r="F60" s="189" t="str">
        <f t="shared" si="6"/>
        <v>-</v>
      </c>
      <c r="G60" s="188">
        <v>2.7960213776722092</v>
      </c>
      <c r="H60" s="189" t="str">
        <f t="shared" si="6"/>
        <v>-</v>
      </c>
      <c r="I60" s="188" t="s">
        <v>229</v>
      </c>
      <c r="J60" s="189" t="str">
        <f t="shared" si="6"/>
        <v>-</v>
      </c>
      <c r="K60" s="188">
        <v>3.3068565005620081</v>
      </c>
      <c r="L60" s="189" t="str">
        <f t="shared" si="7"/>
        <v>-</v>
      </c>
      <c r="M60" s="188"/>
      <c r="N60" s="189"/>
    </row>
    <row r="61" spans="1:15" x14ac:dyDescent="0.25">
      <c r="A61" s="1"/>
      <c r="B61" s="118" t="s">
        <v>89</v>
      </c>
      <c r="C61" s="188" t="s">
        <v>229</v>
      </c>
      <c r="D61" s="189" t="s">
        <v>229</v>
      </c>
      <c r="E61" s="188" t="s">
        <v>229</v>
      </c>
      <c r="F61" s="189" t="str">
        <f t="shared" si="6"/>
        <v>-</v>
      </c>
      <c r="G61" s="188">
        <v>2.500871296987802</v>
      </c>
      <c r="H61" s="189" t="str">
        <f t="shared" si="6"/>
        <v>-</v>
      </c>
      <c r="I61" s="188">
        <v>2.3941569695469176</v>
      </c>
      <c r="J61" s="189">
        <f t="shared" si="6"/>
        <v>-0.10671432744088438</v>
      </c>
      <c r="K61" s="188">
        <v>2.2749944333110665</v>
      </c>
      <c r="L61" s="189">
        <f t="shared" si="7"/>
        <v>-0.11916253623585105</v>
      </c>
      <c r="M61" s="188"/>
      <c r="N61" s="189"/>
    </row>
    <row r="62" spans="1:15" x14ac:dyDescent="0.25">
      <c r="A62" s="1"/>
      <c r="B62" s="118" t="s">
        <v>91</v>
      </c>
      <c r="C62" s="188" t="s">
        <v>229</v>
      </c>
      <c r="D62" s="189" t="s">
        <v>229</v>
      </c>
      <c r="E62" s="188" t="s">
        <v>229</v>
      </c>
      <c r="F62" s="189" t="str">
        <f t="shared" si="6"/>
        <v>-</v>
      </c>
      <c r="G62" s="188">
        <v>2.916572077185017</v>
      </c>
      <c r="H62" s="189" t="str">
        <f t="shared" si="6"/>
        <v>-</v>
      </c>
      <c r="I62" s="188">
        <v>2.651506996770721</v>
      </c>
      <c r="J62" s="189">
        <f t="shared" si="6"/>
        <v>-0.26506508041429599</v>
      </c>
      <c r="K62" s="188">
        <v>2.6273516642547032</v>
      </c>
      <c r="L62" s="189">
        <f t="shared" si="7"/>
        <v>-2.4155332516017758E-2</v>
      </c>
      <c r="M62" s="188"/>
      <c r="N62" s="189"/>
    </row>
    <row r="63" spans="1:15" x14ac:dyDescent="0.25">
      <c r="A63" s="1"/>
      <c r="B63" s="118" t="s">
        <v>93</v>
      </c>
      <c r="C63" s="188" t="s">
        <v>229</v>
      </c>
      <c r="D63" s="189" t="s">
        <v>229</v>
      </c>
      <c r="E63" s="188" t="s">
        <v>229</v>
      </c>
      <c r="F63" s="189" t="str">
        <f t="shared" si="6"/>
        <v>-</v>
      </c>
      <c r="G63" s="188">
        <v>2.8604146576663454</v>
      </c>
      <c r="H63" s="189" t="str">
        <f t="shared" si="6"/>
        <v>-</v>
      </c>
      <c r="I63" s="188">
        <v>2.8276945384243595</v>
      </c>
      <c r="J63" s="189">
        <f t="shared" si="6"/>
        <v>-3.2720119241985923E-2</v>
      </c>
      <c r="K63" s="188">
        <v>2.9430714916151808</v>
      </c>
      <c r="L63" s="189">
        <f t="shared" si="7"/>
        <v>0.11537695319082131</v>
      </c>
      <c r="M63" s="188"/>
      <c r="N63" s="189"/>
    </row>
    <row r="64" spans="1:15" x14ac:dyDescent="0.25">
      <c r="A64" s="1"/>
      <c r="B64" s="118" t="s">
        <v>95</v>
      </c>
      <c r="C64" s="188" t="s">
        <v>229</v>
      </c>
      <c r="D64" s="189" t="s">
        <v>229</v>
      </c>
      <c r="E64" s="188" t="s">
        <v>229</v>
      </c>
      <c r="F64" s="189" t="str">
        <f t="shared" si="6"/>
        <v>-</v>
      </c>
      <c r="G64" s="188">
        <v>2.4325228641534689</v>
      </c>
      <c r="H64" s="189" t="str">
        <f t="shared" si="6"/>
        <v>-</v>
      </c>
      <c r="I64" s="188">
        <v>2.7499333511063715</v>
      </c>
      <c r="J64" s="189">
        <f t="shared" si="6"/>
        <v>0.31741048695290264</v>
      </c>
      <c r="K64" s="188">
        <v>2.6366930917327291</v>
      </c>
      <c r="L64" s="189">
        <f t="shared" si="7"/>
        <v>-0.11324025937364235</v>
      </c>
      <c r="M64" s="188"/>
      <c r="N64" s="189"/>
    </row>
    <row r="65" spans="1:15" ht="15.75" x14ac:dyDescent="0.25">
      <c r="B65" s="121" t="s">
        <v>32</v>
      </c>
      <c r="C65" s="190" t="s">
        <v>229</v>
      </c>
      <c r="D65" s="191" t="s">
        <v>229</v>
      </c>
      <c r="E65" s="190" t="s">
        <v>229</v>
      </c>
      <c r="F65" s="191" t="str">
        <f t="shared" si="6"/>
        <v>-</v>
      </c>
      <c r="G65" s="190">
        <v>2.7547137248133926</v>
      </c>
      <c r="H65" s="191" t="str">
        <f t="shared" si="6"/>
        <v>-</v>
      </c>
      <c r="I65" s="190">
        <v>2.6597626112759643</v>
      </c>
      <c r="J65" s="191">
        <f t="shared" si="6"/>
        <v>-9.4951113537428355E-2</v>
      </c>
      <c r="K65" s="190">
        <v>2.7683008187607401</v>
      </c>
      <c r="L65" s="191">
        <f t="shared" si="7"/>
        <v>0.10853820748477583</v>
      </c>
      <c r="M65" s="190">
        <v>2.9542013626040879</v>
      </c>
      <c r="N65" s="191">
        <v>6.0253577793961455E-2</v>
      </c>
    </row>
    <row r="66" spans="1:15" ht="6" customHeight="1" x14ac:dyDescent="0.25"/>
    <row r="67" spans="1:15" x14ac:dyDescent="0.25">
      <c r="B67" s="107" t="s">
        <v>57</v>
      </c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</row>
    <row r="70" spans="1:15" ht="48.75" customHeight="1" thickBot="1" x14ac:dyDescent="0.3">
      <c r="B70" s="278" t="s">
        <v>300</v>
      </c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1" t="s">
        <v>103</v>
      </c>
    </row>
    <row r="71" spans="1:15" ht="10.5" customHeight="1" thickBot="1" x14ac:dyDescent="0.3">
      <c r="B71" s="108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39"/>
      <c r="N71" s="39"/>
      <c r="O71" s="1" t="s">
        <v>104</v>
      </c>
    </row>
    <row r="72" spans="1:15" ht="22.5" thickTop="1" thickBot="1" x14ac:dyDescent="0.3">
      <c r="B72" s="111"/>
      <c r="C72" s="313" t="s">
        <v>64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</row>
    <row r="73" spans="1:15" ht="22.5" thickTop="1" thickBot="1" x14ac:dyDescent="0.3">
      <c r="B73" s="111"/>
      <c r="C73" s="305">
        <v>2020</v>
      </c>
      <c r="D73" s="306"/>
      <c r="E73" s="307">
        <v>2021</v>
      </c>
      <c r="F73" s="306"/>
      <c r="G73" s="307">
        <v>2022</v>
      </c>
      <c r="H73" s="306"/>
      <c r="I73" s="307">
        <v>2023</v>
      </c>
      <c r="J73" s="306"/>
      <c r="K73" s="307">
        <v>2024</v>
      </c>
      <c r="L73" s="306"/>
      <c r="M73" s="307">
        <f>M$7</f>
        <v>2025</v>
      </c>
      <c r="N73" s="308"/>
    </row>
    <row r="74" spans="1:15" ht="16.5" thickTop="1" thickBot="1" x14ac:dyDescent="0.3">
      <c r="B74" s="87"/>
      <c r="C74" s="115" t="s">
        <v>71</v>
      </c>
      <c r="D74" s="116" t="str">
        <f>CONCATENATE("dif ",RIGHT(C73,2),"/",RIGHT(C73-1,2))</f>
        <v>dif 20/19</v>
      </c>
      <c r="E74" s="117" t="s">
        <v>71</v>
      </c>
      <c r="F74" s="116" t="str">
        <f>CONCATENATE("dif ",RIGHT(E73,2),"/",RIGHT(C73,2))</f>
        <v>dif 21/20</v>
      </c>
      <c r="G74" s="117" t="s">
        <v>71</v>
      </c>
      <c r="H74" s="116" t="str">
        <f>CONCATENATE("dif ",RIGHT(G73,2),"/",RIGHT(E73,2))</f>
        <v>dif 22/21</v>
      </c>
      <c r="I74" s="117" t="s">
        <v>71</v>
      </c>
      <c r="J74" s="116" t="str">
        <f>CONCATENATE("dif ",RIGHT(I73,2),"/",RIGHT(G73,2))</f>
        <v>dif 23/22</v>
      </c>
      <c r="K74" s="117" t="s">
        <v>71</v>
      </c>
      <c r="L74" s="116" t="str">
        <f>CONCATENATE("dif ",RIGHT(K73,2),"/",RIGHT(I73,2))</f>
        <v>dif 24/23</v>
      </c>
      <c r="M74" s="117" t="s">
        <v>71</v>
      </c>
      <c r="N74" s="116" t="str">
        <f>CONCATENATE("def ",RIGHT(M73,2),"/",RIGHT(K73,2))</f>
        <v>def 25/24</v>
      </c>
    </row>
    <row r="75" spans="1:15" x14ac:dyDescent="0.25">
      <c r="A75" s="1"/>
      <c r="B75" s="118" t="s">
        <v>73</v>
      </c>
      <c r="C75" s="188">
        <v>1.5508701472556894</v>
      </c>
      <c r="D75" s="189">
        <v>-0.385381042087793</v>
      </c>
      <c r="E75" s="188" t="s">
        <v>229</v>
      </c>
      <c r="F75" s="189" t="str">
        <f t="shared" ref="F75:J87" si="9">IFERROR(E75-C75,"-")</f>
        <v>-</v>
      </c>
      <c r="G75" s="188" t="s">
        <v>229</v>
      </c>
      <c r="H75" s="189" t="str">
        <f t="shared" si="9"/>
        <v>-</v>
      </c>
      <c r="I75" s="188">
        <v>1.8437917222963951</v>
      </c>
      <c r="J75" s="189" t="str">
        <f t="shared" si="9"/>
        <v>-</v>
      </c>
      <c r="K75" s="188">
        <v>2.0355677154582765</v>
      </c>
      <c r="L75" s="189">
        <f t="shared" ref="L75:L87" si="10">IFERROR(K75-I75,"-")</f>
        <v>0.19177599316188143</v>
      </c>
      <c r="M75" s="188">
        <v>1.8365617433414043</v>
      </c>
      <c r="N75" s="189">
        <f>IFERROR(M75-K75,"-")</f>
        <v>-0.19900597211687221</v>
      </c>
    </row>
    <row r="76" spans="1:15" x14ac:dyDescent="0.25">
      <c r="A76" s="1"/>
      <c r="B76" s="118" t="s">
        <v>75</v>
      </c>
      <c r="C76" s="188">
        <v>1.7258248009101251</v>
      </c>
      <c r="D76" s="189">
        <v>-0.16671516356589611</v>
      </c>
      <c r="E76" s="188" t="s">
        <v>229</v>
      </c>
      <c r="F76" s="189" t="str">
        <f t="shared" si="9"/>
        <v>-</v>
      </c>
      <c r="G76" s="188" t="s">
        <v>229</v>
      </c>
      <c r="H76" s="189" t="str">
        <f t="shared" si="9"/>
        <v>-</v>
      </c>
      <c r="I76" s="188">
        <v>1.7271557271557272</v>
      </c>
      <c r="J76" s="189" t="str">
        <f t="shared" si="9"/>
        <v>-</v>
      </c>
      <c r="K76" s="188">
        <v>2.141025641025641</v>
      </c>
      <c r="L76" s="189">
        <f t="shared" si="10"/>
        <v>0.41386991386991379</v>
      </c>
      <c r="M76" s="188">
        <v>1.8200734394124847</v>
      </c>
      <c r="N76" s="189">
        <f t="shared" ref="N76:N80" si="11">IFERROR(M76-K76,"-")</f>
        <v>-0.3209522016131563</v>
      </c>
    </row>
    <row r="77" spans="1:15" x14ac:dyDescent="0.25">
      <c r="A77" s="1"/>
      <c r="B77" s="118" t="s">
        <v>77</v>
      </c>
      <c r="C77" s="188">
        <v>1.4400494437577256</v>
      </c>
      <c r="D77" s="189">
        <v>-0.6583924825878833</v>
      </c>
      <c r="E77" s="188" t="s">
        <v>229</v>
      </c>
      <c r="F77" s="189" t="str">
        <f t="shared" si="9"/>
        <v>-</v>
      </c>
      <c r="G77" s="188" t="s">
        <v>229</v>
      </c>
      <c r="H77" s="189" t="str">
        <f t="shared" si="9"/>
        <v>-</v>
      </c>
      <c r="I77" s="188">
        <v>1.712907117008444</v>
      </c>
      <c r="J77" s="189" t="str">
        <f t="shared" si="9"/>
        <v>-</v>
      </c>
      <c r="K77" s="188">
        <v>1.9730769230769232</v>
      </c>
      <c r="L77" s="189">
        <f t="shared" si="10"/>
        <v>0.26016980606847917</v>
      </c>
      <c r="M77" s="188">
        <v>1.8510131108462455</v>
      </c>
      <c r="N77" s="189">
        <f t="shared" si="11"/>
        <v>-0.12206381223067764</v>
      </c>
    </row>
    <row r="78" spans="1:15" x14ac:dyDescent="0.25">
      <c r="A78" s="1"/>
      <c r="B78" s="118" t="s">
        <v>79</v>
      </c>
      <c r="C78" s="188" t="s">
        <v>229</v>
      </c>
      <c r="D78" s="189" t="s">
        <v>229</v>
      </c>
      <c r="E78" s="188" t="s">
        <v>229</v>
      </c>
      <c r="F78" s="189" t="str">
        <f t="shared" si="9"/>
        <v>-</v>
      </c>
      <c r="G78" s="188">
        <v>1.7625570776255708</v>
      </c>
      <c r="H78" s="189" t="str">
        <f t="shared" si="9"/>
        <v>-</v>
      </c>
      <c r="I78" s="188">
        <v>1.7098150782361308</v>
      </c>
      <c r="J78" s="189">
        <f t="shared" si="9"/>
        <v>-5.274199938944002E-2</v>
      </c>
      <c r="K78" s="188">
        <v>1.8083462132921175</v>
      </c>
      <c r="L78" s="189">
        <f t="shared" si="10"/>
        <v>9.8531135055986763E-2</v>
      </c>
      <c r="M78" s="188">
        <v>1.8757575757575757</v>
      </c>
      <c r="N78" s="189">
        <f t="shared" si="11"/>
        <v>6.7411362465458202E-2</v>
      </c>
    </row>
    <row r="79" spans="1:15" x14ac:dyDescent="0.25">
      <c r="A79" s="1"/>
      <c r="B79" s="118" t="s">
        <v>81</v>
      </c>
      <c r="C79" s="188" t="s">
        <v>229</v>
      </c>
      <c r="D79" s="189" t="s">
        <v>229</v>
      </c>
      <c r="E79" s="188" t="s">
        <v>229</v>
      </c>
      <c r="F79" s="189" t="str">
        <f t="shared" si="9"/>
        <v>-</v>
      </c>
      <c r="G79" s="188">
        <v>1.60075329566855</v>
      </c>
      <c r="H79" s="189" t="str">
        <f t="shared" si="9"/>
        <v>-</v>
      </c>
      <c r="I79" s="188">
        <v>1.8241308793456033</v>
      </c>
      <c r="J79" s="189">
        <f t="shared" si="9"/>
        <v>0.22337758367705329</v>
      </c>
      <c r="K79" s="188">
        <v>2.0141129032258065</v>
      </c>
      <c r="L79" s="189">
        <f t="shared" si="10"/>
        <v>0.18998202388020324</v>
      </c>
      <c r="M79" s="188">
        <v>1.9889349930843707</v>
      </c>
      <c r="N79" s="189">
        <f t="shared" si="11"/>
        <v>-2.5177910141435778E-2</v>
      </c>
    </row>
    <row r="80" spans="1:15" x14ac:dyDescent="0.25">
      <c r="A80" s="1"/>
      <c r="B80" s="118" t="s">
        <v>83</v>
      </c>
      <c r="C80" s="188" t="s">
        <v>229</v>
      </c>
      <c r="D80" s="189" t="s">
        <v>229</v>
      </c>
      <c r="E80" s="188" t="s">
        <v>229</v>
      </c>
      <c r="F80" s="189" t="str">
        <f t="shared" si="9"/>
        <v>-</v>
      </c>
      <c r="G80" s="188">
        <v>1.8062953995157385</v>
      </c>
      <c r="H80" s="189" t="str">
        <f t="shared" si="9"/>
        <v>-</v>
      </c>
      <c r="I80" s="188">
        <v>1.8506493506493507</v>
      </c>
      <c r="J80" s="189">
        <f t="shared" si="9"/>
        <v>4.4353951133612179E-2</v>
      </c>
      <c r="K80" s="188">
        <v>2.1756198347107438</v>
      </c>
      <c r="L80" s="189">
        <f t="shared" si="10"/>
        <v>0.32497048406139317</v>
      </c>
      <c r="M80" s="188">
        <v>1.6375198728139904</v>
      </c>
      <c r="N80" s="189">
        <f t="shared" si="11"/>
        <v>-0.53809996189675346</v>
      </c>
    </row>
    <row r="81" spans="1:14" x14ac:dyDescent="0.25">
      <c r="A81" s="1"/>
      <c r="B81" s="118" t="s">
        <v>85</v>
      </c>
      <c r="C81" s="188" t="s">
        <v>229</v>
      </c>
      <c r="D81" s="189" t="s">
        <v>229</v>
      </c>
      <c r="E81" s="188" t="s">
        <v>229</v>
      </c>
      <c r="F81" s="189" t="str">
        <f t="shared" si="9"/>
        <v>-</v>
      </c>
      <c r="G81" s="188">
        <v>2.5428571428571427</v>
      </c>
      <c r="H81" s="189" t="str">
        <f t="shared" si="9"/>
        <v>-</v>
      </c>
      <c r="I81" s="188" t="s">
        <v>229</v>
      </c>
      <c r="J81" s="189" t="str">
        <f t="shared" si="9"/>
        <v>-</v>
      </c>
      <c r="K81" s="188">
        <v>1.9364599092284418</v>
      </c>
      <c r="L81" s="189" t="str">
        <f t="shared" si="10"/>
        <v>-</v>
      </c>
      <c r="M81" s="188"/>
      <c r="N81" s="189"/>
    </row>
    <row r="82" spans="1:14" x14ac:dyDescent="0.25">
      <c r="A82" s="1"/>
      <c r="B82" s="118" t="s">
        <v>87</v>
      </c>
      <c r="C82" s="188" t="s">
        <v>229</v>
      </c>
      <c r="D82" s="189" t="s">
        <v>229</v>
      </c>
      <c r="E82" s="188" t="s">
        <v>229</v>
      </c>
      <c r="F82" s="189" t="str">
        <f t="shared" si="9"/>
        <v>-</v>
      </c>
      <c r="G82" s="188">
        <v>1.5124113475177305</v>
      </c>
      <c r="H82" s="189" t="str">
        <f t="shared" si="9"/>
        <v>-</v>
      </c>
      <c r="I82" s="188" t="s">
        <v>229</v>
      </c>
      <c r="J82" s="189" t="str">
        <f t="shared" si="9"/>
        <v>-</v>
      </c>
      <c r="K82" s="188">
        <v>1.8826086956521739</v>
      </c>
      <c r="L82" s="189" t="str">
        <f t="shared" si="10"/>
        <v>-</v>
      </c>
      <c r="M82" s="188"/>
      <c r="N82" s="189"/>
    </row>
    <row r="83" spans="1:14" x14ac:dyDescent="0.25">
      <c r="A83" s="1"/>
      <c r="B83" s="118" t="s">
        <v>89</v>
      </c>
      <c r="C83" s="188" t="s">
        <v>229</v>
      </c>
      <c r="D83" s="189" t="s">
        <v>229</v>
      </c>
      <c r="E83" s="188" t="s">
        <v>229</v>
      </c>
      <c r="F83" s="189" t="str">
        <f t="shared" si="9"/>
        <v>-</v>
      </c>
      <c r="G83" s="188">
        <v>1.641711229946524</v>
      </c>
      <c r="H83" s="189" t="str">
        <f t="shared" si="9"/>
        <v>-</v>
      </c>
      <c r="I83" s="188">
        <v>1.941908713692946</v>
      </c>
      <c r="J83" s="189">
        <f t="shared" si="9"/>
        <v>0.30019748374642208</v>
      </c>
      <c r="K83" s="188">
        <v>1.8926174496644295</v>
      </c>
      <c r="L83" s="189">
        <f t="shared" si="10"/>
        <v>-4.9291264028516579E-2</v>
      </c>
      <c r="M83" s="188"/>
      <c r="N83" s="189"/>
    </row>
    <row r="84" spans="1:14" x14ac:dyDescent="0.25">
      <c r="A84" s="1"/>
      <c r="B84" s="118" t="s">
        <v>91</v>
      </c>
      <c r="C84" s="188" t="s">
        <v>229</v>
      </c>
      <c r="D84" s="189" t="s">
        <v>229</v>
      </c>
      <c r="E84" s="188" t="s">
        <v>229</v>
      </c>
      <c r="F84" s="189" t="str">
        <f t="shared" si="9"/>
        <v>-</v>
      </c>
      <c r="G84" s="188">
        <v>2.6287425149700598</v>
      </c>
      <c r="H84" s="189" t="str">
        <f t="shared" si="9"/>
        <v>-</v>
      </c>
      <c r="I84" s="188">
        <v>1.7837837837837838</v>
      </c>
      <c r="J84" s="189">
        <f t="shared" si="9"/>
        <v>-0.84495873118627607</v>
      </c>
      <c r="K84" s="188">
        <v>1.6739974126778785</v>
      </c>
      <c r="L84" s="189">
        <f t="shared" si="10"/>
        <v>-0.10978637110590528</v>
      </c>
      <c r="M84" s="188"/>
      <c r="N84" s="189"/>
    </row>
    <row r="85" spans="1:14" x14ac:dyDescent="0.25">
      <c r="A85" s="1"/>
      <c r="B85" s="118" t="s">
        <v>93</v>
      </c>
      <c r="C85" s="188" t="s">
        <v>229</v>
      </c>
      <c r="D85" s="189" t="s">
        <v>229</v>
      </c>
      <c r="E85" s="188" t="s">
        <v>229</v>
      </c>
      <c r="F85" s="189" t="str">
        <f t="shared" si="9"/>
        <v>-</v>
      </c>
      <c r="G85" s="188">
        <v>1.7217391304347827</v>
      </c>
      <c r="H85" s="189" t="str">
        <f t="shared" si="9"/>
        <v>-</v>
      </c>
      <c r="I85" s="188">
        <v>1.834140435835351</v>
      </c>
      <c r="J85" s="189">
        <f t="shared" si="9"/>
        <v>0.11240130540056836</v>
      </c>
      <c r="K85" s="188">
        <v>1.7532188841201717</v>
      </c>
      <c r="L85" s="189">
        <f t="shared" si="10"/>
        <v>-8.0921551715179341E-2</v>
      </c>
      <c r="M85" s="188"/>
      <c r="N85" s="189"/>
    </row>
    <row r="86" spans="1:14" x14ac:dyDescent="0.25">
      <c r="A86" s="1"/>
      <c r="B86" s="118" t="s">
        <v>95</v>
      </c>
      <c r="C86" s="188" t="s">
        <v>229</v>
      </c>
      <c r="D86" s="189" t="s">
        <v>229</v>
      </c>
      <c r="E86" s="188" t="s">
        <v>229</v>
      </c>
      <c r="F86" s="189" t="str">
        <f t="shared" si="9"/>
        <v>-</v>
      </c>
      <c r="G86" s="188">
        <v>1.7701317715959004</v>
      </c>
      <c r="H86" s="189" t="str">
        <f t="shared" si="9"/>
        <v>-</v>
      </c>
      <c r="I86" s="188">
        <v>1.8573141486810552</v>
      </c>
      <c r="J86" s="189">
        <f t="shared" si="9"/>
        <v>8.718237708515475E-2</v>
      </c>
      <c r="K86" s="188">
        <v>2.0639606396063961</v>
      </c>
      <c r="L86" s="189">
        <f t="shared" si="10"/>
        <v>0.20664649092534093</v>
      </c>
      <c r="M86" s="188"/>
      <c r="N86" s="189"/>
    </row>
    <row r="87" spans="1:14" ht="15.75" x14ac:dyDescent="0.25">
      <c r="B87" s="121" t="s">
        <v>32</v>
      </c>
      <c r="C87" s="190" t="s">
        <v>229</v>
      </c>
      <c r="D87" s="191" t="s">
        <v>229</v>
      </c>
      <c r="E87" s="190" t="s">
        <v>229</v>
      </c>
      <c r="F87" s="191" t="str">
        <f t="shared" si="9"/>
        <v>-</v>
      </c>
      <c r="G87" s="190">
        <v>1.9616059247709998</v>
      </c>
      <c r="H87" s="191" t="str">
        <f t="shared" si="9"/>
        <v>-</v>
      </c>
      <c r="I87" s="190">
        <v>1.8250295780202446</v>
      </c>
      <c r="J87" s="191">
        <f t="shared" si="9"/>
        <v>-0.13657634675075525</v>
      </c>
      <c r="K87" s="190">
        <v>1.9394168875425974</v>
      </c>
      <c r="L87" s="191">
        <f t="shared" si="10"/>
        <v>0.11438730952235288</v>
      </c>
      <c r="M87" s="190">
        <v>1.8386737872719181</v>
      </c>
      <c r="N87" s="191">
        <v>-0.18251049042078216</v>
      </c>
    </row>
    <row r="88" spans="1:14" ht="6" customHeight="1" x14ac:dyDescent="0.25"/>
    <row r="89" spans="1:14" x14ac:dyDescent="0.25">
      <c r="B89" s="107" t="s">
        <v>57</v>
      </c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</sheetData>
  <mergeCells count="32">
    <mergeCell ref="B70:N70"/>
    <mergeCell ref="C72:N72"/>
    <mergeCell ref="C73:D73"/>
    <mergeCell ref="E73:F73"/>
    <mergeCell ref="G73:H73"/>
    <mergeCell ref="I73:J73"/>
    <mergeCell ref="K73:L73"/>
    <mergeCell ref="M73:N73"/>
    <mergeCell ref="B48:N48"/>
    <mergeCell ref="C50:N50"/>
    <mergeCell ref="C51:D51"/>
    <mergeCell ref="E51:F51"/>
    <mergeCell ref="G51:H51"/>
    <mergeCell ref="I51:J51"/>
    <mergeCell ref="K51:L51"/>
    <mergeCell ref="M51:N51"/>
    <mergeCell ref="B26:N26"/>
    <mergeCell ref="C28:N28"/>
    <mergeCell ref="C29:D29"/>
    <mergeCell ref="E29:F29"/>
    <mergeCell ref="G29:H29"/>
    <mergeCell ref="I29:J29"/>
    <mergeCell ref="K29:L29"/>
    <mergeCell ref="M29:N29"/>
    <mergeCell ref="B4:N4"/>
    <mergeCell ref="C6:N6"/>
    <mergeCell ref="C7:D7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F4EEB-6E50-4D36-91E8-4B8F10373B8A}">
  <sheetPr>
    <tabColor rgb="FF7030A0"/>
  </sheetPr>
  <dimension ref="A4:A24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E7509-9941-4281-AAA0-9DC920A981AB}">
  <sheetPr>
    <tabColor rgb="FFAC75D5"/>
  </sheetPr>
  <dimension ref="A1:AC89"/>
  <sheetViews>
    <sheetView showGridLines="0" zoomScaleNormal="100" workbookViewId="0"/>
  </sheetViews>
  <sheetFormatPr baseColWidth="10" defaultColWidth="11.42578125" defaultRowHeight="15" x14ac:dyDescent="0.25"/>
  <cols>
    <col min="1" max="1" width="15.28515625" customWidth="1"/>
    <col min="3" max="3" width="15.85546875" bestFit="1" customWidth="1"/>
    <col min="13" max="13" width="14.7109375" bestFit="1" customWidth="1"/>
    <col min="15" max="15" width="14.85546875" customWidth="1"/>
  </cols>
  <sheetData>
    <row r="1" spans="1:16" ht="18.75" x14ac:dyDescent="0.3">
      <c r="C1" s="81"/>
      <c r="D1" s="196"/>
    </row>
    <row r="2" spans="1:16" ht="18.75" x14ac:dyDescent="0.3">
      <c r="D2" s="196"/>
    </row>
    <row r="4" spans="1:16" ht="48.75" customHeight="1" thickBot="1" x14ac:dyDescent="0.3">
      <c r="B4" s="278" t="s">
        <v>301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P4" s="1" t="s">
        <v>152</v>
      </c>
    </row>
    <row r="5" spans="1:16" ht="10.5" customHeight="1" thickBot="1" x14ac:dyDescent="0.3">
      <c r="B5" s="108"/>
      <c r="C5" s="109"/>
      <c r="D5" s="108"/>
      <c r="E5" s="108"/>
      <c r="F5" s="108"/>
      <c r="G5" s="108"/>
      <c r="H5" s="108"/>
      <c r="I5" s="108"/>
      <c r="J5" s="108"/>
      <c r="K5" s="108"/>
      <c r="L5" s="108"/>
      <c r="M5" s="4"/>
      <c r="N5" s="4"/>
      <c r="P5" s="1" t="s">
        <v>153</v>
      </c>
    </row>
    <row r="6" spans="1:16" ht="22.5" thickTop="1" thickBot="1" x14ac:dyDescent="0.3">
      <c r="B6" s="111"/>
      <c r="C6" s="303" t="s">
        <v>154</v>
      </c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</row>
    <row r="7" spans="1:16" ht="22.5" thickTop="1" thickBot="1" x14ac:dyDescent="0.3">
      <c r="B7" s="111"/>
      <c r="C7" s="307" t="s">
        <v>314</v>
      </c>
      <c r="D7" s="308"/>
      <c r="E7" s="307" t="s">
        <v>315</v>
      </c>
      <c r="F7" s="308"/>
      <c r="G7" s="307" t="s">
        <v>316</v>
      </c>
      <c r="H7" s="308"/>
      <c r="I7" s="307">
        <v>2023</v>
      </c>
      <c r="J7" s="308"/>
      <c r="K7" s="307">
        <v>2024</v>
      </c>
      <c r="L7" s="308"/>
      <c r="M7" s="307">
        <v>2025</v>
      </c>
      <c r="N7" s="308"/>
    </row>
    <row r="8" spans="1:16" ht="16.5" thickTop="1" thickBot="1" x14ac:dyDescent="0.3">
      <c r="B8" s="87"/>
      <c r="C8" s="117" t="s">
        <v>71</v>
      </c>
      <c r="D8" s="116" t="s">
        <v>317</v>
      </c>
      <c r="E8" s="117" t="s">
        <v>71</v>
      </c>
      <c r="F8" s="116" t="str">
        <f>CONCATENATE("var ",RIGHT(E7,2),"/",RIGHT(C7,2))</f>
        <v>var 21/20</v>
      </c>
      <c r="G8" s="117" t="s">
        <v>71</v>
      </c>
      <c r="H8" s="116" t="str">
        <f>CONCATENATE("var ",RIGHT(G7,2),"/",RIGHT(E7,2))</f>
        <v>var 22/21</v>
      </c>
      <c r="I8" s="117" t="s">
        <v>71</v>
      </c>
      <c r="J8" s="116" t="str">
        <f>CONCATENATE("var ",RIGHT(I7,2),"/",RIGHT(G7,2))</f>
        <v>var 23/22</v>
      </c>
      <c r="K8" s="117" t="s">
        <v>71</v>
      </c>
      <c r="L8" s="116" t="str">
        <f>CONCATENATE("var ",RIGHT(K7,2),"/",RIGHT(I7,2))</f>
        <v>var 24/23</v>
      </c>
      <c r="M8" s="117" t="s">
        <v>71</v>
      </c>
      <c r="N8" s="116" t="str">
        <f>CONCATENATE("var ",RIGHT(M7,2),"/",RIGHT(K7,2))</f>
        <v>var 25/24</v>
      </c>
    </row>
    <row r="9" spans="1:16" x14ac:dyDescent="0.25">
      <c r="A9" s="1" t="s">
        <v>72</v>
      </c>
      <c r="B9" s="118" t="s">
        <v>73</v>
      </c>
      <c r="C9" s="197">
        <v>0.56399999999999995</v>
      </c>
      <c r="D9" s="120">
        <v>9.4508053561032312E-2</v>
      </c>
      <c r="E9" s="197">
        <v>0.19170000000000001</v>
      </c>
      <c r="F9" s="120">
        <f t="shared" ref="F9:F20" si="0">IFERROR(E9/C9-1,"-")</f>
        <v>-0.66010638297872337</v>
      </c>
      <c r="G9" s="197">
        <v>0.58840000000000003</v>
      </c>
      <c r="H9" s="120">
        <f t="shared" ref="H9:H20" si="1">IFERROR(G9/E9-1,"-")</f>
        <v>2.0693792383933229</v>
      </c>
      <c r="I9" s="197">
        <v>0.69830000000000003</v>
      </c>
      <c r="J9" s="120">
        <f t="shared" ref="J9:J20" si="2">IFERROR(I9/G9-1,"-")</f>
        <v>0.18677770224337187</v>
      </c>
      <c r="K9" s="197">
        <v>0.69889999999999997</v>
      </c>
      <c r="L9" s="120">
        <f t="shared" ref="L9:L14" si="3">IFERROR(K9/I9-1,"-")</f>
        <v>8.5922955749673235E-4</v>
      </c>
      <c r="M9" s="197">
        <v>0.68330000000000002</v>
      </c>
      <c r="N9" s="120">
        <f t="shared" ref="N9:N14" si="4">IFERROR(M9/K9-1,"-")</f>
        <v>-2.2320789812562469E-2</v>
      </c>
    </row>
    <row r="10" spans="1:16" x14ac:dyDescent="0.25">
      <c r="A10" s="1" t="s">
        <v>74</v>
      </c>
      <c r="B10" s="118" t="s">
        <v>75</v>
      </c>
      <c r="C10" s="197">
        <v>0.63570000000000004</v>
      </c>
      <c r="D10" s="120">
        <v>2.9306994818653065E-2</v>
      </c>
      <c r="E10" s="197">
        <v>0.2379</v>
      </c>
      <c r="F10" s="120">
        <f t="shared" si="0"/>
        <v>-0.62576687116564422</v>
      </c>
      <c r="G10" s="197">
        <v>0.65049999999999997</v>
      </c>
      <c r="H10" s="120">
        <f t="shared" si="1"/>
        <v>1.7343421605716687</v>
      </c>
      <c r="I10" s="197">
        <v>0.76769999999999994</v>
      </c>
      <c r="J10" s="120">
        <f t="shared" si="2"/>
        <v>0.18016910069177561</v>
      </c>
      <c r="K10" s="197">
        <v>0.77560000000000007</v>
      </c>
      <c r="L10" s="120">
        <f t="shared" si="3"/>
        <v>1.0290478051322216E-2</v>
      </c>
      <c r="M10" s="197">
        <v>0.69579999999999997</v>
      </c>
      <c r="N10" s="120">
        <f t="shared" si="4"/>
        <v>-0.10288808664259941</v>
      </c>
    </row>
    <row r="11" spans="1:16" x14ac:dyDescent="0.25">
      <c r="A11" s="1" t="s">
        <v>76</v>
      </c>
      <c r="B11" s="118" t="s">
        <v>77</v>
      </c>
      <c r="C11" s="197">
        <v>0.2369</v>
      </c>
      <c r="D11" s="120">
        <v>-0.5898545706371191</v>
      </c>
      <c r="E11" s="197">
        <v>0.34399999999999997</v>
      </c>
      <c r="F11" s="120">
        <f t="shared" si="0"/>
        <v>0.45208948923596437</v>
      </c>
      <c r="G11" s="197">
        <v>0.65599999999999992</v>
      </c>
      <c r="H11" s="120">
        <f t="shared" si="1"/>
        <v>0.90697674418604635</v>
      </c>
      <c r="I11" s="197">
        <v>0.75919999999999999</v>
      </c>
      <c r="J11" s="120">
        <f t="shared" si="2"/>
        <v>0.15731707317073185</v>
      </c>
      <c r="K11" s="197">
        <v>0.73299999999999998</v>
      </c>
      <c r="L11" s="120">
        <f t="shared" si="3"/>
        <v>-3.4510010537407765E-2</v>
      </c>
      <c r="M11" s="197">
        <v>0.67559999999999998</v>
      </c>
      <c r="N11" s="120">
        <f t="shared" si="4"/>
        <v>-7.8308321964529304E-2</v>
      </c>
    </row>
    <row r="12" spans="1:16" x14ac:dyDescent="0.25">
      <c r="A12" s="1" t="s">
        <v>78</v>
      </c>
      <c r="B12" s="118" t="s">
        <v>79</v>
      </c>
      <c r="C12" s="197">
        <v>0</v>
      </c>
      <c r="D12" s="120">
        <v>-1</v>
      </c>
      <c r="E12" s="197">
        <v>0.29299999999999998</v>
      </c>
      <c r="F12" s="120" t="str">
        <f t="shared" si="0"/>
        <v>-</v>
      </c>
      <c r="G12" s="197">
        <v>0.61299999999999999</v>
      </c>
      <c r="H12" s="120">
        <f t="shared" si="1"/>
        <v>1.0921501706484644</v>
      </c>
      <c r="I12" s="197">
        <v>0.63869999999999993</v>
      </c>
      <c r="J12" s="120">
        <f t="shared" si="2"/>
        <v>4.1924959216965707E-2</v>
      </c>
      <c r="K12" s="197">
        <v>0.66559999999999997</v>
      </c>
      <c r="L12" s="120">
        <f t="shared" si="3"/>
        <v>4.2116799749491118E-2</v>
      </c>
      <c r="M12" s="197">
        <v>0.59329999999999994</v>
      </c>
      <c r="N12" s="120">
        <f t="shared" si="4"/>
        <v>-0.10862379807692313</v>
      </c>
    </row>
    <row r="13" spans="1:16" x14ac:dyDescent="0.25">
      <c r="A13" s="1" t="s">
        <v>80</v>
      </c>
      <c r="B13" s="118" t="s">
        <v>81</v>
      </c>
      <c r="C13" s="197">
        <v>0</v>
      </c>
      <c r="D13" s="120">
        <v>-1</v>
      </c>
      <c r="E13" s="197">
        <v>0.39149999999999996</v>
      </c>
      <c r="F13" s="120" t="str">
        <f t="shared" si="0"/>
        <v>-</v>
      </c>
      <c r="G13" s="197">
        <v>0.49070000000000003</v>
      </c>
      <c r="H13" s="120">
        <f t="shared" si="1"/>
        <v>0.25338441890166052</v>
      </c>
      <c r="I13" s="197">
        <v>0.62240000000000006</v>
      </c>
      <c r="J13" s="120">
        <f t="shared" si="2"/>
        <v>0.26839209292846955</v>
      </c>
      <c r="K13" s="197">
        <v>0.5998</v>
      </c>
      <c r="L13" s="120">
        <f t="shared" si="3"/>
        <v>-3.6311053984575903E-2</v>
      </c>
      <c r="M13" s="197">
        <v>0.64280000000000004</v>
      </c>
      <c r="N13" s="120">
        <f t="shared" si="4"/>
        <v>7.1690563521173756E-2</v>
      </c>
    </row>
    <row r="14" spans="1:16" x14ac:dyDescent="0.25">
      <c r="A14" s="1" t="s">
        <v>82</v>
      </c>
      <c r="B14" s="118" t="s">
        <v>83</v>
      </c>
      <c r="C14" s="197">
        <v>0</v>
      </c>
      <c r="D14" s="120">
        <v>-1</v>
      </c>
      <c r="E14" s="197">
        <v>0.39329999999999998</v>
      </c>
      <c r="F14" s="120" t="str">
        <f t="shared" si="0"/>
        <v>-</v>
      </c>
      <c r="G14" s="197">
        <v>0.56700000000000006</v>
      </c>
      <c r="H14" s="120">
        <f t="shared" si="1"/>
        <v>0.44164759725400482</v>
      </c>
      <c r="I14" s="197">
        <v>0.52149999999999996</v>
      </c>
      <c r="J14" s="120">
        <f t="shared" si="2"/>
        <v>-8.0246913580247048E-2</v>
      </c>
      <c r="K14" s="197">
        <v>0.501</v>
      </c>
      <c r="L14" s="120">
        <f t="shared" si="3"/>
        <v>-3.9309683604985546E-2</v>
      </c>
      <c r="M14" s="197">
        <v>0.57740000000000002</v>
      </c>
      <c r="N14" s="120">
        <f t="shared" si="4"/>
        <v>0.15249500998003995</v>
      </c>
    </row>
    <row r="15" spans="1:16" x14ac:dyDescent="0.25">
      <c r="A15" s="1" t="s">
        <v>84</v>
      </c>
      <c r="B15" s="118" t="s">
        <v>85</v>
      </c>
      <c r="C15" s="197">
        <v>0</v>
      </c>
      <c r="D15" s="120">
        <v>-1</v>
      </c>
      <c r="E15" s="197">
        <v>0.39350000000000002</v>
      </c>
      <c r="F15" s="120" t="str">
        <f t="shared" si="0"/>
        <v>-</v>
      </c>
      <c r="G15" s="197">
        <v>0.52110000000000001</v>
      </c>
      <c r="H15" s="120">
        <f t="shared" si="1"/>
        <v>0.32426937738246497</v>
      </c>
      <c r="I15" s="197">
        <v>0.46679999999999999</v>
      </c>
      <c r="J15" s="120">
        <f t="shared" si="2"/>
        <v>-0.10420264824409908</v>
      </c>
      <c r="K15" s="197">
        <v>0.48599999999999999</v>
      </c>
      <c r="L15" s="120">
        <f>IFERROR(K15/I15-1,"-")</f>
        <v>4.1131105398457546E-2</v>
      </c>
      <c r="M15" s="197"/>
      <c r="N15" s="120"/>
    </row>
    <row r="16" spans="1:16" x14ac:dyDescent="0.25">
      <c r="A16" s="1" t="s">
        <v>86</v>
      </c>
      <c r="B16" s="118" t="s">
        <v>87</v>
      </c>
      <c r="C16" s="197">
        <v>0.76939999999999997</v>
      </c>
      <c r="D16" s="120">
        <v>0.51815311760063132</v>
      </c>
      <c r="E16" s="197">
        <v>0.44319999999999998</v>
      </c>
      <c r="F16" s="120">
        <f t="shared" si="0"/>
        <v>-0.42396672731998963</v>
      </c>
      <c r="G16" s="197">
        <v>0.49969999999999998</v>
      </c>
      <c r="H16" s="120">
        <f t="shared" si="1"/>
        <v>0.12748194945848379</v>
      </c>
      <c r="I16" s="197">
        <v>0.60020000000000007</v>
      </c>
      <c r="J16" s="120">
        <f t="shared" si="2"/>
        <v>0.20112067240344222</v>
      </c>
      <c r="K16" s="197">
        <v>0.44380000000000003</v>
      </c>
      <c r="L16" s="120">
        <f>IFERROR(K16/I16-1,"-")</f>
        <v>-0.26057980673108971</v>
      </c>
      <c r="M16" s="197"/>
      <c r="N16" s="120"/>
    </row>
    <row r="17" spans="1:29" x14ac:dyDescent="0.25">
      <c r="A17" s="1" t="s">
        <v>88</v>
      </c>
      <c r="B17" s="118" t="s">
        <v>89</v>
      </c>
      <c r="C17" s="197">
        <v>0.43149999999999999</v>
      </c>
      <c r="D17" s="120">
        <v>-5.538528896672501E-2</v>
      </c>
      <c r="E17" s="197">
        <v>0.51200000000000001</v>
      </c>
      <c r="F17" s="120">
        <f t="shared" si="0"/>
        <v>0.18655851680185398</v>
      </c>
      <c r="G17" s="197">
        <v>0.5514</v>
      </c>
      <c r="H17" s="120">
        <f t="shared" si="1"/>
        <v>7.6953124999999956E-2</v>
      </c>
      <c r="I17" s="197">
        <v>0.53320000000000001</v>
      </c>
      <c r="J17" s="120">
        <f t="shared" si="2"/>
        <v>-3.3006891548784889E-2</v>
      </c>
      <c r="K17" s="197">
        <v>0.56189999999999996</v>
      </c>
      <c r="L17" s="120">
        <f t="shared" ref="L17:L20" si="5">IFERROR(K17/I17-1,"-")</f>
        <v>5.382595648912214E-2</v>
      </c>
      <c r="M17" s="197"/>
      <c r="N17" s="120"/>
    </row>
    <row r="18" spans="1:29" x14ac:dyDescent="0.25">
      <c r="A18" s="1" t="s">
        <v>90</v>
      </c>
      <c r="B18" s="118" t="s">
        <v>91</v>
      </c>
      <c r="C18" s="197">
        <v>0.39939999999999998</v>
      </c>
      <c r="D18" s="120">
        <v>-9.4331065759637234E-2</v>
      </c>
      <c r="E18" s="197">
        <v>0.52229999999999999</v>
      </c>
      <c r="F18" s="120">
        <f t="shared" si="0"/>
        <v>0.30771156735102667</v>
      </c>
      <c r="G18" s="197">
        <v>0.56420000000000003</v>
      </c>
      <c r="H18" s="120">
        <f t="shared" si="1"/>
        <v>8.0222094581658077E-2</v>
      </c>
      <c r="I18" s="197">
        <v>0.53239999999999998</v>
      </c>
      <c r="J18" s="120">
        <f t="shared" si="2"/>
        <v>-5.6362991846862887E-2</v>
      </c>
      <c r="K18" s="197">
        <v>0.58409999999999995</v>
      </c>
      <c r="L18" s="120">
        <f t="shared" si="5"/>
        <v>9.710743801652888E-2</v>
      </c>
      <c r="M18" s="197"/>
      <c r="N18" s="120"/>
      <c r="AB18" s="198"/>
    </row>
    <row r="19" spans="1:29" x14ac:dyDescent="0.25">
      <c r="A19" s="1" t="s">
        <v>92</v>
      </c>
      <c r="B19" s="118" t="s">
        <v>93</v>
      </c>
      <c r="C19" s="197">
        <v>0.40720000000000001</v>
      </c>
      <c r="D19" s="120">
        <v>-0.32893869479235327</v>
      </c>
      <c r="E19" s="197">
        <v>0.64989999999999992</v>
      </c>
      <c r="F19" s="120">
        <f t="shared" si="0"/>
        <v>0.59602161100196449</v>
      </c>
      <c r="G19" s="197">
        <v>0.65629999999999999</v>
      </c>
      <c r="H19" s="120">
        <f t="shared" si="1"/>
        <v>9.8476688721342853E-3</v>
      </c>
      <c r="I19" s="197">
        <v>0.65459999999999996</v>
      </c>
      <c r="J19" s="120">
        <f t="shared" si="2"/>
        <v>-2.5902788358982409E-3</v>
      </c>
      <c r="K19" s="197">
        <v>0.74159999999999993</v>
      </c>
      <c r="L19" s="120">
        <f t="shared" si="5"/>
        <v>0.13290559120073331</v>
      </c>
      <c r="M19" s="197"/>
      <c r="N19" s="120"/>
      <c r="AB19" s="198"/>
      <c r="AC19" s="198"/>
    </row>
    <row r="20" spans="1:29" x14ac:dyDescent="0.25">
      <c r="A20" s="1" t="s">
        <v>94</v>
      </c>
      <c r="B20" s="118" t="s">
        <v>95</v>
      </c>
      <c r="C20" s="197">
        <v>0.48200000000000004</v>
      </c>
      <c r="D20" s="120">
        <v>-0.10707669507224882</v>
      </c>
      <c r="E20" s="197">
        <v>0.57810000000000006</v>
      </c>
      <c r="F20" s="120">
        <f t="shared" si="0"/>
        <v>0.19937759336099581</v>
      </c>
      <c r="G20" s="197">
        <v>0.58939999999999992</v>
      </c>
      <c r="H20" s="120">
        <f t="shared" si="1"/>
        <v>1.954679121259284E-2</v>
      </c>
      <c r="I20" s="197">
        <v>0.56869999999999998</v>
      </c>
      <c r="J20" s="120">
        <f t="shared" si="2"/>
        <v>-3.5120461486257137E-2</v>
      </c>
      <c r="K20" s="197">
        <v>0.63840000000000008</v>
      </c>
      <c r="L20" s="120">
        <f t="shared" si="5"/>
        <v>0.12256022507473197</v>
      </c>
      <c r="M20" s="197"/>
      <c r="N20" s="120"/>
      <c r="O20" s="126"/>
    </row>
    <row r="21" spans="1:29" ht="15.75" x14ac:dyDescent="0.25">
      <c r="A21" s="1" t="s">
        <v>0</v>
      </c>
      <c r="B21" s="121" t="s">
        <v>32</v>
      </c>
      <c r="C21" s="199">
        <v>0.4768</v>
      </c>
      <c r="D21" s="123">
        <v>-8.825651528730738E-2</v>
      </c>
      <c r="E21" s="199">
        <v>0.42945341263098274</v>
      </c>
      <c r="F21" s="123">
        <v>-9.9300728542402017E-2</v>
      </c>
      <c r="G21" s="199">
        <v>0.57741590694750078</v>
      </c>
      <c r="H21" s="123">
        <v>0.34453677620128276</v>
      </c>
      <c r="I21" s="199">
        <v>0.61259601883208059</v>
      </c>
      <c r="J21" s="123">
        <v>6.0926814556528042E-2</v>
      </c>
      <c r="K21" s="199">
        <v>0.6183064169082243</v>
      </c>
      <c r="L21" s="123">
        <v>9.3216375892071213E-3</v>
      </c>
      <c r="M21" s="199"/>
      <c r="N21" s="123"/>
      <c r="O21" s="315"/>
    </row>
    <row r="22" spans="1:29" ht="6" customHeight="1" x14ac:dyDescent="0.25">
      <c r="O22" s="315"/>
    </row>
    <row r="23" spans="1:29" x14ac:dyDescent="0.25">
      <c r="B23" s="107" t="s">
        <v>57</v>
      </c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315"/>
    </row>
    <row r="24" spans="1:29" x14ac:dyDescent="0.25">
      <c r="C24" s="200"/>
      <c r="K24" s="200"/>
      <c r="M24" s="200"/>
      <c r="N24" s="120"/>
      <c r="O24" s="315"/>
    </row>
    <row r="26" spans="1:29" ht="21.75" customHeight="1" thickBot="1" x14ac:dyDescent="0.3">
      <c r="B26" s="278" t="s">
        <v>302</v>
      </c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P26" s="1" t="s">
        <v>155</v>
      </c>
    </row>
    <row r="27" spans="1:29" ht="10.5" customHeight="1" thickBot="1" x14ac:dyDescent="0.3">
      <c r="B27" s="108"/>
      <c r="C27" s="109"/>
      <c r="D27" s="108"/>
      <c r="E27" s="108"/>
      <c r="F27" s="108"/>
      <c r="G27" s="108"/>
      <c r="H27" s="108"/>
      <c r="I27" s="108"/>
      <c r="J27" s="108"/>
      <c r="K27" s="108"/>
      <c r="L27" s="108"/>
      <c r="M27" s="4"/>
      <c r="N27" s="4"/>
      <c r="P27" s="1" t="s">
        <v>156</v>
      </c>
    </row>
    <row r="28" spans="1:29" ht="22.5" thickTop="1" thickBot="1" x14ac:dyDescent="0.3">
      <c r="B28" s="111"/>
      <c r="C28" s="303" t="s">
        <v>62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</row>
    <row r="29" spans="1:29" ht="22.5" thickTop="1" thickBot="1" x14ac:dyDescent="0.3">
      <c r="B29" s="111"/>
      <c r="C29" s="307" t="s">
        <v>314</v>
      </c>
      <c r="D29" s="308"/>
      <c r="E29" s="307" t="s">
        <v>315</v>
      </c>
      <c r="F29" s="308"/>
      <c r="G29" s="307" t="s">
        <v>316</v>
      </c>
      <c r="H29" s="308"/>
      <c r="I29" s="307">
        <v>2023</v>
      </c>
      <c r="J29" s="308"/>
      <c r="K29" s="307">
        <v>2024</v>
      </c>
      <c r="L29" s="308"/>
      <c r="M29" s="113">
        <f>M$7</f>
        <v>2025</v>
      </c>
      <c r="N29" s="114"/>
    </row>
    <row r="30" spans="1:29" ht="16.5" thickTop="1" thickBot="1" x14ac:dyDescent="0.3">
      <c r="B30" s="87"/>
      <c r="C30" s="117" t="s">
        <v>71</v>
      </c>
      <c r="D30" s="116" t="s">
        <v>317</v>
      </c>
      <c r="E30" s="117" t="s">
        <v>71</v>
      </c>
      <c r="F30" s="116" t="str">
        <f>CONCATENATE("var ",RIGHT(E29,2),"/",RIGHT(C29,2))</f>
        <v>var 21/20</v>
      </c>
      <c r="G30" s="117" t="s">
        <v>71</v>
      </c>
      <c r="H30" s="116" t="str">
        <f>CONCATENATE("var ",RIGHT(G29,2),"/",RIGHT(E29,2))</f>
        <v>var 22/21</v>
      </c>
      <c r="I30" s="117" t="s">
        <v>71</v>
      </c>
      <c r="J30" s="116" t="str">
        <f>CONCATENATE("var ",RIGHT(I29,2),"/",RIGHT(G29,2))</f>
        <v>var 23/22</v>
      </c>
      <c r="K30" s="117" t="s">
        <v>71</v>
      </c>
      <c r="L30" s="116" t="str">
        <f>CONCATENATE("var ",RIGHT(K29,2),"/",RIGHT(I29,2))</f>
        <v>var 24/23</v>
      </c>
      <c r="M30" s="117" t="s">
        <v>71</v>
      </c>
      <c r="N30" s="116" t="str">
        <f>CONCATENATE("var ",RIGHT(M29,2),"/",RIGHT(K29,2))</f>
        <v>var 25/24</v>
      </c>
    </row>
    <row r="31" spans="1:29" x14ac:dyDescent="0.25">
      <c r="B31" s="118" t="s">
        <v>73</v>
      </c>
      <c r="C31" s="197">
        <v>0.56399999999999995</v>
      </c>
      <c r="D31" s="120">
        <v>9.4508053561032312E-2</v>
      </c>
      <c r="E31" s="197">
        <v>0.19170000000000001</v>
      </c>
      <c r="F31" s="120">
        <f t="shared" ref="F31:F42" si="6">IFERROR(E31/C31-1,"-")</f>
        <v>-0.66010638297872337</v>
      </c>
      <c r="G31" s="197">
        <v>0.58840000000000003</v>
      </c>
      <c r="H31" s="120">
        <f t="shared" ref="H31:H42" si="7">IFERROR(G31/E31-1,"-")</f>
        <v>2.0693792383933229</v>
      </c>
      <c r="I31" s="197">
        <v>0.69830000000000003</v>
      </c>
      <c r="J31" s="120">
        <f t="shared" ref="J31:J42" si="8">IFERROR(I31/G31-1,"-")</f>
        <v>0.18677770224337187</v>
      </c>
      <c r="K31" s="197">
        <v>0.69889999999999997</v>
      </c>
      <c r="L31" s="120">
        <f t="shared" ref="L31:L39" si="9">IFERROR(K31/I31-1,"-")</f>
        <v>8.5922955749673235E-4</v>
      </c>
      <c r="M31" s="197">
        <v>0.68330000000000002</v>
      </c>
      <c r="N31" s="120">
        <f t="shared" ref="N31:N36" si="10">IFERROR(M31/K31-1,"-")</f>
        <v>-2.2320789812562469E-2</v>
      </c>
    </row>
    <row r="32" spans="1:29" x14ac:dyDescent="0.25">
      <c r="B32" s="118" t="s">
        <v>75</v>
      </c>
      <c r="C32" s="197">
        <v>0.63570000000000004</v>
      </c>
      <c r="D32" s="120">
        <v>2.9306994818653065E-2</v>
      </c>
      <c r="E32" s="197">
        <v>0.2379</v>
      </c>
      <c r="F32" s="120">
        <f t="shared" si="6"/>
        <v>-0.62576687116564422</v>
      </c>
      <c r="G32" s="197">
        <v>0.65049999999999997</v>
      </c>
      <c r="H32" s="120">
        <f t="shared" si="7"/>
        <v>1.7343421605716687</v>
      </c>
      <c r="I32" s="197">
        <v>0.76769999999999994</v>
      </c>
      <c r="J32" s="120">
        <f t="shared" si="8"/>
        <v>0.18016910069177561</v>
      </c>
      <c r="K32" s="197">
        <v>0.80330000000000001</v>
      </c>
      <c r="L32" s="120">
        <f t="shared" si="9"/>
        <v>4.6372280838869351E-2</v>
      </c>
      <c r="M32" s="197">
        <v>0.69579999999999997</v>
      </c>
      <c r="N32" s="120">
        <f t="shared" si="10"/>
        <v>-0.13382298020664762</v>
      </c>
    </row>
    <row r="33" spans="2:16" x14ac:dyDescent="0.25">
      <c r="B33" s="118" t="s">
        <v>77</v>
      </c>
      <c r="C33" s="197">
        <v>0.2369</v>
      </c>
      <c r="D33" s="120">
        <v>-0.5898545706371191</v>
      </c>
      <c r="E33" s="197">
        <v>0.34399999999999997</v>
      </c>
      <c r="F33" s="120">
        <f t="shared" si="6"/>
        <v>0.45208948923596437</v>
      </c>
      <c r="G33" s="197">
        <v>0.65599999999999992</v>
      </c>
      <c r="H33" s="120">
        <f t="shared" si="7"/>
        <v>0.90697674418604635</v>
      </c>
      <c r="I33" s="197">
        <v>0.75919999999999999</v>
      </c>
      <c r="J33" s="120">
        <f t="shared" si="8"/>
        <v>0.15731707317073185</v>
      </c>
      <c r="K33" s="197">
        <v>0.73299999999999998</v>
      </c>
      <c r="L33" s="120">
        <f t="shared" si="9"/>
        <v>-3.4510010537407765E-2</v>
      </c>
      <c r="M33" s="197">
        <v>0.67559999999999998</v>
      </c>
      <c r="N33" s="120">
        <f t="shared" si="10"/>
        <v>-7.8308321964529304E-2</v>
      </c>
    </row>
    <row r="34" spans="2:16" x14ac:dyDescent="0.25">
      <c r="B34" s="118" t="s">
        <v>79</v>
      </c>
      <c r="C34" s="197">
        <v>0</v>
      </c>
      <c r="D34" s="120">
        <v>-1</v>
      </c>
      <c r="E34" s="197">
        <v>0.29299999999999998</v>
      </c>
      <c r="F34" s="120" t="str">
        <f t="shared" si="6"/>
        <v>-</v>
      </c>
      <c r="G34" s="197">
        <v>0.61299999999999999</v>
      </c>
      <c r="H34" s="120">
        <f t="shared" si="7"/>
        <v>1.0921501706484644</v>
      </c>
      <c r="I34" s="197">
        <v>0.63869999999999993</v>
      </c>
      <c r="J34" s="120">
        <f t="shared" si="8"/>
        <v>4.1924959216965707E-2</v>
      </c>
      <c r="K34" s="197">
        <v>0.66559999999999997</v>
      </c>
      <c r="L34" s="120">
        <f t="shared" si="9"/>
        <v>4.2116799749491118E-2</v>
      </c>
      <c r="M34" s="197">
        <v>0.59329999999999994</v>
      </c>
      <c r="N34" s="120">
        <f t="shared" si="10"/>
        <v>-0.10862379807692313</v>
      </c>
    </row>
    <row r="35" spans="2:16" x14ac:dyDescent="0.25">
      <c r="B35" s="118" t="s">
        <v>81</v>
      </c>
      <c r="C35" s="197">
        <v>0</v>
      </c>
      <c r="D35" s="120">
        <v>-1</v>
      </c>
      <c r="E35" s="197">
        <v>0.39149999999999996</v>
      </c>
      <c r="F35" s="120" t="str">
        <f t="shared" si="6"/>
        <v>-</v>
      </c>
      <c r="G35" s="197">
        <v>0.49070000000000003</v>
      </c>
      <c r="H35" s="120">
        <f t="shared" si="7"/>
        <v>0.25338441890166052</v>
      </c>
      <c r="I35" s="197">
        <v>0.62240000000000006</v>
      </c>
      <c r="J35" s="120">
        <f t="shared" si="8"/>
        <v>0.26839209292846955</v>
      </c>
      <c r="K35" s="197">
        <v>0.5998</v>
      </c>
      <c r="L35" s="120">
        <f t="shared" si="9"/>
        <v>-3.6311053984575903E-2</v>
      </c>
      <c r="M35" s="197">
        <v>0.64280000000000004</v>
      </c>
      <c r="N35" s="120">
        <f t="shared" si="10"/>
        <v>7.1690563521173756E-2</v>
      </c>
    </row>
    <row r="36" spans="2:16" x14ac:dyDescent="0.25">
      <c r="B36" s="118" t="s">
        <v>83</v>
      </c>
      <c r="C36" s="197">
        <v>0</v>
      </c>
      <c r="D36" s="120">
        <v>-1</v>
      </c>
      <c r="E36" s="197">
        <v>0.39329999999999998</v>
      </c>
      <c r="F36" s="120" t="str">
        <f t="shared" si="6"/>
        <v>-</v>
      </c>
      <c r="G36" s="197">
        <v>0.56700000000000006</v>
      </c>
      <c r="H36" s="120">
        <f t="shared" si="7"/>
        <v>0.44164759725400482</v>
      </c>
      <c r="I36" s="197">
        <v>0.52149999999999996</v>
      </c>
      <c r="J36" s="120">
        <f t="shared" si="8"/>
        <v>-8.0246913580247048E-2</v>
      </c>
      <c r="K36" s="197">
        <v>0.501</v>
      </c>
      <c r="L36" s="120">
        <f t="shared" si="9"/>
        <v>-3.9309683604985546E-2</v>
      </c>
      <c r="M36" s="197">
        <v>0.57740000000000002</v>
      </c>
      <c r="N36" s="120">
        <f t="shared" si="10"/>
        <v>0.15249500998003995</v>
      </c>
    </row>
    <row r="37" spans="2:16" x14ac:dyDescent="0.25">
      <c r="B37" s="118" t="s">
        <v>85</v>
      </c>
      <c r="C37" s="197">
        <v>0</v>
      </c>
      <c r="D37" s="120">
        <v>-1</v>
      </c>
      <c r="E37" s="197">
        <v>0.39350000000000002</v>
      </c>
      <c r="F37" s="120" t="str">
        <f t="shared" si="6"/>
        <v>-</v>
      </c>
      <c r="G37" s="197">
        <v>0.52110000000000001</v>
      </c>
      <c r="H37" s="120">
        <f t="shared" si="7"/>
        <v>0.32426937738246497</v>
      </c>
      <c r="I37" s="197">
        <v>0.46679999999999999</v>
      </c>
      <c r="J37" s="120">
        <f t="shared" si="8"/>
        <v>-0.10420264824409908</v>
      </c>
      <c r="K37" s="197">
        <v>0.48599999999999999</v>
      </c>
      <c r="L37" s="120">
        <f t="shared" si="9"/>
        <v>4.1131105398457546E-2</v>
      </c>
      <c r="M37" s="197"/>
      <c r="N37" s="120"/>
    </row>
    <row r="38" spans="2:16" x14ac:dyDescent="0.25">
      <c r="B38" s="118" t="s">
        <v>87</v>
      </c>
      <c r="C38" s="197">
        <v>0.76939999999999997</v>
      </c>
      <c r="D38" s="120">
        <v>0.51815311760063132</v>
      </c>
      <c r="E38" s="197">
        <v>0.44319999999999998</v>
      </c>
      <c r="F38" s="120">
        <f t="shared" si="6"/>
        <v>-0.42396672731998963</v>
      </c>
      <c r="G38" s="197">
        <v>0.49969999999999998</v>
      </c>
      <c r="H38" s="120">
        <f t="shared" si="7"/>
        <v>0.12748194945848379</v>
      </c>
      <c r="I38" s="197">
        <v>0.60020000000000007</v>
      </c>
      <c r="J38" s="120">
        <f t="shared" si="8"/>
        <v>0.20112067240344222</v>
      </c>
      <c r="K38" s="197">
        <v>0.44380000000000003</v>
      </c>
      <c r="L38" s="120">
        <f t="shared" si="9"/>
        <v>-0.26057980673108971</v>
      </c>
      <c r="M38" s="197"/>
      <c r="N38" s="120"/>
    </row>
    <row r="39" spans="2:16" x14ac:dyDescent="0.25">
      <c r="B39" s="118" t="s">
        <v>89</v>
      </c>
      <c r="C39" s="197">
        <v>0.43149999999999999</v>
      </c>
      <c r="D39" s="120">
        <v>-5.538528896672501E-2</v>
      </c>
      <c r="E39" s="197">
        <v>0.51200000000000001</v>
      </c>
      <c r="F39" s="120">
        <f t="shared" si="6"/>
        <v>0.18655851680185398</v>
      </c>
      <c r="G39" s="197">
        <v>0.5514</v>
      </c>
      <c r="H39" s="120">
        <f t="shared" si="7"/>
        <v>7.6953124999999956E-2</v>
      </c>
      <c r="I39" s="197">
        <v>0.53320000000000001</v>
      </c>
      <c r="J39" s="120">
        <f t="shared" si="8"/>
        <v>-3.3006891548784889E-2</v>
      </c>
      <c r="K39" s="197">
        <v>0.56189999999999996</v>
      </c>
      <c r="L39" s="120">
        <f t="shared" si="9"/>
        <v>5.382595648912214E-2</v>
      </c>
      <c r="M39" s="197"/>
      <c r="N39" s="120"/>
    </row>
    <row r="40" spans="2:16" x14ac:dyDescent="0.25">
      <c r="B40" s="118" t="s">
        <v>91</v>
      </c>
      <c r="C40" s="197">
        <v>0.39939999999999998</v>
      </c>
      <c r="D40" s="120">
        <v>-9.4331065759637234E-2</v>
      </c>
      <c r="E40" s="197">
        <v>0.52229999999999999</v>
      </c>
      <c r="F40" s="120">
        <f t="shared" si="6"/>
        <v>0.30771156735102667</v>
      </c>
      <c r="G40" s="197">
        <v>0.56420000000000003</v>
      </c>
      <c r="H40" s="120">
        <f t="shared" si="7"/>
        <v>8.0222094581658077E-2</v>
      </c>
      <c r="I40" s="197">
        <v>0.53239999999999998</v>
      </c>
      <c r="J40" s="120">
        <f>IFERROR(I40/G40-1,"-")</f>
        <v>-5.6362991846862887E-2</v>
      </c>
      <c r="K40" s="197">
        <v>0.58409999999999995</v>
      </c>
      <c r="L40" s="120">
        <f>IFERROR(K40/I40-1,"-")</f>
        <v>9.710743801652888E-2</v>
      </c>
      <c r="M40" s="197"/>
      <c r="N40" s="120"/>
    </row>
    <row r="41" spans="2:16" x14ac:dyDescent="0.25">
      <c r="B41" s="118" t="s">
        <v>93</v>
      </c>
      <c r="C41" s="197">
        <v>0.40720000000000001</v>
      </c>
      <c r="D41" s="120">
        <v>-0.32893869479235327</v>
      </c>
      <c r="E41" s="197">
        <v>0.64989999999999992</v>
      </c>
      <c r="F41" s="120">
        <f t="shared" si="6"/>
        <v>0.59602161100196449</v>
      </c>
      <c r="G41" s="197">
        <v>0.65629999999999999</v>
      </c>
      <c r="H41" s="120">
        <f t="shared" si="7"/>
        <v>9.8476688721342853E-3</v>
      </c>
      <c r="I41" s="197">
        <v>0.65459999999999996</v>
      </c>
      <c r="J41" s="120">
        <f t="shared" si="8"/>
        <v>-2.5902788358982409E-3</v>
      </c>
      <c r="K41" s="197">
        <v>0.74159999999999993</v>
      </c>
      <c r="L41" s="120">
        <f>IFERROR(K41/I41-1,"-")</f>
        <v>0.13290559120073331</v>
      </c>
      <c r="M41" s="197"/>
      <c r="N41" s="120"/>
    </row>
    <row r="42" spans="2:16" x14ac:dyDescent="0.25">
      <c r="B42" s="118" t="s">
        <v>95</v>
      </c>
      <c r="C42" s="197">
        <v>0.48200000000000004</v>
      </c>
      <c r="D42" s="120">
        <v>-0.10707669507224882</v>
      </c>
      <c r="E42" s="197">
        <v>0.57810000000000006</v>
      </c>
      <c r="F42" s="120">
        <f t="shared" si="6"/>
        <v>0.19937759336099581</v>
      </c>
      <c r="G42" s="197">
        <v>0.58939999999999992</v>
      </c>
      <c r="H42" s="120">
        <f t="shared" si="7"/>
        <v>1.954679121259284E-2</v>
      </c>
      <c r="I42" s="197">
        <v>0.56869999999999998</v>
      </c>
      <c r="J42" s="120">
        <f t="shared" si="8"/>
        <v>-3.5120461486257137E-2</v>
      </c>
      <c r="K42" s="197">
        <v>0.63840000000000008</v>
      </c>
      <c r="L42" s="120">
        <f>IFERROR(K42/I42-1,"-")</f>
        <v>0.12256022507473197</v>
      </c>
      <c r="M42" s="197"/>
      <c r="N42" s="120"/>
    </row>
    <row r="43" spans="2:16" ht="15.75" x14ac:dyDescent="0.25">
      <c r="B43" s="121" t="s">
        <v>32</v>
      </c>
      <c r="C43" s="199">
        <v>0.4768</v>
      </c>
      <c r="D43" s="123">
        <v>-8.825651528730738E-2</v>
      </c>
      <c r="E43" s="199">
        <v>0.42945341263098274</v>
      </c>
      <c r="F43" s="123">
        <v>-9.9300728542402017E-2</v>
      </c>
      <c r="G43" s="199">
        <v>0.57741590694750078</v>
      </c>
      <c r="H43" s="123">
        <v>0.34453677620128276</v>
      </c>
      <c r="I43" s="199">
        <v>0.61259601883208059</v>
      </c>
      <c r="J43" s="123">
        <v>6.0926814556528042E-2</v>
      </c>
      <c r="K43" s="199">
        <v>0.62</v>
      </c>
      <c r="L43" s="123">
        <v>9.3216375892071213E-3</v>
      </c>
      <c r="M43" s="199"/>
      <c r="N43" s="123"/>
    </row>
    <row r="44" spans="2:16" ht="6" customHeight="1" x14ac:dyDescent="0.25"/>
    <row r="45" spans="2:16" x14ac:dyDescent="0.25">
      <c r="B45" s="107" t="s">
        <v>57</v>
      </c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</row>
    <row r="46" spans="2:16" x14ac:dyDescent="0.25">
      <c r="C46" s="200"/>
      <c r="K46" s="200"/>
      <c r="L46" s="200"/>
    </row>
    <row r="48" spans="2:16" ht="21.75" customHeight="1" thickBot="1" x14ac:dyDescent="0.3">
      <c r="B48" s="278" t="s">
        <v>303</v>
      </c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P48" s="1" t="s">
        <v>157</v>
      </c>
    </row>
    <row r="49" spans="2:16" ht="10.5" customHeight="1" thickBot="1" x14ac:dyDescent="0.3">
      <c r="B49" s="108"/>
      <c r="C49" s="109"/>
      <c r="D49" s="108"/>
      <c r="E49" s="108"/>
      <c r="F49" s="108"/>
      <c r="G49" s="108"/>
      <c r="H49" s="108"/>
      <c r="I49" s="108"/>
      <c r="J49" s="108"/>
      <c r="K49" s="108"/>
      <c r="L49" s="108"/>
      <c r="M49" s="4"/>
      <c r="N49" s="4"/>
      <c r="P49" s="1" t="s">
        <v>158</v>
      </c>
    </row>
    <row r="50" spans="2:16" ht="22.5" thickTop="1" thickBot="1" x14ac:dyDescent="0.3">
      <c r="B50" s="111"/>
      <c r="C50" s="303" t="s">
        <v>63</v>
      </c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</row>
    <row r="51" spans="2:16" ht="22.5" thickTop="1" thickBot="1" x14ac:dyDescent="0.3">
      <c r="B51" s="111"/>
      <c r="C51" s="307" t="s">
        <v>314</v>
      </c>
      <c r="D51" s="308"/>
      <c r="E51" s="307" t="s">
        <v>315</v>
      </c>
      <c r="F51" s="308"/>
      <c r="G51" s="307" t="s">
        <v>316</v>
      </c>
      <c r="H51" s="308"/>
      <c r="I51" s="307">
        <v>2023</v>
      </c>
      <c r="J51" s="308"/>
      <c r="K51" s="307">
        <v>2024</v>
      </c>
      <c r="L51" s="308"/>
      <c r="M51" s="113">
        <f>M$7</f>
        <v>2025</v>
      </c>
      <c r="N51" s="114"/>
    </row>
    <row r="52" spans="2:16" ht="16.5" thickTop="1" thickBot="1" x14ac:dyDescent="0.3">
      <c r="B52" s="87"/>
      <c r="C52" s="117" t="s">
        <v>71</v>
      </c>
      <c r="D52" s="116" t="s">
        <v>317</v>
      </c>
      <c r="E52" s="117" t="s">
        <v>71</v>
      </c>
      <c r="F52" s="116" t="str">
        <f>CONCATENATE("var ",RIGHT(E51,2),"/",RIGHT(C51,2))</f>
        <v>var 21/20</v>
      </c>
      <c r="G52" s="117" t="s">
        <v>71</v>
      </c>
      <c r="H52" s="116" t="str">
        <f>CONCATENATE("var ",RIGHT(G51,2),"/",RIGHT(E51,2))</f>
        <v>var 22/21</v>
      </c>
      <c r="I52" s="117" t="s">
        <v>71</v>
      </c>
      <c r="J52" s="116" t="str">
        <f>CONCATENATE("var ",RIGHT(I51,2),"/",RIGHT(G51,2))</f>
        <v>var 23/22</v>
      </c>
      <c r="K52" s="117" t="s">
        <v>71</v>
      </c>
      <c r="L52" s="116" t="str">
        <f>CONCATENATE("var ",RIGHT(K51,2),"/",RIGHT(I51,2))</f>
        <v>var 24/23</v>
      </c>
      <c r="M52" s="117" t="s">
        <v>71</v>
      </c>
      <c r="N52" s="116" t="str">
        <f>CONCATENATE("var ",RIGHT(M51,2),"/",RIGHT(K51,2))</f>
        <v>var 25/24</v>
      </c>
    </row>
    <row r="53" spans="2:16" x14ac:dyDescent="0.25">
      <c r="B53" s="118" t="s">
        <v>73</v>
      </c>
      <c r="C53" s="197" t="s">
        <v>229</v>
      </c>
      <c r="D53" s="120" t="s">
        <v>229</v>
      </c>
      <c r="E53" s="197" t="s">
        <v>229</v>
      </c>
      <c r="F53" s="120" t="str">
        <f t="shared" ref="F53:F64" si="11">IFERROR(E53/C53-1,"-")</f>
        <v>-</v>
      </c>
      <c r="G53" s="197">
        <v>0</v>
      </c>
      <c r="H53" s="120" t="str">
        <f t="shared" ref="H53:H64" si="12">IFERROR(G53/E53-1,"-")</f>
        <v>-</v>
      </c>
      <c r="I53" s="197">
        <v>0.69739999999999991</v>
      </c>
      <c r="J53" s="120" t="str">
        <f t="shared" ref="J53:J64" si="13">IFERROR(I53/G53-1,"-")</f>
        <v>-</v>
      </c>
      <c r="K53" s="197">
        <v>0.70389999999999997</v>
      </c>
      <c r="L53" s="120">
        <f t="shared" ref="L53:L61" si="14">IFERROR(K53/I53-1,"-")</f>
        <v>9.3203326641813078E-3</v>
      </c>
      <c r="M53" s="197">
        <v>0.68480000000000008</v>
      </c>
      <c r="N53" s="120">
        <f t="shared" ref="N53:N58" si="15">IFERROR(M53/K53-1,"-")</f>
        <v>-2.7134536155703826E-2</v>
      </c>
    </row>
    <row r="54" spans="2:16" x14ac:dyDescent="0.25">
      <c r="B54" s="118" t="s">
        <v>75</v>
      </c>
      <c r="C54" s="197" t="s">
        <v>229</v>
      </c>
      <c r="D54" s="120" t="s">
        <v>229</v>
      </c>
      <c r="E54" s="197" t="s">
        <v>229</v>
      </c>
      <c r="F54" s="120" t="str">
        <f t="shared" si="11"/>
        <v>-</v>
      </c>
      <c r="G54" s="197">
        <v>0</v>
      </c>
      <c r="H54" s="120" t="str">
        <f t="shared" si="12"/>
        <v>-</v>
      </c>
      <c r="I54" s="197">
        <v>0.76840000000000008</v>
      </c>
      <c r="J54" s="120" t="str">
        <f t="shared" si="13"/>
        <v>-</v>
      </c>
      <c r="K54" s="197">
        <v>0.80169999999999997</v>
      </c>
      <c r="L54" s="120">
        <f t="shared" si="14"/>
        <v>4.3336803748047714E-2</v>
      </c>
      <c r="M54" s="197">
        <v>0.69189999999999996</v>
      </c>
      <c r="N54" s="120">
        <f t="shared" si="15"/>
        <v>-0.13695896220531367</v>
      </c>
    </row>
    <row r="55" spans="2:16" x14ac:dyDescent="0.25">
      <c r="B55" s="118" t="s">
        <v>77</v>
      </c>
      <c r="C55" s="197" t="s">
        <v>229</v>
      </c>
      <c r="D55" s="120" t="s">
        <v>229</v>
      </c>
      <c r="E55" s="197" t="s">
        <v>229</v>
      </c>
      <c r="F55" s="120" t="str">
        <f t="shared" si="11"/>
        <v>-</v>
      </c>
      <c r="G55" s="197">
        <v>0</v>
      </c>
      <c r="H55" s="120" t="str">
        <f t="shared" si="12"/>
        <v>-</v>
      </c>
      <c r="I55" s="197">
        <v>0.76249999999999996</v>
      </c>
      <c r="J55" s="120" t="str">
        <f t="shared" si="13"/>
        <v>-</v>
      </c>
      <c r="K55" s="197">
        <v>0.73939999999999995</v>
      </c>
      <c r="L55" s="120">
        <f t="shared" si="14"/>
        <v>-3.0295081967213089E-2</v>
      </c>
      <c r="M55" s="197">
        <v>0.67420000000000002</v>
      </c>
      <c r="N55" s="120">
        <f t="shared" si="15"/>
        <v>-8.8179605085204171E-2</v>
      </c>
    </row>
    <row r="56" spans="2:16" x14ac:dyDescent="0.25">
      <c r="B56" s="118" t="s">
        <v>79</v>
      </c>
      <c r="C56" s="197" t="s">
        <v>229</v>
      </c>
      <c r="D56" s="120" t="s">
        <v>229</v>
      </c>
      <c r="E56" s="197" t="s">
        <v>229</v>
      </c>
      <c r="F56" s="120" t="str">
        <f t="shared" si="11"/>
        <v>-</v>
      </c>
      <c r="G56" s="197">
        <v>0.63450000000000006</v>
      </c>
      <c r="H56" s="120" t="str">
        <f t="shared" si="12"/>
        <v>-</v>
      </c>
      <c r="I56" s="197">
        <v>0.63890000000000002</v>
      </c>
      <c r="J56" s="120">
        <f t="shared" si="13"/>
        <v>6.9345941686367318E-3</v>
      </c>
      <c r="K56" s="197">
        <v>0.68159999999999998</v>
      </c>
      <c r="L56" s="120">
        <f t="shared" si="14"/>
        <v>6.6833620284864503E-2</v>
      </c>
      <c r="M56" s="197">
        <v>0.59670000000000001</v>
      </c>
      <c r="N56" s="120">
        <f t="shared" si="15"/>
        <v>-0.12455985915492951</v>
      </c>
    </row>
    <row r="57" spans="2:16" x14ac:dyDescent="0.25">
      <c r="B57" s="118" t="s">
        <v>81</v>
      </c>
      <c r="C57" s="197" t="s">
        <v>229</v>
      </c>
      <c r="D57" s="120" t="s">
        <v>229</v>
      </c>
      <c r="E57" s="197" t="s">
        <v>229</v>
      </c>
      <c r="F57" s="120" t="str">
        <f t="shared" si="11"/>
        <v>-</v>
      </c>
      <c r="G57" s="197">
        <v>0.4965</v>
      </c>
      <c r="H57" s="120" t="str">
        <f t="shared" si="12"/>
        <v>-</v>
      </c>
      <c r="I57" s="197">
        <v>0.63979999999999992</v>
      </c>
      <c r="J57" s="120">
        <f t="shared" si="13"/>
        <v>0.28862034239677725</v>
      </c>
      <c r="K57" s="197">
        <v>0.61899999999999999</v>
      </c>
      <c r="L57" s="120">
        <f t="shared" si="14"/>
        <v>-3.2510159424820162E-2</v>
      </c>
      <c r="M57" s="197">
        <v>0.64370000000000005</v>
      </c>
      <c r="N57" s="120">
        <f t="shared" si="15"/>
        <v>3.9903069466882268E-2</v>
      </c>
    </row>
    <row r="58" spans="2:16" x14ac:dyDescent="0.25">
      <c r="B58" s="118" t="s">
        <v>83</v>
      </c>
      <c r="C58" s="197" t="s">
        <v>229</v>
      </c>
      <c r="D58" s="120" t="s">
        <v>229</v>
      </c>
      <c r="E58" s="197" t="s">
        <v>229</v>
      </c>
      <c r="F58" s="120" t="str">
        <f t="shared" si="11"/>
        <v>-</v>
      </c>
      <c r="G58" s="197">
        <v>0.58509999999999995</v>
      </c>
      <c r="H58" s="120" t="str">
        <f t="shared" si="12"/>
        <v>-</v>
      </c>
      <c r="I58" s="197">
        <v>0.52880000000000005</v>
      </c>
      <c r="J58" s="120">
        <f t="shared" si="13"/>
        <v>-9.6222867885831342E-2</v>
      </c>
      <c r="K58" s="197">
        <v>0.50340000000000007</v>
      </c>
      <c r="L58" s="120">
        <f t="shared" si="14"/>
        <v>-4.8033282904689778E-2</v>
      </c>
      <c r="M58" s="197">
        <v>0.59040000000000004</v>
      </c>
      <c r="N58" s="120">
        <f t="shared" si="15"/>
        <v>0.17282479141835516</v>
      </c>
    </row>
    <row r="59" spans="2:16" x14ac:dyDescent="0.25">
      <c r="B59" s="118" t="s">
        <v>85</v>
      </c>
      <c r="C59" s="197" t="s">
        <v>229</v>
      </c>
      <c r="D59" s="120" t="s">
        <v>229</v>
      </c>
      <c r="E59" s="197" t="s">
        <v>229</v>
      </c>
      <c r="F59" s="120" t="str">
        <f t="shared" si="11"/>
        <v>-</v>
      </c>
      <c r="G59" s="197">
        <v>0.5232</v>
      </c>
      <c r="H59" s="120" t="str">
        <f t="shared" si="12"/>
        <v>-</v>
      </c>
      <c r="I59" s="197">
        <v>0</v>
      </c>
      <c r="J59" s="120">
        <f t="shared" si="13"/>
        <v>-1</v>
      </c>
      <c r="K59" s="197">
        <v>0.4763</v>
      </c>
      <c r="L59" s="120" t="str">
        <f t="shared" si="14"/>
        <v>-</v>
      </c>
      <c r="M59" s="197"/>
      <c r="N59" s="120"/>
    </row>
    <row r="60" spans="2:16" x14ac:dyDescent="0.25">
      <c r="B60" s="118" t="s">
        <v>87</v>
      </c>
      <c r="C60" s="197" t="s">
        <v>229</v>
      </c>
      <c r="D60" s="120" t="s">
        <v>229</v>
      </c>
      <c r="E60" s="197" t="s">
        <v>229</v>
      </c>
      <c r="F60" s="120" t="str">
        <f t="shared" si="11"/>
        <v>-</v>
      </c>
      <c r="G60" s="197">
        <v>0.50629999999999997</v>
      </c>
      <c r="H60" s="120" t="str">
        <f t="shared" si="12"/>
        <v>-</v>
      </c>
      <c r="I60" s="197">
        <v>0</v>
      </c>
      <c r="J60" s="120">
        <f t="shared" si="13"/>
        <v>-1</v>
      </c>
      <c r="K60" s="197">
        <v>0.47450000000000003</v>
      </c>
      <c r="L60" s="120" t="str">
        <f t="shared" si="14"/>
        <v>-</v>
      </c>
      <c r="M60" s="197"/>
      <c r="N60" s="120"/>
    </row>
    <row r="61" spans="2:16" x14ac:dyDescent="0.25">
      <c r="B61" s="118" t="s">
        <v>89</v>
      </c>
      <c r="C61" s="197" t="s">
        <v>229</v>
      </c>
      <c r="D61" s="120" t="s">
        <v>229</v>
      </c>
      <c r="E61" s="197" t="s">
        <v>229</v>
      </c>
      <c r="F61" s="120" t="str">
        <f t="shared" si="11"/>
        <v>-</v>
      </c>
      <c r="G61" s="197">
        <v>0.55810000000000004</v>
      </c>
      <c r="H61" s="120" t="str">
        <f t="shared" si="12"/>
        <v>-</v>
      </c>
      <c r="I61" s="197">
        <v>0.53720000000000001</v>
      </c>
      <c r="J61" s="120">
        <f t="shared" si="13"/>
        <v>-3.7448485934420406E-2</v>
      </c>
      <c r="K61" s="197">
        <v>0.56759999999999999</v>
      </c>
      <c r="L61" s="120">
        <f t="shared" si="14"/>
        <v>5.6589724497393856E-2</v>
      </c>
      <c r="M61" s="197"/>
      <c r="N61" s="120"/>
    </row>
    <row r="62" spans="2:16" x14ac:dyDescent="0.25">
      <c r="B62" s="118" t="s">
        <v>91</v>
      </c>
      <c r="C62" s="197" t="s">
        <v>229</v>
      </c>
      <c r="D62" s="120" t="s">
        <v>229</v>
      </c>
      <c r="E62" s="197" t="s">
        <v>229</v>
      </c>
      <c r="F62" s="120" t="str">
        <f t="shared" si="11"/>
        <v>-</v>
      </c>
      <c r="G62" s="197">
        <v>0.55259999999999998</v>
      </c>
      <c r="H62" s="120" t="str">
        <f t="shared" si="12"/>
        <v>-</v>
      </c>
      <c r="I62" s="197">
        <v>0.52969999999999995</v>
      </c>
      <c r="J62" s="120">
        <f t="shared" si="13"/>
        <v>-4.1440463264567517E-2</v>
      </c>
      <c r="K62" s="197">
        <v>0.58560000000000001</v>
      </c>
      <c r="L62" s="120">
        <f>IFERROR(K62/I62-1,"-")</f>
        <v>0.10553143288653977</v>
      </c>
      <c r="M62" s="197"/>
      <c r="N62" s="120"/>
    </row>
    <row r="63" spans="2:16" x14ac:dyDescent="0.25">
      <c r="B63" s="118" t="s">
        <v>93</v>
      </c>
      <c r="C63" s="197" t="s">
        <v>229</v>
      </c>
      <c r="D63" s="120" t="s">
        <v>229</v>
      </c>
      <c r="E63" s="197" t="s">
        <v>229</v>
      </c>
      <c r="F63" s="120" t="str">
        <f t="shared" si="11"/>
        <v>-</v>
      </c>
      <c r="G63" s="197">
        <v>0.65920000000000001</v>
      </c>
      <c r="H63" s="120" t="str">
        <f t="shared" si="12"/>
        <v>-</v>
      </c>
      <c r="I63" s="197">
        <v>0.65010000000000001</v>
      </c>
      <c r="J63" s="120">
        <f t="shared" si="13"/>
        <v>-1.380461165048541E-2</v>
      </c>
      <c r="K63" s="197">
        <v>0.74099999999999999</v>
      </c>
      <c r="L63" s="120">
        <f>IFERROR(K63/I63-1,"-")</f>
        <v>0.13982464236271341</v>
      </c>
      <c r="M63" s="197"/>
      <c r="N63" s="120"/>
    </row>
    <row r="64" spans="2:16" x14ac:dyDescent="0.25">
      <c r="B64" s="118" t="s">
        <v>95</v>
      </c>
      <c r="C64" s="197" t="s">
        <v>229</v>
      </c>
      <c r="D64" s="120" t="s">
        <v>229</v>
      </c>
      <c r="E64" s="197" t="s">
        <v>229</v>
      </c>
      <c r="F64" s="120" t="str">
        <f t="shared" si="11"/>
        <v>-</v>
      </c>
      <c r="G64" s="197">
        <v>0.58630000000000004</v>
      </c>
      <c r="H64" s="120" t="str">
        <f t="shared" si="12"/>
        <v>-</v>
      </c>
      <c r="I64" s="197">
        <v>0.55459999999999998</v>
      </c>
      <c r="J64" s="120">
        <f t="shared" si="13"/>
        <v>-5.406788333617607E-2</v>
      </c>
      <c r="K64" s="197">
        <v>0.62590000000000001</v>
      </c>
      <c r="L64" s="120">
        <f>IFERROR(K64/I64-1,"-")</f>
        <v>0.12856112513523277</v>
      </c>
      <c r="M64" s="197"/>
      <c r="N64" s="120"/>
    </row>
    <row r="65" spans="2:16" ht="15.75" x14ac:dyDescent="0.25">
      <c r="B65" s="121" t="s">
        <v>32</v>
      </c>
      <c r="C65" s="199">
        <v>0</v>
      </c>
      <c r="D65" s="123">
        <v>-1</v>
      </c>
      <c r="E65" s="199" t="s">
        <v>229</v>
      </c>
      <c r="F65" s="123" t="s">
        <v>229</v>
      </c>
      <c r="G65" s="199">
        <v>0.58309999999999995</v>
      </c>
      <c r="H65" s="123" t="s">
        <v>229</v>
      </c>
      <c r="I65" s="199">
        <v>0.6139</v>
      </c>
      <c r="J65" s="123">
        <v>5.282112845138065E-2</v>
      </c>
      <c r="K65" s="199">
        <v>0.62529999999999997</v>
      </c>
      <c r="L65" s="123">
        <f>K65/I65-1</f>
        <v>1.8569799641635409E-2</v>
      </c>
      <c r="M65" s="203"/>
      <c r="N65" s="202"/>
    </row>
    <row r="66" spans="2:16" ht="6" customHeight="1" x14ac:dyDescent="0.25"/>
    <row r="67" spans="2:16" x14ac:dyDescent="0.25">
      <c r="B67" s="107" t="s">
        <v>57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2:16" x14ac:dyDescent="0.25">
      <c r="C68" s="200"/>
      <c r="K68" s="200"/>
      <c r="L68" s="200"/>
    </row>
    <row r="70" spans="2:16" ht="21.75" customHeight="1" thickBot="1" x14ac:dyDescent="0.3">
      <c r="B70" s="278" t="s">
        <v>304</v>
      </c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P70" s="1" t="s">
        <v>159</v>
      </c>
    </row>
    <row r="71" spans="2:16" ht="10.5" customHeight="1" thickBot="1" x14ac:dyDescent="0.3">
      <c r="B71" s="108"/>
      <c r="C71" s="109"/>
      <c r="D71" s="108"/>
      <c r="E71" s="108"/>
      <c r="F71" s="108"/>
      <c r="G71" s="108"/>
      <c r="H71" s="108"/>
      <c r="I71" s="108"/>
      <c r="J71" s="108"/>
      <c r="K71" s="108"/>
      <c r="L71" s="108"/>
      <c r="M71" s="4"/>
      <c r="N71" s="4"/>
      <c r="P71" s="1" t="s">
        <v>160</v>
      </c>
    </row>
    <row r="72" spans="2:16" ht="22.5" thickTop="1" thickBot="1" x14ac:dyDescent="0.3">
      <c r="B72" s="111"/>
      <c r="C72" s="303" t="s">
        <v>64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</row>
    <row r="73" spans="2:16" ht="22.5" thickTop="1" thickBot="1" x14ac:dyDescent="0.3">
      <c r="B73" s="111"/>
      <c r="C73" s="307" t="s">
        <v>314</v>
      </c>
      <c r="D73" s="308"/>
      <c r="E73" s="307" t="s">
        <v>315</v>
      </c>
      <c r="F73" s="308"/>
      <c r="G73" s="307" t="s">
        <v>316</v>
      </c>
      <c r="H73" s="308"/>
      <c r="I73" s="307">
        <v>2023</v>
      </c>
      <c r="J73" s="308"/>
      <c r="K73" s="307">
        <v>2024</v>
      </c>
      <c r="L73" s="308"/>
      <c r="M73" s="113">
        <f>M$7</f>
        <v>2025</v>
      </c>
      <c r="N73" s="114"/>
    </row>
    <row r="74" spans="2:16" ht="16.5" thickTop="1" thickBot="1" x14ac:dyDescent="0.3">
      <c r="B74" s="87"/>
      <c r="C74" s="117" t="s">
        <v>71</v>
      </c>
      <c r="D74" s="116" t="s">
        <v>317</v>
      </c>
      <c r="E74" s="117" t="s">
        <v>71</v>
      </c>
      <c r="F74" s="116" t="str">
        <f>CONCATENATE("var ",RIGHT(E73,2),"/",RIGHT(C73,2))</f>
        <v>var 21/20</v>
      </c>
      <c r="G74" s="117" t="s">
        <v>71</v>
      </c>
      <c r="H74" s="116" t="str">
        <f>CONCATENATE("var ",RIGHT(G73,2),"/",RIGHT(E73,2))</f>
        <v>var 22/21</v>
      </c>
      <c r="I74" s="117" t="s">
        <v>71</v>
      </c>
      <c r="J74" s="116" t="str">
        <f>CONCATENATE("var ",RIGHT(I73,2),"/",RIGHT(G73,2))</f>
        <v>var 23/22</v>
      </c>
      <c r="K74" s="117" t="s">
        <v>71</v>
      </c>
      <c r="L74" s="116" t="str">
        <f>CONCATENATE("var ",RIGHT(K73,2),"/",RIGHT(I73,2))</f>
        <v>var 24/23</v>
      </c>
      <c r="M74" s="117" t="s">
        <v>71</v>
      </c>
      <c r="N74" s="116" t="str">
        <f>CONCATENATE("var ",RIGHT(M73,2),"/",RIGHT(K73,2))</f>
        <v>var 25/24</v>
      </c>
    </row>
    <row r="75" spans="2:16" x14ac:dyDescent="0.25">
      <c r="B75" s="118" t="s">
        <v>73</v>
      </c>
      <c r="C75" s="197" t="s">
        <v>229</v>
      </c>
      <c r="D75" s="120" t="s">
        <v>229</v>
      </c>
      <c r="E75" s="197" t="s">
        <v>229</v>
      </c>
      <c r="F75" s="120" t="str">
        <f t="shared" ref="F75:F86" si="16">IFERROR(E75/C75-1,"-")</f>
        <v>-</v>
      </c>
      <c r="G75" s="197">
        <v>0</v>
      </c>
      <c r="H75" s="120" t="str">
        <f t="shared" ref="H75:H86" si="17">IFERROR(G75/E75-1,"-")</f>
        <v>-</v>
      </c>
      <c r="I75" s="197">
        <v>0.70709999999999995</v>
      </c>
      <c r="J75" s="120" t="str">
        <f t="shared" ref="J75:J86" si="18">IFERROR(I75/G75-1,"-")</f>
        <v>-</v>
      </c>
      <c r="K75" s="197">
        <v>0.65749999999999997</v>
      </c>
      <c r="L75" s="120">
        <f t="shared" ref="L75:L83" si="19">IFERROR(K75/I75-1,"-")</f>
        <v>-7.0145665393862244E-2</v>
      </c>
      <c r="M75" s="197">
        <v>0.67030000000000001</v>
      </c>
      <c r="N75" s="120">
        <f t="shared" ref="N75:N80" si="20">IFERROR(M75/K75-1,"-")</f>
        <v>1.9467680608365123E-2</v>
      </c>
    </row>
    <row r="76" spans="2:16" x14ac:dyDescent="0.25">
      <c r="B76" s="118" t="s">
        <v>75</v>
      </c>
      <c r="C76" s="197" t="s">
        <v>229</v>
      </c>
      <c r="D76" s="120" t="s">
        <v>229</v>
      </c>
      <c r="E76" s="197" t="s">
        <v>229</v>
      </c>
      <c r="F76" s="120" t="str">
        <f t="shared" si="16"/>
        <v>-</v>
      </c>
      <c r="G76" s="197">
        <v>0</v>
      </c>
      <c r="H76" s="120" t="str">
        <f t="shared" si="17"/>
        <v>-</v>
      </c>
      <c r="I76" s="197">
        <v>0.76080000000000003</v>
      </c>
      <c r="J76" s="120" t="str">
        <f t="shared" si="18"/>
        <v>-</v>
      </c>
      <c r="K76" s="197">
        <v>0.81700000000000006</v>
      </c>
      <c r="L76" s="120">
        <f t="shared" si="19"/>
        <v>7.3869610935856977E-2</v>
      </c>
      <c r="M76" s="197">
        <v>0.72750000000000004</v>
      </c>
      <c r="N76" s="120">
        <f t="shared" si="20"/>
        <v>-0.109547123623011</v>
      </c>
    </row>
    <row r="77" spans="2:16" x14ac:dyDescent="0.25">
      <c r="B77" s="118" t="s">
        <v>77</v>
      </c>
      <c r="C77" s="197" t="s">
        <v>229</v>
      </c>
      <c r="D77" s="120" t="s">
        <v>229</v>
      </c>
      <c r="E77" s="197" t="s">
        <v>229</v>
      </c>
      <c r="F77" s="120" t="str">
        <f t="shared" si="16"/>
        <v>-</v>
      </c>
      <c r="G77" s="197">
        <v>0</v>
      </c>
      <c r="H77" s="120" t="str">
        <f t="shared" si="17"/>
        <v>-</v>
      </c>
      <c r="I77" s="197">
        <v>0.72709999999999997</v>
      </c>
      <c r="J77" s="120" t="str">
        <f t="shared" si="18"/>
        <v>-</v>
      </c>
      <c r="K77" s="197">
        <v>0.68010000000000004</v>
      </c>
      <c r="L77" s="120">
        <f t="shared" si="19"/>
        <v>-6.4640352083619734E-2</v>
      </c>
      <c r="M77" s="197">
        <v>0.68629999999999991</v>
      </c>
      <c r="N77" s="120">
        <f t="shared" si="20"/>
        <v>9.1163064255255222E-3</v>
      </c>
    </row>
    <row r="78" spans="2:16" x14ac:dyDescent="0.25">
      <c r="B78" s="118" t="s">
        <v>79</v>
      </c>
      <c r="C78" s="197" t="s">
        <v>229</v>
      </c>
      <c r="D78" s="120" t="s">
        <v>229</v>
      </c>
      <c r="E78" s="197" t="s">
        <v>229</v>
      </c>
      <c r="F78" s="120" t="str">
        <f t="shared" si="16"/>
        <v>-</v>
      </c>
      <c r="G78" s="197">
        <v>0.40850000000000003</v>
      </c>
      <c r="H78" s="120" t="str">
        <f t="shared" si="17"/>
        <v>-</v>
      </c>
      <c r="I78" s="197">
        <v>0.63600000000000001</v>
      </c>
      <c r="J78" s="120">
        <f t="shared" si="18"/>
        <v>0.55691554467564242</v>
      </c>
      <c r="K78" s="197">
        <v>0.53420000000000001</v>
      </c>
      <c r="L78" s="120">
        <f t="shared" si="19"/>
        <v>-0.16006289308176103</v>
      </c>
      <c r="M78" s="197">
        <v>0.56530000000000002</v>
      </c>
      <c r="N78" s="120">
        <f t="shared" si="20"/>
        <v>5.8217895919131513E-2</v>
      </c>
    </row>
    <row r="79" spans="2:16" x14ac:dyDescent="0.25">
      <c r="B79" s="118" t="s">
        <v>81</v>
      </c>
      <c r="C79" s="197" t="s">
        <v>229</v>
      </c>
      <c r="D79" s="120" t="s">
        <v>229</v>
      </c>
      <c r="E79" s="197" t="s">
        <v>229</v>
      </c>
      <c r="F79" s="120" t="str">
        <f t="shared" si="16"/>
        <v>-</v>
      </c>
      <c r="G79" s="197">
        <v>0.43520000000000003</v>
      </c>
      <c r="H79" s="120" t="str">
        <f t="shared" si="17"/>
        <v>-</v>
      </c>
      <c r="I79" s="197">
        <v>0.45669999999999999</v>
      </c>
      <c r="J79" s="120">
        <f t="shared" si="18"/>
        <v>4.9402573529411686E-2</v>
      </c>
      <c r="K79" s="197">
        <v>0.44140000000000001</v>
      </c>
      <c r="L79" s="120">
        <f t="shared" si="19"/>
        <v>-3.3501204291657483E-2</v>
      </c>
      <c r="M79" s="197">
        <v>0.63539999999999996</v>
      </c>
      <c r="N79" s="120">
        <f t="shared" si="20"/>
        <v>0.43951064793837769</v>
      </c>
    </row>
    <row r="80" spans="2:16" x14ac:dyDescent="0.25">
      <c r="B80" s="118" t="s">
        <v>83</v>
      </c>
      <c r="C80" s="197" t="s">
        <v>229</v>
      </c>
      <c r="D80" s="120" t="s">
        <v>229</v>
      </c>
      <c r="E80" s="197" t="s">
        <v>229</v>
      </c>
      <c r="F80" s="120" t="str">
        <f t="shared" si="16"/>
        <v>-</v>
      </c>
      <c r="G80" s="197">
        <v>0.3947</v>
      </c>
      <c r="H80" s="120" t="str">
        <f t="shared" si="17"/>
        <v>-</v>
      </c>
      <c r="I80" s="197">
        <v>0.45240000000000002</v>
      </c>
      <c r="J80" s="120">
        <f t="shared" si="18"/>
        <v>0.14618697745122877</v>
      </c>
      <c r="K80" s="197">
        <v>0.48080000000000001</v>
      </c>
      <c r="L80" s="120">
        <f t="shared" si="19"/>
        <v>6.2776304155614415E-2</v>
      </c>
      <c r="M80" s="197">
        <v>0.4703</v>
      </c>
      <c r="N80" s="120">
        <f t="shared" si="20"/>
        <v>-2.1838602329450896E-2</v>
      </c>
    </row>
    <row r="81" spans="2:14" x14ac:dyDescent="0.25">
      <c r="B81" s="118" t="s">
        <v>85</v>
      </c>
      <c r="C81" s="197" t="s">
        <v>229</v>
      </c>
      <c r="D81" s="120" t="s">
        <v>229</v>
      </c>
      <c r="E81" s="197" t="s">
        <v>229</v>
      </c>
      <c r="F81" s="120" t="str">
        <f t="shared" si="16"/>
        <v>-</v>
      </c>
      <c r="G81" s="197">
        <v>0.50130000000000008</v>
      </c>
      <c r="H81" s="120" t="str">
        <f t="shared" si="17"/>
        <v>-</v>
      </c>
      <c r="I81" s="197">
        <v>0</v>
      </c>
      <c r="J81" s="120">
        <f t="shared" si="18"/>
        <v>-1</v>
      </c>
      <c r="K81" s="197">
        <v>0.56559999999999999</v>
      </c>
      <c r="L81" s="120" t="str">
        <f t="shared" si="19"/>
        <v>-</v>
      </c>
      <c r="M81" s="197"/>
      <c r="N81" s="120"/>
    </row>
    <row r="82" spans="2:14" x14ac:dyDescent="0.25">
      <c r="B82" s="118" t="s">
        <v>87</v>
      </c>
      <c r="C82" s="197" t="s">
        <v>229</v>
      </c>
      <c r="D82" s="120" t="s">
        <v>229</v>
      </c>
      <c r="E82" s="197" t="s">
        <v>229</v>
      </c>
      <c r="F82" s="120" t="str">
        <f t="shared" si="16"/>
        <v>-</v>
      </c>
      <c r="G82" s="197">
        <v>0.43680000000000002</v>
      </c>
      <c r="H82" s="120" t="str">
        <f t="shared" si="17"/>
        <v>-</v>
      </c>
      <c r="I82" s="197">
        <v>0</v>
      </c>
      <c r="J82" s="120">
        <f t="shared" si="18"/>
        <v>-1</v>
      </c>
      <c r="K82" s="197">
        <v>0.1913</v>
      </c>
      <c r="L82" s="120" t="str">
        <f t="shared" si="19"/>
        <v>-</v>
      </c>
      <c r="M82" s="197"/>
      <c r="N82" s="120"/>
    </row>
    <row r="83" spans="2:14" x14ac:dyDescent="0.25">
      <c r="B83" s="118" t="s">
        <v>89</v>
      </c>
      <c r="C83" s="197" t="s">
        <v>229</v>
      </c>
      <c r="D83" s="120" t="s">
        <v>229</v>
      </c>
      <c r="E83" s="197" t="s">
        <v>229</v>
      </c>
      <c r="F83" s="120" t="str">
        <f t="shared" si="16"/>
        <v>-</v>
      </c>
      <c r="G83" s="197">
        <v>0.48729999999999996</v>
      </c>
      <c r="H83" s="120" t="str">
        <f t="shared" si="17"/>
        <v>-</v>
      </c>
      <c r="I83" s="197">
        <v>0.49520000000000003</v>
      </c>
      <c r="J83" s="120">
        <f t="shared" si="18"/>
        <v>1.6211779191463327E-2</v>
      </c>
      <c r="K83" s="197">
        <v>0.5151</v>
      </c>
      <c r="L83" s="120">
        <f t="shared" si="19"/>
        <v>4.0185783521809348E-2</v>
      </c>
      <c r="M83" s="197"/>
      <c r="N83" s="120"/>
    </row>
    <row r="84" spans="2:14" x14ac:dyDescent="0.25">
      <c r="B84" s="118" t="s">
        <v>91</v>
      </c>
      <c r="C84" s="197" t="s">
        <v>229</v>
      </c>
      <c r="D84" s="120" t="s">
        <v>229</v>
      </c>
      <c r="E84" s="197" t="s">
        <v>229</v>
      </c>
      <c r="F84" s="120" t="str">
        <f t="shared" si="16"/>
        <v>-</v>
      </c>
      <c r="G84" s="197">
        <v>0.67430000000000012</v>
      </c>
      <c r="H84" s="120" t="str">
        <f t="shared" si="17"/>
        <v>-</v>
      </c>
      <c r="I84" s="197">
        <v>0.55409999999999993</v>
      </c>
      <c r="J84" s="120">
        <f t="shared" si="18"/>
        <v>-0.17825893519205127</v>
      </c>
      <c r="K84" s="197">
        <v>0.57179999999999997</v>
      </c>
      <c r="L84" s="120">
        <f>IFERROR(K84/I84-1,"-")</f>
        <v>3.1943692474282637E-2</v>
      </c>
      <c r="M84" s="197"/>
      <c r="N84" s="120"/>
    </row>
    <row r="85" spans="2:14" x14ac:dyDescent="0.25">
      <c r="B85" s="118" t="s">
        <v>93</v>
      </c>
      <c r="C85" s="197" t="s">
        <v>229</v>
      </c>
      <c r="D85" s="120" t="s">
        <v>229</v>
      </c>
      <c r="E85" s="197" t="s">
        <v>229</v>
      </c>
      <c r="F85" s="120" t="str">
        <f t="shared" si="16"/>
        <v>-</v>
      </c>
      <c r="G85" s="197">
        <v>0.62860000000000005</v>
      </c>
      <c r="H85" s="120" t="str">
        <f t="shared" si="17"/>
        <v>-</v>
      </c>
      <c r="I85" s="197">
        <v>0.69180000000000008</v>
      </c>
      <c r="J85" s="120">
        <f t="shared" si="18"/>
        <v>0.10054088450524978</v>
      </c>
      <c r="K85" s="197">
        <v>0.74609999999999999</v>
      </c>
      <c r="L85" s="120">
        <f>IFERROR(K85/I85-1,"-")</f>
        <v>7.8490893321769173E-2</v>
      </c>
      <c r="M85" s="197"/>
      <c r="N85" s="120"/>
    </row>
    <row r="86" spans="2:14" x14ac:dyDescent="0.25">
      <c r="B86" s="118" t="s">
        <v>95</v>
      </c>
      <c r="C86" s="197" t="s">
        <v>229</v>
      </c>
      <c r="D86" s="120" t="s">
        <v>229</v>
      </c>
      <c r="E86" s="197" t="s">
        <v>229</v>
      </c>
      <c r="F86" s="120" t="str">
        <f t="shared" si="16"/>
        <v>-</v>
      </c>
      <c r="G86" s="197">
        <v>0.61899999999999999</v>
      </c>
      <c r="H86" s="120" t="str">
        <f t="shared" si="17"/>
        <v>-</v>
      </c>
      <c r="I86" s="197">
        <v>0.6845</v>
      </c>
      <c r="J86" s="120">
        <f t="shared" si="18"/>
        <v>0.10581583198707589</v>
      </c>
      <c r="K86" s="197">
        <v>0.74150000000000005</v>
      </c>
      <c r="L86" s="120">
        <f>IFERROR(K86/I86-1,"-")</f>
        <v>8.3272461650840013E-2</v>
      </c>
      <c r="M86" s="197"/>
      <c r="N86" s="120"/>
    </row>
    <row r="87" spans="2:14" ht="15.75" x14ac:dyDescent="0.25">
      <c r="B87" s="121" t="s">
        <v>32</v>
      </c>
      <c r="C87" s="199" t="s">
        <v>229</v>
      </c>
      <c r="D87" s="123" t="s">
        <v>229</v>
      </c>
      <c r="E87" s="199" t="s">
        <v>229</v>
      </c>
      <c r="F87" s="123" t="s">
        <v>229</v>
      </c>
      <c r="G87" s="199">
        <v>0.58309999999999995</v>
      </c>
      <c r="H87" s="123" t="s">
        <v>229</v>
      </c>
      <c r="I87" s="199">
        <v>0.6139</v>
      </c>
      <c r="J87" s="123">
        <v>5.282112845138065E-2</v>
      </c>
      <c r="K87" s="199">
        <v>0.57669999999999999</v>
      </c>
      <c r="L87" s="123">
        <f>IFERROR(K87/I87-1,"-")</f>
        <v>-6.0596188304284149E-2</v>
      </c>
      <c r="M87" s="201"/>
      <c r="N87" s="202"/>
    </row>
    <row r="88" spans="2:14" ht="6" customHeight="1" x14ac:dyDescent="0.25"/>
    <row r="89" spans="2:14" x14ac:dyDescent="0.25">
      <c r="B89" s="107" t="s">
        <v>57</v>
      </c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</sheetData>
  <mergeCells count="30">
    <mergeCell ref="O21:O24"/>
    <mergeCell ref="B26:N26"/>
    <mergeCell ref="C28:N28"/>
    <mergeCell ref="B48:N48"/>
    <mergeCell ref="C50:N50"/>
    <mergeCell ref="C29:D29"/>
    <mergeCell ref="E29:F29"/>
    <mergeCell ref="G29:H29"/>
    <mergeCell ref="I29:J29"/>
    <mergeCell ref="K29:L29"/>
    <mergeCell ref="B4:N4"/>
    <mergeCell ref="C6:N6"/>
    <mergeCell ref="C7:D7"/>
    <mergeCell ref="E7:F7"/>
    <mergeCell ref="G7:H7"/>
    <mergeCell ref="I7:J7"/>
    <mergeCell ref="K7:L7"/>
    <mergeCell ref="M7:N7"/>
    <mergeCell ref="G51:H51"/>
    <mergeCell ref="I51:J51"/>
    <mergeCell ref="K51:L51"/>
    <mergeCell ref="C73:D73"/>
    <mergeCell ref="E73:F73"/>
    <mergeCell ref="G73:H73"/>
    <mergeCell ref="I73:J73"/>
    <mergeCell ref="K73:L73"/>
    <mergeCell ref="C72:N72"/>
    <mergeCell ref="B70:N70"/>
    <mergeCell ref="C51:D51"/>
    <mergeCell ref="E51:F51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F5CD1-2A0F-4427-B160-F110D161171F}">
  <sheetPr>
    <tabColor theme="2" tint="-0.499984740745262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70311-CC09-4E12-A5C2-8AA88194C899}">
  <sheetPr>
    <tabColor theme="2" tint="-9.9978637043366805E-2"/>
  </sheetPr>
  <dimension ref="B1:AW44"/>
  <sheetViews>
    <sheetView showGridLines="0" workbookViewId="0"/>
  </sheetViews>
  <sheetFormatPr baseColWidth="10" defaultRowHeight="15" x14ac:dyDescent="0.25"/>
  <cols>
    <col min="1" max="1" width="15.5703125" customWidth="1"/>
    <col min="2" max="2" width="24" customWidth="1"/>
    <col min="3" max="3" width="13.42578125" customWidth="1"/>
    <col min="4" max="4" width="16" customWidth="1"/>
    <col min="5" max="5" width="18.42578125" customWidth="1"/>
    <col min="6" max="6" width="15.42578125" customWidth="1"/>
    <col min="7" max="7" width="16.42578125" customWidth="1"/>
    <col min="8" max="8" width="16" customWidth="1"/>
    <col min="9" max="9" width="11" customWidth="1"/>
    <col min="10" max="10" width="13.85546875" customWidth="1"/>
    <col min="11" max="11" width="11" customWidth="1"/>
    <col min="12" max="14" width="11.42578125" customWidth="1"/>
    <col min="16" max="16" width="25" customWidth="1"/>
    <col min="17" max="17" width="11.28515625" customWidth="1"/>
    <col min="18" max="18" width="14.85546875" customWidth="1"/>
    <col min="19" max="19" width="14.42578125" customWidth="1"/>
    <col min="20" max="21" width="14.28515625" customWidth="1"/>
    <col min="22" max="22" width="14.42578125" customWidth="1"/>
    <col min="23" max="23" width="15" customWidth="1"/>
    <col min="24" max="24" width="11.42578125" customWidth="1"/>
    <col min="25" max="25" width="14.85546875" customWidth="1"/>
    <col min="26" max="26" width="11.42578125" customWidth="1"/>
    <col min="27" max="27" width="12.42578125" customWidth="1"/>
    <col min="28" max="28" width="10.85546875" customWidth="1"/>
    <col min="29" max="29" width="9.85546875" customWidth="1"/>
    <col min="30" max="30" width="14.5703125" customWidth="1"/>
    <col min="31" max="31" width="28.42578125" customWidth="1"/>
    <col min="32" max="36" width="17.7109375" customWidth="1"/>
    <col min="37" max="37" width="9.28515625" customWidth="1"/>
    <col min="38" max="38" width="14.140625" customWidth="1"/>
    <col min="39" max="39" width="7.85546875" customWidth="1"/>
    <col min="40" max="44" width="14.42578125" hidden="1" customWidth="1"/>
    <col min="45" max="45" width="9.85546875" hidden="1" customWidth="1"/>
    <col min="46" max="46" width="13" hidden="1" customWidth="1"/>
    <col min="47" max="47" width="9.5703125" hidden="1" customWidth="1"/>
    <col min="48" max="48" width="11.85546875" hidden="1" customWidth="1"/>
    <col min="49" max="49" width="9" hidden="1" customWidth="1"/>
  </cols>
  <sheetData>
    <row r="1" spans="2:48" ht="42.75" customHeight="1" x14ac:dyDescent="0.25"/>
    <row r="3" spans="2:48" x14ac:dyDescent="0.25">
      <c r="N3" s="204"/>
    </row>
    <row r="5" spans="2:48" ht="50.25" customHeight="1" thickBot="1" x14ac:dyDescent="0.3">
      <c r="B5" s="278" t="s">
        <v>162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P5" s="278" t="s">
        <v>163</v>
      </c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D5" s="278" t="s">
        <v>164</v>
      </c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145"/>
      <c r="AV5" s="145"/>
    </row>
    <row r="6" spans="2:48" ht="6" customHeight="1" thickBot="1" x14ac:dyDescent="0.3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  <c r="N6" s="86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6"/>
      <c r="AB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</row>
    <row r="7" spans="2:48" ht="51.75" customHeight="1" thickBot="1" x14ac:dyDescent="0.3">
      <c r="B7" s="87"/>
      <c r="C7" s="205" t="s">
        <v>261</v>
      </c>
      <c r="D7" s="205" t="s">
        <v>262</v>
      </c>
      <c r="E7" s="205" t="s">
        <v>263</v>
      </c>
      <c r="F7" s="92" t="s">
        <v>264</v>
      </c>
      <c r="G7" s="92" t="s">
        <v>265</v>
      </c>
      <c r="H7" s="14" t="str">
        <f>CONCATENATE("var. ",RIGHT(G7,2),"/",RIGHT(F7,2))</f>
        <v>var. 25/24</v>
      </c>
      <c r="I7" s="205" t="s">
        <v>224</v>
      </c>
      <c r="J7" s="206" t="s">
        <v>225</v>
      </c>
      <c r="K7" s="206" t="s">
        <v>226</v>
      </c>
      <c r="L7" s="13" t="s">
        <v>227</v>
      </c>
      <c r="M7" s="13" t="s">
        <v>228</v>
      </c>
      <c r="N7" s="14" t="str">
        <f>CONCATENATE("var. ",RIGHT(M7,2),"/",RIGHT(L7,2))</f>
        <v>var. 25/24</v>
      </c>
      <c r="P7" s="87"/>
      <c r="Q7" s="205" t="s">
        <v>261</v>
      </c>
      <c r="R7" s="206" t="s">
        <v>262</v>
      </c>
      <c r="S7" s="206" t="s">
        <v>263</v>
      </c>
      <c r="T7" s="92" t="s">
        <v>264</v>
      </c>
      <c r="U7" s="92" t="s">
        <v>265</v>
      </c>
      <c r="V7" s="14" t="str">
        <f>CONCATENATE("var. ",RIGHT(U7,2),"/",RIGHT(T7,2))</f>
        <v>var. 25/24</v>
      </c>
      <c r="W7" s="205" t="s">
        <v>224</v>
      </c>
      <c r="X7" s="205" t="s">
        <v>225</v>
      </c>
      <c r="Y7" s="205" t="s">
        <v>226</v>
      </c>
      <c r="Z7" s="13" t="s">
        <v>227</v>
      </c>
      <c r="AA7" s="13" t="s">
        <v>228</v>
      </c>
      <c r="AB7" s="14" t="str">
        <f>CONCATENATE("var. ",RIGHT(AA7,2),"/",RIGHT(Z7,2))</f>
        <v>var. 25/24</v>
      </c>
      <c r="AD7" s="87"/>
      <c r="AE7" s="205" t="s">
        <v>261</v>
      </c>
      <c r="AF7" s="206" t="s">
        <v>262</v>
      </c>
      <c r="AG7" s="206" t="s">
        <v>263</v>
      </c>
      <c r="AH7" s="92" t="s">
        <v>264</v>
      </c>
      <c r="AI7" s="92" t="s">
        <v>265</v>
      </c>
      <c r="AJ7" s="14" t="str">
        <f>CONCATENATE("var. ",RIGHT(AI7,2),"/",RIGHT(AH7,2))</f>
        <v>var. 25/24</v>
      </c>
      <c r="AK7" s="207" t="str">
        <f>CONCATENATE("dif. ",RIGHT(AI7,2),"/",RIGHT(AH7,2))</f>
        <v>dif. 25/24</v>
      </c>
      <c r="AL7" s="208" t="str">
        <f>CONCATENATE("cuota ",RIGHT(AI7,2))</f>
        <v>cuota 25</v>
      </c>
      <c r="AM7" s="205" t="s">
        <v>224</v>
      </c>
      <c r="AN7" s="206" t="s">
        <v>225</v>
      </c>
      <c r="AO7" s="206" t="s">
        <v>226</v>
      </c>
      <c r="AP7" s="13" t="s">
        <v>227</v>
      </c>
      <c r="AQ7" s="13" t="s">
        <v>228</v>
      </c>
      <c r="AR7" s="14" t="str">
        <f>CONCATENATE("var. ",RIGHT(AQ7,2),"/",RIGHT(AP7,2))</f>
        <v>var. 25/24</v>
      </c>
      <c r="AS7" s="207" t="str">
        <f>CONCATENATE("dif. ",RIGHT(AQ7,2),"/",RIGHT(AP7,2))</f>
        <v>dif. 25/24</v>
      </c>
      <c r="AT7" s="207" t="str">
        <f>CONCATENATE("var. ",RIGHT(AQ7,2),"/",RIGHT(AM7,2))</f>
        <v>var. 25/21</v>
      </c>
      <c r="AU7" s="207" t="str">
        <f>CONCATENATE("dif. ",RIGHT(AQ7,2),"/",RIGHT(AM7,2))</f>
        <v>dif. 25/21</v>
      </c>
      <c r="AV7" s="208" t="str">
        <f>CONCATENATE("cuota ",RIGHT(AQ7,2))</f>
        <v>cuota 25</v>
      </c>
    </row>
    <row r="8" spans="2:48" ht="15.75" x14ac:dyDescent="0.25">
      <c r="B8" s="209" t="s">
        <v>45</v>
      </c>
      <c r="C8" s="210">
        <v>88.170299717778292</v>
      </c>
      <c r="D8" s="211">
        <v>103.30240145428506</v>
      </c>
      <c r="E8" s="211">
        <v>109.01802178056315</v>
      </c>
      <c r="F8" s="212">
        <v>121.33314990732903</v>
      </c>
      <c r="G8" s="211">
        <v>129.74984519207322</v>
      </c>
      <c r="H8" s="135">
        <f>G8/F8-1</f>
        <v>6.9368472599389719E-2</v>
      </c>
      <c r="I8" s="210">
        <v>84.78</v>
      </c>
      <c r="J8" s="213">
        <v>91.84</v>
      </c>
      <c r="K8" s="213">
        <v>96.36</v>
      </c>
      <c r="L8" s="213">
        <v>102.74</v>
      </c>
      <c r="M8" s="213">
        <v>110.43</v>
      </c>
      <c r="N8" s="135">
        <f t="shared" ref="N8:N18" si="0">M8/L8-1</f>
        <v>7.4849133735643392E-2</v>
      </c>
      <c r="P8" s="209" t="s">
        <v>45</v>
      </c>
      <c r="Q8" s="210">
        <v>25.592201716222139</v>
      </c>
      <c r="R8" s="212">
        <v>74.674627584102581</v>
      </c>
      <c r="S8" s="212">
        <v>88.097104392548786</v>
      </c>
      <c r="T8" s="212">
        <v>100.76305205179261</v>
      </c>
      <c r="U8" s="212">
        <v>106.80173966572626</v>
      </c>
      <c r="V8" s="135">
        <f t="shared" ref="V8:V18" si="1">U8/T8-1</f>
        <v>5.9929582232480794E-2</v>
      </c>
      <c r="W8" s="210">
        <v>28.85</v>
      </c>
      <c r="X8" s="213">
        <v>66.599999999999994</v>
      </c>
      <c r="Y8" s="213">
        <v>73.930000000000007</v>
      </c>
      <c r="Z8" s="213">
        <v>80.430000000000007</v>
      </c>
      <c r="AA8" s="213">
        <v>87.95</v>
      </c>
      <c r="AB8" s="135">
        <f t="shared" ref="AB8:AB18" si="2">AA8/Z8-1</f>
        <v>9.3497451199801018E-2</v>
      </c>
      <c r="AD8" s="67" t="s">
        <v>45</v>
      </c>
      <c r="AE8" s="214">
        <v>102414599.43000001</v>
      </c>
      <c r="AF8" s="134">
        <v>693903416.16999984</v>
      </c>
      <c r="AG8" s="134">
        <v>842303158.99000001</v>
      </c>
      <c r="AH8" s="134">
        <v>973842751.17000008</v>
      </c>
      <c r="AI8" s="134">
        <v>1018934968.5399998</v>
      </c>
      <c r="AJ8" s="135">
        <f t="shared" ref="AJ8:AJ18" si="3">AI8/AH8-1</f>
        <v>4.6303386574295224E-2</v>
      </c>
      <c r="AK8" s="134">
        <f t="shared" ref="AK8:AK18" si="4">AI8-AH8</f>
        <v>45092217.369999766</v>
      </c>
      <c r="AL8" s="136">
        <f t="shared" ref="AL8:AL18" si="5">AI8/AI$8</f>
        <v>1</v>
      </c>
      <c r="AM8" s="215">
        <v>26576630.170000002</v>
      </c>
      <c r="AN8" s="216">
        <v>104515188.78</v>
      </c>
      <c r="AO8" s="216">
        <v>115764505.8</v>
      </c>
      <c r="AP8" s="216">
        <v>127826393.23</v>
      </c>
      <c r="AQ8" s="216">
        <v>137162383.41</v>
      </c>
      <c r="AR8" s="135">
        <f t="shared" ref="AR8:AR18" si="6">AQ8/AP8-1</f>
        <v>7.3036482874093256E-2</v>
      </c>
      <c r="AS8" s="134">
        <f t="shared" ref="AS8:AS18" si="7">AQ8-AP8</f>
        <v>9335990.1799999923</v>
      </c>
      <c r="AT8" s="135">
        <f t="shared" ref="AT8:AT18" si="8">AQ8/AM8-1</f>
        <v>4.1610148665435558</v>
      </c>
      <c r="AU8" s="134">
        <f t="shared" ref="AU8:AU18" si="9">AQ8-AM8</f>
        <v>110585753.23999999</v>
      </c>
      <c r="AV8" s="136">
        <f t="shared" ref="AV8:AV18" si="10">AQ8/AQ$8</f>
        <v>1</v>
      </c>
    </row>
    <row r="9" spans="2:48" x14ac:dyDescent="0.25">
      <c r="B9" s="15" t="s">
        <v>46</v>
      </c>
      <c r="C9" s="217">
        <v>116.79915879756359</v>
      </c>
      <c r="D9" s="218">
        <v>128.16968230621981</v>
      </c>
      <c r="E9" s="218">
        <v>133.9504987964448</v>
      </c>
      <c r="F9" s="218">
        <v>148.00625670905251</v>
      </c>
      <c r="G9" s="218">
        <v>156.82466524486964</v>
      </c>
      <c r="H9" s="76">
        <f>G9/F9-1</f>
        <v>5.9581322654164381E-2</v>
      </c>
      <c r="I9" s="217">
        <v>109.86</v>
      </c>
      <c r="J9" s="218">
        <v>108.9</v>
      </c>
      <c r="K9" s="218">
        <v>112.49</v>
      </c>
      <c r="L9" s="218">
        <v>119.26</v>
      </c>
      <c r="M9" s="218">
        <v>126.95</v>
      </c>
      <c r="N9" s="76">
        <f t="shared" si="0"/>
        <v>6.4480965956733138E-2</v>
      </c>
      <c r="P9" s="15" t="s">
        <v>46</v>
      </c>
      <c r="Q9" s="217">
        <v>34.813065255223663</v>
      </c>
      <c r="R9" s="218">
        <v>100.38866208640722</v>
      </c>
      <c r="S9" s="218">
        <v>113.81372001310794</v>
      </c>
      <c r="T9" s="218">
        <v>126.61317857187616</v>
      </c>
      <c r="U9" s="218">
        <v>133.99122886987229</v>
      </c>
      <c r="V9" s="76">
        <f t="shared" si="1"/>
        <v>5.8272372443503029E-2</v>
      </c>
      <c r="W9" s="217">
        <v>35.590000000000003</v>
      </c>
      <c r="X9" s="218">
        <v>87.91</v>
      </c>
      <c r="Y9" s="218">
        <v>91.44</v>
      </c>
      <c r="Z9" s="218">
        <v>96.77</v>
      </c>
      <c r="AA9" s="218">
        <v>104.28</v>
      </c>
      <c r="AB9" s="76">
        <f t="shared" si="2"/>
        <v>7.7606696290172694E-2</v>
      </c>
      <c r="AD9" s="15" t="s">
        <v>46</v>
      </c>
      <c r="AE9" s="219">
        <v>50893974.420000002</v>
      </c>
      <c r="AF9" s="53">
        <v>341076461.69999999</v>
      </c>
      <c r="AG9" s="53">
        <v>405004656.38</v>
      </c>
      <c r="AH9" s="53">
        <v>456851402.87</v>
      </c>
      <c r="AI9" s="53">
        <v>457309421.34000003</v>
      </c>
      <c r="AJ9" s="76">
        <f t="shared" si="3"/>
        <v>1.0025545880403275E-3</v>
      </c>
      <c r="AK9" s="53">
        <f t="shared" si="4"/>
        <v>458018.47000002861</v>
      </c>
      <c r="AL9" s="100">
        <f t="shared" si="5"/>
        <v>0.44881119547331311</v>
      </c>
      <c r="AM9" s="220">
        <v>13811598.32</v>
      </c>
      <c r="AN9" s="221">
        <v>50518902.770000003</v>
      </c>
      <c r="AO9" s="221">
        <v>53856748.710000001</v>
      </c>
      <c r="AP9" s="221">
        <v>57107925.619999997</v>
      </c>
      <c r="AQ9" s="221">
        <v>58079831.289999999</v>
      </c>
      <c r="AR9" s="76">
        <f t="shared" si="6"/>
        <v>1.7018752816677862E-2</v>
      </c>
      <c r="AS9" s="53">
        <f t="shared" si="7"/>
        <v>971905.67000000179</v>
      </c>
      <c r="AT9" s="76">
        <f t="shared" si="8"/>
        <v>3.2051491756675992</v>
      </c>
      <c r="AU9" s="53">
        <f t="shared" si="9"/>
        <v>44268232.969999999</v>
      </c>
      <c r="AV9" s="100">
        <f t="shared" si="10"/>
        <v>0.42343848106218906</v>
      </c>
    </row>
    <row r="10" spans="2:48" x14ac:dyDescent="0.25">
      <c r="B10" s="19" t="s">
        <v>47</v>
      </c>
      <c r="C10" s="217">
        <v>70.363907918346442</v>
      </c>
      <c r="D10" s="218">
        <v>90.186274774165184</v>
      </c>
      <c r="E10" s="218">
        <v>97.435368027940271</v>
      </c>
      <c r="F10" s="218">
        <v>110.80486293822659</v>
      </c>
      <c r="G10" s="218">
        <v>121.5628190164777</v>
      </c>
      <c r="H10" s="76">
        <f>G10/F10-1</f>
        <v>9.7089205229635489E-2</v>
      </c>
      <c r="I10" s="217">
        <v>75.25</v>
      </c>
      <c r="J10" s="218">
        <v>82.37</v>
      </c>
      <c r="K10" s="218">
        <v>85.86</v>
      </c>
      <c r="L10" s="218">
        <v>95.05</v>
      </c>
      <c r="M10" s="218">
        <v>109.41</v>
      </c>
      <c r="N10" s="76">
        <f t="shared" si="0"/>
        <v>0.15107837980010519</v>
      </c>
      <c r="P10" s="19" t="s">
        <v>47</v>
      </c>
      <c r="Q10" s="217">
        <v>15.504874326042231</v>
      </c>
      <c r="R10" s="218">
        <v>64.492185477197467</v>
      </c>
      <c r="S10" s="218">
        <v>79.023903014834957</v>
      </c>
      <c r="T10" s="218">
        <v>93.057468059099534</v>
      </c>
      <c r="U10" s="218">
        <v>99.148455774094288</v>
      </c>
      <c r="V10" s="76">
        <f t="shared" si="1"/>
        <v>6.5454045140433514E-2</v>
      </c>
      <c r="W10" s="217">
        <v>20.54</v>
      </c>
      <c r="X10" s="218">
        <v>56.58</v>
      </c>
      <c r="Y10" s="218">
        <v>66.78</v>
      </c>
      <c r="Z10" s="218">
        <v>77.98</v>
      </c>
      <c r="AA10" s="218">
        <v>88.08</v>
      </c>
      <c r="AB10" s="76">
        <f t="shared" si="2"/>
        <v>0.12952038984354952</v>
      </c>
      <c r="AD10" s="19" t="s">
        <v>47</v>
      </c>
      <c r="AE10" s="219">
        <v>14996431.93</v>
      </c>
      <c r="AF10" s="53">
        <v>167057258.52000001</v>
      </c>
      <c r="AG10" s="53">
        <v>204644899.53999999</v>
      </c>
      <c r="AH10" s="53">
        <v>242621119.71999997</v>
      </c>
      <c r="AI10" s="53">
        <v>260448896.86999997</v>
      </c>
      <c r="AJ10" s="76">
        <f t="shared" si="3"/>
        <v>7.3479906327093003E-2</v>
      </c>
      <c r="AK10" s="53">
        <f t="shared" si="4"/>
        <v>17827777.150000006</v>
      </c>
      <c r="AL10" s="100">
        <f t="shared" si="5"/>
        <v>0.2556089494535545</v>
      </c>
      <c r="AM10" s="220">
        <v>4243374.21</v>
      </c>
      <c r="AN10" s="221">
        <v>25427736.440000001</v>
      </c>
      <c r="AO10" s="221">
        <v>28251913.699999999</v>
      </c>
      <c r="AP10" s="221">
        <v>33085419.030000001</v>
      </c>
      <c r="AQ10" s="221">
        <v>37909065.140000001</v>
      </c>
      <c r="AR10" s="76">
        <f t="shared" si="6"/>
        <v>0.14579371370893579</v>
      </c>
      <c r="AS10" s="53">
        <f t="shared" si="7"/>
        <v>4823646.1099999994</v>
      </c>
      <c r="AT10" s="76">
        <f t="shared" si="8"/>
        <v>7.9337077674325602</v>
      </c>
      <c r="AU10" s="53">
        <f t="shared" si="9"/>
        <v>33665690.93</v>
      </c>
      <c r="AV10" s="100">
        <f t="shared" si="10"/>
        <v>0.27638091579878593</v>
      </c>
    </row>
    <row r="11" spans="2:48" x14ac:dyDescent="0.25">
      <c r="B11" s="19" t="s">
        <v>48</v>
      </c>
      <c r="C11" s="217">
        <v>54.631535318542078</v>
      </c>
      <c r="D11" s="218">
        <v>69.221944341059583</v>
      </c>
      <c r="E11" s="218">
        <v>77.390865272066776</v>
      </c>
      <c r="F11" s="218">
        <v>83.168905820996486</v>
      </c>
      <c r="G11" s="218">
        <v>100.59393339934179</v>
      </c>
      <c r="H11" s="76">
        <f>G11/F11-1</f>
        <v>0.20951372879485763</v>
      </c>
      <c r="I11" s="217">
        <v>55.36</v>
      </c>
      <c r="J11" s="218">
        <v>70.209999999999994</v>
      </c>
      <c r="K11" s="218">
        <v>72.040000000000006</v>
      </c>
      <c r="L11" s="218">
        <v>63.51</v>
      </c>
      <c r="M11" s="218">
        <v>84.57</v>
      </c>
      <c r="N11" s="76">
        <f t="shared" si="0"/>
        <v>0.33160132262635789</v>
      </c>
      <c r="P11" s="19" t="s">
        <v>48</v>
      </c>
      <c r="Q11" s="217">
        <v>19.46281396587943</v>
      </c>
      <c r="R11" s="218">
        <v>48.249262525145575</v>
      </c>
      <c r="S11" s="218">
        <v>51.596633203900886</v>
      </c>
      <c r="T11" s="218">
        <v>60.101014809836897</v>
      </c>
      <c r="U11" s="218">
        <v>67.609231601192363</v>
      </c>
      <c r="V11" s="76">
        <f t="shared" si="1"/>
        <v>0.12492662253893538</v>
      </c>
      <c r="W11" s="217">
        <v>20.21</v>
      </c>
      <c r="X11" s="218">
        <v>42.36</v>
      </c>
      <c r="Y11" s="218">
        <v>34.99</v>
      </c>
      <c r="Z11" s="218">
        <v>41.32</v>
      </c>
      <c r="AA11" s="218">
        <v>51.65</v>
      </c>
      <c r="AB11" s="76">
        <f t="shared" si="2"/>
        <v>0.25</v>
      </c>
      <c r="AD11" s="19" t="s">
        <v>48</v>
      </c>
      <c r="AE11" s="219">
        <v>920075.77</v>
      </c>
      <c r="AF11" s="53">
        <v>3518003.8000000003</v>
      </c>
      <c r="AG11" s="53">
        <v>4202675.6400000006</v>
      </c>
      <c r="AH11" s="53">
        <v>4788709.37</v>
      </c>
      <c r="AI11" s="53">
        <v>5527320.1400000006</v>
      </c>
      <c r="AJ11" s="76">
        <f t="shared" si="3"/>
        <v>0.15424004944363556</v>
      </c>
      <c r="AK11" s="53">
        <f t="shared" si="4"/>
        <v>738610.77000000048</v>
      </c>
      <c r="AL11" s="100">
        <f t="shared" si="5"/>
        <v>5.4246054072714031E-3</v>
      </c>
      <c r="AM11" s="220">
        <v>235252.28</v>
      </c>
      <c r="AN11" s="221">
        <v>521022.8</v>
      </c>
      <c r="AO11" s="221">
        <v>472382.11</v>
      </c>
      <c r="AP11" s="221">
        <v>466124.03</v>
      </c>
      <c r="AQ11" s="221">
        <v>700422.43</v>
      </c>
      <c r="AR11" s="76">
        <f t="shared" si="6"/>
        <v>0.50265248071419966</v>
      </c>
      <c r="AS11" s="53">
        <f t="shared" si="7"/>
        <v>234298.40000000002</v>
      </c>
      <c r="AT11" s="76">
        <f t="shared" si="8"/>
        <v>1.9773247256094608</v>
      </c>
      <c r="AU11" s="53">
        <f t="shared" si="9"/>
        <v>465170.15</v>
      </c>
      <c r="AV11" s="100">
        <f t="shared" si="10"/>
        <v>5.1065198240710574E-3</v>
      </c>
    </row>
    <row r="12" spans="2:48" x14ac:dyDescent="0.25">
      <c r="B12" s="19" t="s">
        <v>49</v>
      </c>
      <c r="C12" s="217">
        <v>153.1123081362947</v>
      </c>
      <c r="D12" s="218">
        <v>231.92065189955579</v>
      </c>
      <c r="E12" s="218">
        <v>176.14952506564174</v>
      </c>
      <c r="F12" s="218">
        <v>192.70239433655183</v>
      </c>
      <c r="G12" s="218">
        <v>207.258966031477</v>
      </c>
      <c r="H12" s="76">
        <f t="shared" ref="H12:H18" si="11">G12/F12-1</f>
        <v>7.5539132479601312E-2</v>
      </c>
      <c r="I12" s="217">
        <v>139.72999999999999</v>
      </c>
      <c r="J12" s="218">
        <v>207.23</v>
      </c>
      <c r="K12" s="218">
        <v>234.27</v>
      </c>
      <c r="L12" s="218">
        <v>175.2</v>
      </c>
      <c r="M12" s="218">
        <v>156.80000000000001</v>
      </c>
      <c r="N12" s="76">
        <f t="shared" si="0"/>
        <v>-0.10502283105022814</v>
      </c>
      <c r="P12" s="19" t="s">
        <v>49</v>
      </c>
      <c r="Q12" s="217">
        <v>33.116282639598495</v>
      </c>
      <c r="R12" s="218">
        <v>114.31554273131576</v>
      </c>
      <c r="S12" s="218">
        <v>94.862670670321009</v>
      </c>
      <c r="T12" s="218">
        <v>116.86476937166447</v>
      </c>
      <c r="U12" s="218">
        <v>153.08226913762255</v>
      </c>
      <c r="V12" s="76">
        <f t="shared" si="1"/>
        <v>0.30990947879917297</v>
      </c>
      <c r="W12" s="217">
        <v>17.010000000000002</v>
      </c>
      <c r="X12" s="218">
        <v>98.01</v>
      </c>
      <c r="Y12" s="218">
        <v>109.27</v>
      </c>
      <c r="Z12" s="218">
        <v>69.959999999999994</v>
      </c>
      <c r="AA12" s="218">
        <v>116.22</v>
      </c>
      <c r="AB12" s="76">
        <f t="shared" si="2"/>
        <v>0.66123499142367081</v>
      </c>
      <c r="AD12" s="19" t="s">
        <v>49</v>
      </c>
      <c r="AE12" s="219">
        <v>7319252.9700000007</v>
      </c>
      <c r="AF12" s="53">
        <v>33638506.18</v>
      </c>
      <c r="AG12" s="53">
        <v>27653391.800000001</v>
      </c>
      <c r="AH12" s="53">
        <v>25657389.859999999</v>
      </c>
      <c r="AI12" s="53">
        <v>46826416.620000005</v>
      </c>
      <c r="AJ12" s="76">
        <f t="shared" si="3"/>
        <v>0.82506548310288674</v>
      </c>
      <c r="AK12" s="53">
        <f t="shared" si="4"/>
        <v>21169026.760000005</v>
      </c>
      <c r="AL12" s="100">
        <f t="shared" si="5"/>
        <v>4.5956236723425165E-2</v>
      </c>
      <c r="AM12" s="220">
        <v>623222.53</v>
      </c>
      <c r="AN12" s="221">
        <v>4854322.93</v>
      </c>
      <c r="AO12" s="221">
        <v>5018559.3600000003</v>
      </c>
      <c r="AP12" s="221">
        <v>2940252.89</v>
      </c>
      <c r="AQ12" s="221">
        <v>5892147.4500000002</v>
      </c>
      <c r="AR12" s="76">
        <f t="shared" si="6"/>
        <v>1.0039594111239865</v>
      </c>
      <c r="AS12" s="53">
        <f t="shared" si="7"/>
        <v>2951894.56</v>
      </c>
      <c r="AT12" s="76">
        <f t="shared" si="8"/>
        <v>8.4543235624039461</v>
      </c>
      <c r="AU12" s="53">
        <f t="shared" si="9"/>
        <v>5268924.92</v>
      </c>
      <c r="AV12" s="100">
        <f t="shared" si="10"/>
        <v>4.2957458914864743E-2</v>
      </c>
    </row>
    <row r="13" spans="2:48" x14ac:dyDescent="0.25">
      <c r="B13" s="19" t="s">
        <v>50</v>
      </c>
      <c r="C13" s="217">
        <v>34.941746042323949</v>
      </c>
      <c r="D13" s="218">
        <v>54.947261397466846</v>
      </c>
      <c r="E13" s="218">
        <v>62.284872378301557</v>
      </c>
      <c r="F13" s="218">
        <v>71.897067571776176</v>
      </c>
      <c r="G13" s="218">
        <v>79.098779244615812</v>
      </c>
      <c r="H13" s="76">
        <f t="shared" si="11"/>
        <v>0.10016697364812588</v>
      </c>
      <c r="I13" s="217">
        <v>34.49</v>
      </c>
      <c r="J13" s="218">
        <v>49.5</v>
      </c>
      <c r="K13" s="218">
        <v>55.39</v>
      </c>
      <c r="L13" s="218">
        <v>64.28</v>
      </c>
      <c r="M13" s="218">
        <v>70.27</v>
      </c>
      <c r="N13" s="76">
        <f t="shared" si="0"/>
        <v>9.3186060983198482E-2</v>
      </c>
      <c r="P13" s="19" t="s">
        <v>50</v>
      </c>
      <c r="Q13" s="217">
        <v>11.779150766288595</v>
      </c>
      <c r="R13" s="218">
        <v>36.145392682450826</v>
      </c>
      <c r="S13" s="218">
        <v>48.745594946944522</v>
      </c>
      <c r="T13" s="218">
        <v>57.752360670755827</v>
      </c>
      <c r="U13" s="218">
        <v>63.534951912826855</v>
      </c>
      <c r="V13" s="76">
        <f t="shared" si="1"/>
        <v>0.10012735713155307</v>
      </c>
      <c r="W13" s="217">
        <v>15.57</v>
      </c>
      <c r="X13" s="218">
        <v>34.96</v>
      </c>
      <c r="Y13" s="218">
        <v>40.57</v>
      </c>
      <c r="Z13" s="218">
        <v>48.53</v>
      </c>
      <c r="AA13" s="218">
        <v>54.3</v>
      </c>
      <c r="AB13" s="76">
        <f t="shared" si="2"/>
        <v>0.11889552853904783</v>
      </c>
      <c r="AD13" s="19" t="s">
        <v>50</v>
      </c>
      <c r="AE13" s="219">
        <v>6405740.370000001</v>
      </c>
      <c r="AF13" s="53">
        <v>58185875.680000007</v>
      </c>
      <c r="AG13" s="53">
        <v>81801106.270000011</v>
      </c>
      <c r="AH13" s="53">
        <v>102141611.28999999</v>
      </c>
      <c r="AI13" s="53">
        <v>110876677.07999998</v>
      </c>
      <c r="AJ13" s="76">
        <f t="shared" si="3"/>
        <v>8.5519169706452347E-2</v>
      </c>
      <c r="AK13" s="53">
        <f t="shared" si="4"/>
        <v>8735065.7899999917</v>
      </c>
      <c r="AL13" s="100">
        <f t="shared" si="5"/>
        <v>0.10881624490606277</v>
      </c>
      <c r="AM13" s="220">
        <v>2086276.82</v>
      </c>
      <c r="AN13" s="221">
        <v>9378882.4600000009</v>
      </c>
      <c r="AO13" s="221">
        <v>11062837.130000001</v>
      </c>
      <c r="AP13" s="221">
        <v>14269284.73</v>
      </c>
      <c r="AQ13" s="221">
        <v>15442972.35</v>
      </c>
      <c r="AR13" s="76">
        <f t="shared" si="6"/>
        <v>8.2252729706375316E-2</v>
      </c>
      <c r="AS13" s="53">
        <f t="shared" si="7"/>
        <v>1173687.6199999992</v>
      </c>
      <c r="AT13" s="76">
        <f t="shared" si="8"/>
        <v>6.4021683996853298</v>
      </c>
      <c r="AU13" s="53">
        <f t="shared" si="9"/>
        <v>13356695.529999999</v>
      </c>
      <c r="AV13" s="100">
        <f t="shared" si="10"/>
        <v>0.1125889764093594</v>
      </c>
    </row>
    <row r="14" spans="2:48" x14ac:dyDescent="0.25">
      <c r="B14" s="19" t="s">
        <v>51</v>
      </c>
      <c r="C14" s="217">
        <v>80.078959658119729</v>
      </c>
      <c r="D14" s="218">
        <v>88.111465548707429</v>
      </c>
      <c r="E14" s="218">
        <v>97.067375452191115</v>
      </c>
      <c r="F14" s="218">
        <v>109.68991147944101</v>
      </c>
      <c r="G14" s="218">
        <v>117.83360126143769</v>
      </c>
      <c r="H14" s="76">
        <f t="shared" si="11"/>
        <v>7.4242833020455423E-2</v>
      </c>
      <c r="I14" s="217">
        <v>78.02</v>
      </c>
      <c r="J14" s="218">
        <v>80.44</v>
      </c>
      <c r="K14" s="218">
        <v>81.83</v>
      </c>
      <c r="L14" s="218">
        <v>97.42</v>
      </c>
      <c r="M14" s="218">
        <v>103.67</v>
      </c>
      <c r="N14" s="76">
        <f t="shared" si="0"/>
        <v>6.4155204270170296E-2</v>
      </c>
      <c r="P14" s="19" t="s">
        <v>51</v>
      </c>
      <c r="Q14" s="217">
        <v>32.75526227951417</v>
      </c>
      <c r="R14" s="218">
        <v>65.77668266767671</v>
      </c>
      <c r="S14" s="218">
        <v>76.826581773908828</v>
      </c>
      <c r="T14" s="218">
        <v>88.870626500825935</v>
      </c>
      <c r="U14" s="218">
        <v>95.41168435461681</v>
      </c>
      <c r="V14" s="76">
        <f t="shared" si="1"/>
        <v>7.3602022527995636E-2</v>
      </c>
      <c r="W14" s="217">
        <v>39.54</v>
      </c>
      <c r="X14" s="218">
        <v>48.82</v>
      </c>
      <c r="Y14" s="218">
        <v>53.04</v>
      </c>
      <c r="Z14" s="218">
        <v>62.53</v>
      </c>
      <c r="AA14" s="218">
        <v>69.05</v>
      </c>
      <c r="AB14" s="76">
        <f t="shared" si="2"/>
        <v>0.1042699504237965</v>
      </c>
      <c r="AD14" s="19" t="s">
        <v>51</v>
      </c>
      <c r="AE14" s="219">
        <v>1405116</v>
      </c>
      <c r="AF14" s="53">
        <v>3899736.33</v>
      </c>
      <c r="AG14" s="53">
        <v>4714087.1399999997</v>
      </c>
      <c r="AH14" s="53">
        <v>5563911.0600000005</v>
      </c>
      <c r="AI14" s="53">
        <v>5940771.5999999996</v>
      </c>
      <c r="AJ14" s="76">
        <f t="shared" si="3"/>
        <v>6.773302735000919E-2</v>
      </c>
      <c r="AK14" s="53">
        <f t="shared" si="4"/>
        <v>376860.53999999911</v>
      </c>
      <c r="AL14" s="100">
        <f t="shared" si="5"/>
        <v>5.8303736582054361E-3</v>
      </c>
      <c r="AM14" s="220">
        <v>281148.38</v>
      </c>
      <c r="AN14" s="221">
        <v>496521.03</v>
      </c>
      <c r="AO14" s="221">
        <v>539467.63</v>
      </c>
      <c r="AP14" s="221">
        <v>645273.59</v>
      </c>
      <c r="AQ14" s="221">
        <v>712583.9</v>
      </c>
      <c r="AR14" s="76">
        <f t="shared" si="6"/>
        <v>0.10431282334056169</v>
      </c>
      <c r="AS14" s="53">
        <f t="shared" si="7"/>
        <v>67310.310000000056</v>
      </c>
      <c r="AT14" s="76">
        <f t="shared" si="8"/>
        <v>1.5345474158520851</v>
      </c>
      <c r="AU14" s="53">
        <f t="shared" si="9"/>
        <v>431435.52000000002</v>
      </c>
      <c r="AV14" s="100">
        <f t="shared" si="10"/>
        <v>5.1951845854848874E-3</v>
      </c>
    </row>
    <row r="15" spans="2:48" x14ac:dyDescent="0.25">
      <c r="B15" s="19" t="s">
        <v>52</v>
      </c>
      <c r="C15" s="217">
        <v>117.80732128979786</v>
      </c>
      <c r="D15" s="218">
        <v>117.98676505151548</v>
      </c>
      <c r="E15" s="218">
        <v>139.59849999914627</v>
      </c>
      <c r="F15" s="218">
        <v>162.56627286206552</v>
      </c>
      <c r="G15" s="218">
        <v>187.69802064461564</v>
      </c>
      <c r="H15" s="76">
        <f t="shared" si="11"/>
        <v>0.15459386095339678</v>
      </c>
      <c r="I15" s="217">
        <v>136.28</v>
      </c>
      <c r="J15" s="218">
        <v>113</v>
      </c>
      <c r="K15" s="218">
        <v>131.33000000000001</v>
      </c>
      <c r="L15" s="218">
        <v>154.88999999999999</v>
      </c>
      <c r="M15" s="218">
        <v>169.18</v>
      </c>
      <c r="N15" s="76">
        <f t="shared" si="0"/>
        <v>9.2259022532119817E-2</v>
      </c>
      <c r="P15" s="19" t="s">
        <v>52</v>
      </c>
      <c r="Q15" s="217">
        <v>55.56467082282623</v>
      </c>
      <c r="R15" s="218">
        <v>86.531856525930564</v>
      </c>
      <c r="S15" s="218">
        <v>111.25496086654451</v>
      </c>
      <c r="T15" s="218">
        <v>138.76479888821692</v>
      </c>
      <c r="U15" s="218">
        <v>156.57824410754708</v>
      </c>
      <c r="V15" s="76">
        <f t="shared" si="1"/>
        <v>0.12837149883869259</v>
      </c>
      <c r="W15" s="217">
        <v>84.99</v>
      </c>
      <c r="X15" s="218">
        <v>77.760000000000005</v>
      </c>
      <c r="Y15" s="218">
        <v>108.27</v>
      </c>
      <c r="Z15" s="218">
        <v>125.61</v>
      </c>
      <c r="AA15" s="218">
        <v>143.46</v>
      </c>
      <c r="AB15" s="76">
        <f t="shared" si="2"/>
        <v>0.14210652018151437</v>
      </c>
      <c r="AD15" s="19" t="s">
        <v>52</v>
      </c>
      <c r="AE15" s="219">
        <v>6632127.1899999995</v>
      </c>
      <c r="AF15" s="53">
        <v>24078048.459999997</v>
      </c>
      <c r="AG15" s="53">
        <v>35944844.239999995</v>
      </c>
      <c r="AH15" s="53">
        <v>45155976.710000008</v>
      </c>
      <c r="AI15" s="53">
        <v>50719094.049999997</v>
      </c>
      <c r="AJ15" s="76">
        <f t="shared" si="3"/>
        <v>0.12319780780576073</v>
      </c>
      <c r="AK15" s="53">
        <f t="shared" si="4"/>
        <v>5563117.3399999887</v>
      </c>
      <c r="AL15" s="100">
        <f t="shared" si="5"/>
        <v>4.9776576146634562E-2</v>
      </c>
      <c r="AM15" s="220">
        <v>2687501.02</v>
      </c>
      <c r="AN15" s="221">
        <v>3366417.4</v>
      </c>
      <c r="AO15" s="221">
        <v>5798035.4000000004</v>
      </c>
      <c r="AP15" s="221">
        <v>6737883.6500000004</v>
      </c>
      <c r="AQ15" s="221">
        <v>7239199.21</v>
      </c>
      <c r="AR15" s="76">
        <f t="shared" si="6"/>
        <v>7.440252548736126E-2</v>
      </c>
      <c r="AS15" s="53">
        <f t="shared" si="7"/>
        <v>501315.55999999959</v>
      </c>
      <c r="AT15" s="76">
        <f t="shared" si="8"/>
        <v>1.6936544976641534</v>
      </c>
      <c r="AU15" s="53">
        <f t="shared" si="9"/>
        <v>4551698.1899999995</v>
      </c>
      <c r="AV15" s="100">
        <f t="shared" si="10"/>
        <v>5.2778313047833911E-2</v>
      </c>
    </row>
    <row r="16" spans="2:48" x14ac:dyDescent="0.25">
      <c r="B16" s="19" t="s">
        <v>53</v>
      </c>
      <c r="C16" s="217">
        <v>63.166917693507571</v>
      </c>
      <c r="D16" s="218">
        <v>75.975371857455713</v>
      </c>
      <c r="E16" s="218">
        <v>86.273927968781862</v>
      </c>
      <c r="F16" s="218">
        <v>96.29006293189272</v>
      </c>
      <c r="G16" s="218">
        <v>104.54956117760663</v>
      </c>
      <c r="H16" s="76">
        <f t="shared" si="11"/>
        <v>8.5777265007667136E-2</v>
      </c>
      <c r="I16" s="217">
        <v>62.32</v>
      </c>
      <c r="J16" s="218">
        <v>77.150000000000006</v>
      </c>
      <c r="K16" s="218">
        <v>77.33</v>
      </c>
      <c r="L16" s="218">
        <v>89.71</v>
      </c>
      <c r="M16" s="218">
        <v>89.09</v>
      </c>
      <c r="N16" s="76">
        <f t="shared" si="0"/>
        <v>-6.9111581763459107E-3</v>
      </c>
      <c r="P16" s="19" t="s">
        <v>53</v>
      </c>
      <c r="Q16" s="217">
        <v>27.066643961527927</v>
      </c>
      <c r="R16" s="218">
        <v>55.005065744165272</v>
      </c>
      <c r="S16" s="218">
        <v>61.980913631793804</v>
      </c>
      <c r="T16" s="218">
        <v>72.014285733260806</v>
      </c>
      <c r="U16" s="218">
        <v>77.962423075833925</v>
      </c>
      <c r="V16" s="76">
        <f t="shared" si="1"/>
        <v>8.2596630404762728E-2</v>
      </c>
      <c r="W16" s="217">
        <v>30.69</v>
      </c>
      <c r="X16" s="218">
        <v>49.26</v>
      </c>
      <c r="Y16" s="218">
        <v>47.49</v>
      </c>
      <c r="Z16" s="218">
        <v>55.64</v>
      </c>
      <c r="AA16" s="218">
        <v>58.22</v>
      </c>
      <c r="AB16" s="76">
        <f t="shared" si="2"/>
        <v>4.6369518332135096E-2</v>
      </c>
      <c r="AD16" s="19" t="s">
        <v>53</v>
      </c>
      <c r="AE16" s="219">
        <v>5509773.8499999996</v>
      </c>
      <c r="AF16" s="53">
        <v>13702694.219999999</v>
      </c>
      <c r="AG16" s="53">
        <v>16977043.279999997</v>
      </c>
      <c r="AH16" s="53">
        <v>19267251.879999999</v>
      </c>
      <c r="AI16" s="53">
        <v>19868147.280000001</v>
      </c>
      <c r="AJ16" s="76">
        <f t="shared" si="3"/>
        <v>3.1187395262307849E-2</v>
      </c>
      <c r="AK16" s="53">
        <f t="shared" si="4"/>
        <v>600895.40000000224</v>
      </c>
      <c r="AL16" s="100">
        <f t="shared" si="5"/>
        <v>1.9498935548819617E-2</v>
      </c>
      <c r="AM16" s="220">
        <v>1151819.49</v>
      </c>
      <c r="AN16" s="221">
        <v>2140027.64</v>
      </c>
      <c r="AO16" s="221">
        <v>2074555.75</v>
      </c>
      <c r="AP16" s="221">
        <v>2453646.81</v>
      </c>
      <c r="AQ16" s="221">
        <v>2459003.3199999998</v>
      </c>
      <c r="AR16" s="76">
        <f t="shared" si="6"/>
        <v>2.183081109379259E-3</v>
      </c>
      <c r="AS16" s="53">
        <f t="shared" si="7"/>
        <v>5356.5099999997765</v>
      </c>
      <c r="AT16" s="76">
        <f t="shared" si="8"/>
        <v>1.1348860141270918</v>
      </c>
      <c r="AU16" s="53">
        <f t="shared" si="9"/>
        <v>1307183.8299999998</v>
      </c>
      <c r="AV16" s="100">
        <f t="shared" si="10"/>
        <v>1.7927680015953434E-2</v>
      </c>
    </row>
    <row r="17" spans="2:48" x14ac:dyDescent="0.25">
      <c r="B17" s="19" t="s">
        <v>54</v>
      </c>
      <c r="C17" s="217">
        <v>83.489503844316275</v>
      </c>
      <c r="D17" s="218">
        <v>108.93353016005922</v>
      </c>
      <c r="E17" s="218">
        <v>124.12696241521785</v>
      </c>
      <c r="F17" s="218">
        <v>137.24050299399909</v>
      </c>
      <c r="G17" s="218">
        <v>114.03957758205081</v>
      </c>
      <c r="H17" s="76">
        <f t="shared" si="11"/>
        <v>-0.16905304852287484</v>
      </c>
      <c r="I17" s="217">
        <v>76.55</v>
      </c>
      <c r="J17" s="218">
        <v>110.79</v>
      </c>
      <c r="K17" s="218">
        <v>119.94</v>
      </c>
      <c r="L17" s="218">
        <v>131.65</v>
      </c>
      <c r="M17" s="218">
        <v>107.09</v>
      </c>
      <c r="N17" s="76">
        <f t="shared" si="0"/>
        <v>-0.18655526015951385</v>
      </c>
      <c r="P17" s="19" t="s">
        <v>54</v>
      </c>
      <c r="Q17" s="217">
        <v>24.696203808928296</v>
      </c>
      <c r="R17" s="218">
        <v>78.413562704372922</v>
      </c>
      <c r="S17" s="218">
        <v>102.33972723803564</v>
      </c>
      <c r="T17" s="218">
        <v>117.60180468160974</v>
      </c>
      <c r="U17" s="218">
        <v>97.092253401502475</v>
      </c>
      <c r="V17" s="76">
        <f t="shared" si="1"/>
        <v>-0.17439826995541419</v>
      </c>
      <c r="W17" s="217">
        <v>21.53</v>
      </c>
      <c r="X17" s="218">
        <v>80.959999999999994</v>
      </c>
      <c r="Y17" s="218">
        <v>94.72</v>
      </c>
      <c r="Z17" s="218">
        <v>108.17</v>
      </c>
      <c r="AA17" s="218">
        <v>89.24</v>
      </c>
      <c r="AB17" s="76">
        <f t="shared" si="2"/>
        <v>-0.17500231117685128</v>
      </c>
      <c r="AD17" s="19" t="s">
        <v>54</v>
      </c>
      <c r="AE17" s="219">
        <v>4867550.99</v>
      </c>
      <c r="AF17" s="53">
        <v>38618106.219999999</v>
      </c>
      <c r="AG17" s="53">
        <v>49340902.600000001</v>
      </c>
      <c r="AH17" s="53">
        <v>58259049.670000002</v>
      </c>
      <c r="AI17" s="53">
        <v>48169352.309999995</v>
      </c>
      <c r="AJ17" s="76">
        <f t="shared" si="3"/>
        <v>-0.17318678243383034</v>
      </c>
      <c r="AK17" s="53">
        <f t="shared" si="4"/>
        <v>-10089697.360000007</v>
      </c>
      <c r="AL17" s="100">
        <f t="shared" si="5"/>
        <v>4.7274216507674043E-2</v>
      </c>
      <c r="AM17" s="220">
        <v>708500.43</v>
      </c>
      <c r="AN17" s="221">
        <v>6609056.7199999997</v>
      </c>
      <c r="AO17" s="221">
        <v>7404937.2300000004</v>
      </c>
      <c r="AP17" s="221">
        <v>8832905.2200000007</v>
      </c>
      <c r="AQ17" s="221">
        <v>7338203.5099999998</v>
      </c>
      <c r="AR17" s="76">
        <f t="shared" si="6"/>
        <v>-0.16921971568489225</v>
      </c>
      <c r="AS17" s="53">
        <f t="shared" si="7"/>
        <v>-1494701.7100000009</v>
      </c>
      <c r="AT17" s="76">
        <f t="shared" si="8"/>
        <v>9.3573734034289853</v>
      </c>
      <c r="AU17" s="53">
        <f t="shared" si="9"/>
        <v>6629703.0800000001</v>
      </c>
      <c r="AV17" s="100">
        <f t="shared" si="10"/>
        <v>5.3500116632305465E-2</v>
      </c>
    </row>
    <row r="18" spans="2:48" x14ac:dyDescent="0.25">
      <c r="B18" s="23" t="s">
        <v>55</v>
      </c>
      <c r="C18" s="217">
        <v>76.390027281650575</v>
      </c>
      <c r="D18" s="218">
        <v>61.121190501437432</v>
      </c>
      <c r="E18" s="218">
        <v>67.7125576222126</v>
      </c>
      <c r="F18" s="218">
        <v>73.031884332367</v>
      </c>
      <c r="G18" s="218">
        <v>74.072944174743441</v>
      </c>
      <c r="H18" s="76">
        <f t="shared" si="11"/>
        <v>1.4254867608763711E-2</v>
      </c>
      <c r="I18" s="217">
        <v>67.430000000000007</v>
      </c>
      <c r="J18" s="218">
        <v>55.3</v>
      </c>
      <c r="K18" s="218">
        <v>48.47</v>
      </c>
      <c r="L18" s="218">
        <v>48.39</v>
      </c>
      <c r="M18" s="218">
        <v>52.16</v>
      </c>
      <c r="N18" s="76">
        <f t="shared" si="0"/>
        <v>7.7908658813804488E-2</v>
      </c>
      <c r="P18" s="23" t="s">
        <v>55</v>
      </c>
      <c r="Q18" s="217">
        <v>17.540111489303516</v>
      </c>
      <c r="R18" s="218">
        <v>40.801067335974238</v>
      </c>
      <c r="S18" s="218">
        <v>54.311189256685253</v>
      </c>
      <c r="T18" s="218">
        <v>58.722107400711188</v>
      </c>
      <c r="U18" s="218">
        <v>57.426649165172265</v>
      </c>
      <c r="V18" s="76">
        <f t="shared" si="1"/>
        <v>-2.2060826712142712E-2</v>
      </c>
      <c r="W18" s="217">
        <v>21.29</v>
      </c>
      <c r="X18" s="218">
        <v>32.770000000000003</v>
      </c>
      <c r="Y18" s="218">
        <v>35.520000000000003</v>
      </c>
      <c r="Z18" s="218">
        <v>33.979999999999997</v>
      </c>
      <c r="AA18" s="218">
        <v>36.26</v>
      </c>
      <c r="AB18" s="76">
        <f t="shared" si="2"/>
        <v>6.7098293113596164E-2</v>
      </c>
      <c r="AD18" s="23" t="s">
        <v>55</v>
      </c>
      <c r="AE18" s="219">
        <v>3464555.94</v>
      </c>
      <c r="AF18" s="53">
        <v>10128725.060000001</v>
      </c>
      <c r="AG18" s="53">
        <v>12019552.109999999</v>
      </c>
      <c r="AH18" s="53">
        <v>13536328.719999999</v>
      </c>
      <c r="AI18" s="53">
        <v>13248871.23</v>
      </c>
      <c r="AJ18" s="76">
        <f t="shared" si="3"/>
        <v>-2.1236000982694736E-2</v>
      </c>
      <c r="AK18" s="53">
        <f t="shared" si="4"/>
        <v>-287457.48999999836</v>
      </c>
      <c r="AL18" s="100">
        <f t="shared" si="5"/>
        <v>1.300266615541117E-2</v>
      </c>
      <c r="AM18" s="220">
        <v>747936.69</v>
      </c>
      <c r="AN18" s="221">
        <v>1202298.6000000001</v>
      </c>
      <c r="AO18" s="221">
        <v>1285068.78</v>
      </c>
      <c r="AP18" s="221">
        <v>1287677.6599999999</v>
      </c>
      <c r="AQ18" s="221">
        <v>1388954.82</v>
      </c>
      <c r="AR18" s="76">
        <f t="shared" si="6"/>
        <v>7.8651018920371962E-2</v>
      </c>
      <c r="AS18" s="53">
        <f t="shared" si="7"/>
        <v>101277.16000000015</v>
      </c>
      <c r="AT18" s="76">
        <f t="shared" si="8"/>
        <v>0.8570486493983871</v>
      </c>
      <c r="AU18" s="53">
        <f t="shared" si="9"/>
        <v>641018.13000000012</v>
      </c>
      <c r="AV18" s="100">
        <f t="shared" si="10"/>
        <v>1.0126353782058416E-2</v>
      </c>
    </row>
    <row r="19" spans="2:48" x14ac:dyDescent="0.25">
      <c r="B19" s="103"/>
      <c r="C19" s="104"/>
      <c r="D19" s="104"/>
      <c r="E19" s="104"/>
      <c r="F19" s="104"/>
      <c r="G19" s="105"/>
      <c r="H19" s="104"/>
      <c r="I19" s="104"/>
      <c r="J19" s="104"/>
      <c r="K19" s="104"/>
      <c r="L19" s="104"/>
      <c r="M19" s="106"/>
      <c r="N19" s="106"/>
      <c r="P19" s="103"/>
      <c r="Q19" s="104"/>
      <c r="R19" s="104"/>
      <c r="S19" s="104"/>
      <c r="T19" s="104"/>
      <c r="U19" s="105"/>
      <c r="V19" s="104"/>
      <c r="W19" s="104"/>
      <c r="X19" s="104"/>
      <c r="Y19" s="104"/>
      <c r="Z19" s="104"/>
      <c r="AA19" s="106"/>
      <c r="AB19" s="106"/>
      <c r="AD19" s="103"/>
      <c r="AE19" s="103"/>
      <c r="AF19" s="103"/>
      <c r="AG19" s="103"/>
      <c r="AH19" s="104"/>
      <c r="AI19" s="105"/>
      <c r="AJ19" s="106"/>
      <c r="AK19" s="106"/>
      <c r="AL19" s="106"/>
      <c r="AM19" s="104"/>
      <c r="AN19" s="104"/>
      <c r="AO19" s="104"/>
      <c r="AP19" s="104"/>
      <c r="AQ19" s="106"/>
      <c r="AR19" s="106"/>
      <c r="AS19" s="106"/>
      <c r="AT19" s="106"/>
      <c r="AU19" s="222"/>
      <c r="AV19" s="106"/>
    </row>
    <row r="20" spans="2:48" x14ac:dyDescent="0.25">
      <c r="B20" s="107" t="s">
        <v>57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P20" s="107" t="s">
        <v>57</v>
      </c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D20" s="107" t="s">
        <v>57</v>
      </c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</row>
    <row r="21" spans="2:48" ht="39" customHeight="1" x14ac:dyDescent="0.25">
      <c r="B21" s="295" t="s">
        <v>165</v>
      </c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P21" s="295" t="s">
        <v>166</v>
      </c>
      <c r="Q21" s="295"/>
      <c r="R21" s="295"/>
      <c r="S21" s="295"/>
      <c r="T21" s="295"/>
      <c r="U21" s="295"/>
      <c r="V21" s="295"/>
      <c r="W21" s="295"/>
      <c r="X21" s="223"/>
      <c r="Y21" s="223"/>
      <c r="Z21" s="223"/>
      <c r="AA21" s="223"/>
      <c r="AB21" s="223"/>
      <c r="AD21" s="316" t="s">
        <v>167</v>
      </c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</row>
    <row r="22" spans="2:48" ht="24" customHeight="1" x14ac:dyDescent="0.25">
      <c r="B22" s="295" t="s">
        <v>168</v>
      </c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P22" s="317" t="s">
        <v>169</v>
      </c>
      <c r="Q22" s="317"/>
      <c r="R22" s="317"/>
      <c r="S22" s="317"/>
      <c r="T22" s="317"/>
      <c r="U22" s="317"/>
      <c r="V22" s="317"/>
      <c r="W22" s="317"/>
      <c r="X22" s="224"/>
      <c r="Y22" s="224"/>
      <c r="Z22" s="224"/>
      <c r="AA22" s="224"/>
      <c r="AB22" s="224"/>
      <c r="AQ22" s="53">
        <f>AQ11/M11</f>
        <v>8282.1618777344229</v>
      </c>
    </row>
    <row r="23" spans="2:48" x14ac:dyDescent="0.25"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</row>
    <row r="27" spans="2:48" ht="50.25" customHeight="1" thickBot="1" x14ac:dyDescent="0.3">
      <c r="B27" s="278" t="s">
        <v>170</v>
      </c>
      <c r="C27" s="278"/>
      <c r="D27" s="278"/>
      <c r="E27" s="278"/>
      <c r="F27" s="278"/>
      <c r="G27" s="278"/>
      <c r="H27" s="278"/>
      <c r="I27" s="145"/>
      <c r="P27" s="278" t="s">
        <v>171</v>
      </c>
      <c r="Q27" s="278"/>
      <c r="R27" s="278"/>
      <c r="S27" s="278"/>
      <c r="T27" s="278"/>
      <c r="U27" s="278"/>
      <c r="V27" s="278"/>
      <c r="W27" s="278"/>
      <c r="AE27" s="278" t="s">
        <v>172</v>
      </c>
      <c r="AF27" s="278"/>
      <c r="AG27" s="278"/>
      <c r="AH27" s="278"/>
      <c r="AI27" s="278"/>
      <c r="AJ27" s="278"/>
      <c r="AK27" s="278"/>
      <c r="AL27" s="145"/>
    </row>
    <row r="28" spans="2:48" ht="6" customHeight="1" thickBot="1" x14ac:dyDescent="0.3">
      <c r="B28" s="85"/>
      <c r="C28" s="85"/>
      <c r="D28" s="85"/>
      <c r="E28" s="85"/>
      <c r="F28" s="85"/>
      <c r="G28" s="85"/>
      <c r="H28" s="85"/>
      <c r="I28" s="86"/>
      <c r="P28" s="85"/>
      <c r="Q28" s="85"/>
      <c r="R28" s="85"/>
      <c r="S28" s="85"/>
      <c r="T28" s="85"/>
      <c r="U28" s="85"/>
      <c r="V28" s="85"/>
      <c r="W28" s="86"/>
      <c r="AE28" s="86"/>
      <c r="AF28" s="86"/>
      <c r="AG28" s="86"/>
      <c r="AH28" s="86"/>
      <c r="AI28" s="86"/>
      <c r="AJ28" s="86"/>
      <c r="AK28" s="86"/>
      <c r="AL28" s="86"/>
    </row>
    <row r="29" spans="2:48" ht="30.75" thickBot="1" x14ac:dyDescent="0.3">
      <c r="B29" s="87"/>
      <c r="C29" s="186">
        <v>2020</v>
      </c>
      <c r="D29" s="186">
        <v>2021</v>
      </c>
      <c r="E29" s="186">
        <v>2022</v>
      </c>
      <c r="F29" s="186">
        <v>2023</v>
      </c>
      <c r="G29" s="186">
        <v>2024</v>
      </c>
      <c r="H29" s="14" t="str">
        <f>CONCATENATE("var. ",RIGHT(G29,2),"/",RIGHT(F29,2))</f>
        <v>var. 24/23</v>
      </c>
      <c r="I29" s="207" t="str">
        <f>CONCATENATE("dif. ",RIGHT(G29,2),"/",RIGHT(F29,2))</f>
        <v>dif. 24/23</v>
      </c>
      <c r="P29" s="87"/>
      <c r="Q29" s="186">
        <v>2020</v>
      </c>
      <c r="R29" s="186">
        <v>2021</v>
      </c>
      <c r="S29" s="186">
        <v>2022</v>
      </c>
      <c r="T29" s="186">
        <v>2023</v>
      </c>
      <c r="U29" s="186">
        <v>2024</v>
      </c>
      <c r="V29" s="14" t="str">
        <f>CONCATENATE("var. ",RIGHT(U29,2),"/",RIGHT(T29,2))</f>
        <v>var. 24/23</v>
      </c>
      <c r="W29" s="207" t="str">
        <f>CONCATENATE("dif. ",RIGHT(U29,2),"/",RIGHT(T29,2))</f>
        <v>dif. 24/23</v>
      </c>
      <c r="AE29" s="87"/>
      <c r="AF29" s="186">
        <v>2020</v>
      </c>
      <c r="AG29" s="186">
        <v>2021</v>
      </c>
      <c r="AH29" s="186">
        <v>2022</v>
      </c>
      <c r="AI29" s="186">
        <v>2023</v>
      </c>
      <c r="AJ29" s="186">
        <v>2024</v>
      </c>
      <c r="AK29" s="14" t="str">
        <f>CONCATENATE("var. ",RIGHT(AJ29,2),"/",RIGHT(AI29,2))</f>
        <v>var. 24/23</v>
      </c>
      <c r="AL29" s="207" t="str">
        <f>CONCATENATE("dif. ",RIGHT(AJ29,2),"/",RIGHT(AI29,2))</f>
        <v>dif. 24/23</v>
      </c>
    </row>
    <row r="30" spans="2:48" ht="15.75" x14ac:dyDescent="0.25">
      <c r="B30" s="209" t="s">
        <v>45</v>
      </c>
      <c r="C30" s="210">
        <v>95.05</v>
      </c>
      <c r="D30" s="210">
        <v>99.07</v>
      </c>
      <c r="E30" s="210">
        <v>105.63</v>
      </c>
      <c r="F30" s="210">
        <v>113.88</v>
      </c>
      <c r="G30" s="210">
        <v>125.25</v>
      </c>
      <c r="H30" s="135">
        <f>G30/F30-1</f>
        <v>9.984193888303472E-2</v>
      </c>
      <c r="I30" s="210">
        <f>G30-F30</f>
        <v>11.370000000000005</v>
      </c>
      <c r="P30" s="209" t="s">
        <v>45</v>
      </c>
      <c r="Q30" s="210">
        <v>47.83</v>
      </c>
      <c r="R30" s="210">
        <v>53</v>
      </c>
      <c r="S30" s="210">
        <v>80.58</v>
      </c>
      <c r="T30" s="210">
        <v>93.24</v>
      </c>
      <c r="U30" s="210">
        <v>104.71</v>
      </c>
      <c r="V30" s="135">
        <f>U30/T30-1</f>
        <v>0.12301587301587302</v>
      </c>
      <c r="W30" s="210">
        <f>U30-T30</f>
        <v>11.469999999999999</v>
      </c>
      <c r="AE30" s="209" t="s">
        <v>45</v>
      </c>
      <c r="AF30" s="215">
        <v>477122731.20999998</v>
      </c>
      <c r="AG30" s="215">
        <v>651901800.17999995</v>
      </c>
      <c r="AH30" s="215">
        <v>1528879517.8</v>
      </c>
      <c r="AI30" s="215">
        <v>1797799676.5999999</v>
      </c>
      <c r="AJ30" s="215">
        <v>2045218052.5</v>
      </c>
      <c r="AK30" s="135">
        <f>AJ30/AI30-1</f>
        <v>0.13762288375082909</v>
      </c>
      <c r="AL30" s="134">
        <f>AJ30-AI30</f>
        <v>247418375.9000001</v>
      </c>
    </row>
    <row r="31" spans="2:48" ht="15.75" customHeight="1" x14ac:dyDescent="0.25">
      <c r="B31" s="15" t="s">
        <v>46</v>
      </c>
      <c r="C31" s="217">
        <v>119.42</v>
      </c>
      <c r="D31" s="217">
        <v>126.49</v>
      </c>
      <c r="E31" s="217">
        <v>131.02000000000001</v>
      </c>
      <c r="F31" s="217">
        <v>139.02000000000001</v>
      </c>
      <c r="G31" s="217">
        <v>151.54</v>
      </c>
      <c r="H31" s="76">
        <f t="shared" ref="H31:H35" si="12">G31/F31-1</f>
        <v>9.0058984318802882E-2</v>
      </c>
      <c r="I31" s="218">
        <f t="shared" ref="I31:I40" si="13">G31-F31</f>
        <v>12.519999999999982</v>
      </c>
      <c r="P31" s="15" t="s">
        <v>46</v>
      </c>
      <c r="Q31" s="217">
        <v>61.17</v>
      </c>
      <c r="R31" s="218">
        <v>72.88</v>
      </c>
      <c r="S31" s="218">
        <v>107.72</v>
      </c>
      <c r="T31" s="218">
        <v>119.35</v>
      </c>
      <c r="U31" s="218">
        <v>131.18</v>
      </c>
      <c r="V31" s="76">
        <f t="shared" ref="V31:V40" si="14">U31/T31-1</f>
        <v>9.9120234604105573E-2</v>
      </c>
      <c r="W31" s="218">
        <f t="shared" ref="W31:W40" si="15">U31-T31</f>
        <v>11.830000000000013</v>
      </c>
      <c r="AE31" s="15" t="s">
        <v>46</v>
      </c>
      <c r="AF31" s="220">
        <v>217815325.03999999</v>
      </c>
      <c r="AG31" s="221">
        <v>333738906.93000001</v>
      </c>
      <c r="AH31" s="221">
        <v>743382276.49000001</v>
      </c>
      <c r="AI31" s="221">
        <v>857710368.34000003</v>
      </c>
      <c r="AJ31" s="221">
        <v>951532629.67999995</v>
      </c>
      <c r="AK31" s="76">
        <f t="shared" ref="AK31:AK40" si="16">AJ31/AI31-1</f>
        <v>0.10938688023741872</v>
      </c>
      <c r="AL31" s="53">
        <f t="shared" ref="AL31:AL40" si="17">AJ31-AI31</f>
        <v>93822261.339999914</v>
      </c>
    </row>
    <row r="32" spans="2:48" ht="15.75" customHeight="1" x14ac:dyDescent="0.25">
      <c r="B32" s="19" t="s">
        <v>47</v>
      </c>
      <c r="C32" s="217">
        <v>89.5</v>
      </c>
      <c r="D32" s="217">
        <v>85.87</v>
      </c>
      <c r="E32" s="217">
        <v>93.47</v>
      </c>
      <c r="F32" s="217">
        <v>101.28999999999999</v>
      </c>
      <c r="G32" s="217">
        <v>115.79999999999998</v>
      </c>
      <c r="H32" s="76">
        <f t="shared" si="12"/>
        <v>0.14325204857340301</v>
      </c>
      <c r="I32" s="218">
        <f t="shared" si="13"/>
        <v>14.509999999999991</v>
      </c>
      <c r="P32" s="19" t="s">
        <v>47</v>
      </c>
      <c r="Q32" s="217">
        <v>44.55</v>
      </c>
      <c r="R32" s="218">
        <v>43.14</v>
      </c>
      <c r="S32" s="218">
        <v>71.23</v>
      </c>
      <c r="T32" s="218">
        <v>83.79</v>
      </c>
      <c r="U32" s="218">
        <v>97.120000000000019</v>
      </c>
      <c r="V32" s="76">
        <f t="shared" si="14"/>
        <v>0.15908819668218177</v>
      </c>
      <c r="W32" s="218">
        <f t="shared" si="15"/>
        <v>13.330000000000013</v>
      </c>
      <c r="AE32" s="19" t="s">
        <v>47</v>
      </c>
      <c r="AF32" s="220">
        <v>122348722.31</v>
      </c>
      <c r="AG32" s="221">
        <v>137154616.22</v>
      </c>
      <c r="AH32" s="221">
        <v>381071528.48000002</v>
      </c>
      <c r="AI32" s="221">
        <v>437636228.67000002</v>
      </c>
      <c r="AJ32" s="221">
        <v>514385231.94</v>
      </c>
      <c r="AK32" s="76">
        <f t="shared" si="16"/>
        <v>0.17537168598505737</v>
      </c>
      <c r="AL32" s="53">
        <f t="shared" si="17"/>
        <v>76749003.269999981</v>
      </c>
    </row>
    <row r="33" spans="2:39" ht="15.75" customHeight="1" x14ac:dyDescent="0.25">
      <c r="B33" s="19" t="s">
        <v>48</v>
      </c>
      <c r="C33" s="217">
        <v>70.819999999999993</v>
      </c>
      <c r="D33" s="217">
        <v>66.41</v>
      </c>
      <c r="E33" s="217">
        <v>77.45</v>
      </c>
      <c r="F33" s="217">
        <v>80.180000000000007</v>
      </c>
      <c r="G33" s="217">
        <v>89.86</v>
      </c>
      <c r="H33" s="76">
        <f t="shared" si="12"/>
        <v>0.12072836118732844</v>
      </c>
      <c r="I33" s="218">
        <f t="shared" si="13"/>
        <v>9.6799999999999926</v>
      </c>
      <c r="P33" s="19" t="s">
        <v>48</v>
      </c>
      <c r="Q33" s="217">
        <v>38.090000000000003</v>
      </c>
      <c r="R33" s="218">
        <v>36.92</v>
      </c>
      <c r="S33" s="218">
        <v>53.920000000000009</v>
      </c>
      <c r="T33" s="218">
        <v>54.70000000000001</v>
      </c>
      <c r="U33" s="218">
        <v>64.64</v>
      </c>
      <c r="V33" s="76">
        <f t="shared" si="14"/>
        <v>0.18171846435100525</v>
      </c>
      <c r="W33" s="218">
        <f t="shared" si="15"/>
        <v>9.9399999999999906</v>
      </c>
      <c r="AE33" s="19" t="s">
        <v>48</v>
      </c>
      <c r="AF33" s="220">
        <v>2812428.07</v>
      </c>
      <c r="AG33" s="221">
        <v>4381169.17</v>
      </c>
      <c r="AH33" s="221">
        <v>8179727.9699999997</v>
      </c>
      <c r="AI33" s="221">
        <v>8858381.8200000003</v>
      </c>
      <c r="AJ33" s="221">
        <v>10477086.289999999</v>
      </c>
      <c r="AK33" s="76">
        <f t="shared" si="16"/>
        <v>0.18273139529223847</v>
      </c>
      <c r="AL33" s="53">
        <f t="shared" si="17"/>
        <v>1618704.4699999988</v>
      </c>
    </row>
    <row r="34" spans="2:39" ht="15.75" customHeight="1" x14ac:dyDescent="0.25">
      <c r="B34" s="19" t="s">
        <v>49</v>
      </c>
      <c r="C34" s="217">
        <v>135.87</v>
      </c>
      <c r="D34" s="217">
        <v>154.08000000000001</v>
      </c>
      <c r="E34" s="217">
        <v>185.51</v>
      </c>
      <c r="F34" s="217">
        <v>208.15999999999997</v>
      </c>
      <c r="G34" s="217">
        <v>202.39</v>
      </c>
      <c r="H34" s="76">
        <f t="shared" si="12"/>
        <v>-2.7719062259800031E-2</v>
      </c>
      <c r="I34" s="218">
        <f t="shared" si="13"/>
        <v>-5.7699999999999818</v>
      </c>
      <c r="P34" s="19" t="s">
        <v>49</v>
      </c>
      <c r="Q34" s="217">
        <v>44.86</v>
      </c>
      <c r="R34" s="218">
        <v>46.13</v>
      </c>
      <c r="S34" s="218">
        <v>94.79</v>
      </c>
      <c r="T34" s="218">
        <v>114.31</v>
      </c>
      <c r="U34" s="218">
        <v>127.83</v>
      </c>
      <c r="V34" s="76">
        <f t="shared" si="14"/>
        <v>0.11827486659084951</v>
      </c>
      <c r="W34" s="218">
        <f t="shared" si="15"/>
        <v>13.519999999999996</v>
      </c>
      <c r="AE34" s="19" t="s">
        <v>49</v>
      </c>
      <c r="AF34" s="220">
        <v>19929247.640000001</v>
      </c>
      <c r="AG34" s="221">
        <v>22694182.550000001</v>
      </c>
      <c r="AH34" s="221">
        <v>56687870.049999997</v>
      </c>
      <c r="AI34" s="221">
        <v>62672686.409999996</v>
      </c>
      <c r="AJ34" s="221">
        <v>65406733.899999999</v>
      </c>
      <c r="AK34" s="76">
        <f t="shared" si="16"/>
        <v>4.3624226861986859E-2</v>
      </c>
      <c r="AL34" s="53">
        <f t="shared" si="17"/>
        <v>2734047.4900000021</v>
      </c>
    </row>
    <row r="35" spans="2:39" ht="15.75" customHeight="1" x14ac:dyDescent="0.25">
      <c r="B35" s="19" t="s">
        <v>50</v>
      </c>
      <c r="C35" s="217">
        <v>53.52</v>
      </c>
      <c r="D35" s="217">
        <v>51.25</v>
      </c>
      <c r="E35" s="217">
        <v>59.12</v>
      </c>
      <c r="F35" s="217">
        <v>65.87</v>
      </c>
      <c r="G35" s="217">
        <v>74.569999999999993</v>
      </c>
      <c r="H35" s="76">
        <f t="shared" si="12"/>
        <v>0.13207833611659314</v>
      </c>
      <c r="I35" s="218">
        <f t="shared" si="13"/>
        <v>8.6999999999999886</v>
      </c>
      <c r="P35" s="19" t="s">
        <v>50</v>
      </c>
      <c r="Q35" s="217">
        <v>28.760000000000005</v>
      </c>
      <c r="R35" s="218">
        <v>28.24</v>
      </c>
      <c r="S35" s="218">
        <v>42.01</v>
      </c>
      <c r="T35" s="218">
        <v>51.99</v>
      </c>
      <c r="U35" s="218">
        <v>61.31</v>
      </c>
      <c r="V35" s="76">
        <f t="shared" si="14"/>
        <v>0.17926524331602223</v>
      </c>
      <c r="W35" s="218">
        <f t="shared" si="15"/>
        <v>9.32</v>
      </c>
      <c r="AE35" s="19" t="s">
        <v>50</v>
      </c>
      <c r="AF35" s="220">
        <v>46497100.399999999</v>
      </c>
      <c r="AG35" s="221">
        <v>54944687.289999999</v>
      </c>
      <c r="AH35" s="221">
        <v>136922674.63999999</v>
      </c>
      <c r="AI35" s="221">
        <v>177625996.66999999</v>
      </c>
      <c r="AJ35" s="221">
        <v>217541794.87</v>
      </c>
      <c r="AK35" s="76">
        <f t="shared" si="16"/>
        <v>0.22471822226651339</v>
      </c>
      <c r="AL35" s="53">
        <f t="shared" si="17"/>
        <v>39915798.200000018</v>
      </c>
    </row>
    <row r="36" spans="2:39" x14ac:dyDescent="0.25">
      <c r="B36" s="19" t="s">
        <v>51</v>
      </c>
      <c r="C36" s="217">
        <v>86.79</v>
      </c>
      <c r="D36" s="217">
        <v>84.44</v>
      </c>
      <c r="E36" s="217">
        <v>89.45</v>
      </c>
      <c r="F36" s="217">
        <v>98.5</v>
      </c>
      <c r="G36" s="217">
        <v>108.5</v>
      </c>
      <c r="H36" s="76">
        <f>G36/F36-1</f>
        <v>0.10152284263959399</v>
      </c>
      <c r="I36" s="218">
        <f t="shared" si="13"/>
        <v>10</v>
      </c>
      <c r="P36" s="19" t="s">
        <v>51</v>
      </c>
      <c r="Q36" s="217">
        <v>49.1</v>
      </c>
      <c r="R36" s="218">
        <v>45.63</v>
      </c>
      <c r="S36" s="218">
        <v>64.64</v>
      </c>
      <c r="T36" s="218">
        <v>73.62</v>
      </c>
      <c r="U36" s="218">
        <v>81.849999999999994</v>
      </c>
      <c r="V36" s="76">
        <f t="shared" si="14"/>
        <v>0.11179027438196121</v>
      </c>
      <c r="W36" s="218">
        <f t="shared" si="15"/>
        <v>8.2299999999999898</v>
      </c>
      <c r="AE36" s="19" t="s">
        <v>51</v>
      </c>
      <c r="AF36" s="220">
        <v>3114952.08</v>
      </c>
      <c r="AG36" s="221">
        <v>4498900.47</v>
      </c>
      <c r="AH36" s="221">
        <v>7864755.4299999997</v>
      </c>
      <c r="AI36" s="221">
        <v>9097368.0999999996</v>
      </c>
      <c r="AJ36" s="221">
        <v>10277452.130000001</v>
      </c>
      <c r="AK36" s="76">
        <f t="shared" si="16"/>
        <v>0.12971708048177155</v>
      </c>
      <c r="AL36" s="53">
        <f t="shared" si="17"/>
        <v>1180084.0300000012</v>
      </c>
    </row>
    <row r="37" spans="2:39" x14ac:dyDescent="0.25">
      <c r="B37" s="19" t="s">
        <v>52</v>
      </c>
      <c r="C37" s="217">
        <v>106.13</v>
      </c>
      <c r="D37" s="217">
        <v>125.31</v>
      </c>
      <c r="E37" s="217">
        <v>128.06</v>
      </c>
      <c r="F37" s="217">
        <v>149.08000000000001</v>
      </c>
      <c r="G37" s="217">
        <v>167.62</v>
      </c>
      <c r="H37" s="76">
        <f t="shared" ref="H37:H40" si="18">G37/F37-1</f>
        <v>0.12436275825060372</v>
      </c>
      <c r="I37" s="218">
        <f t="shared" si="13"/>
        <v>18.539999999999992</v>
      </c>
      <c r="P37" s="19" t="s">
        <v>52</v>
      </c>
      <c r="Q37" s="217">
        <v>64.31</v>
      </c>
      <c r="R37" s="218">
        <v>82.55</v>
      </c>
      <c r="S37" s="218">
        <v>96.70999999999998</v>
      </c>
      <c r="T37" s="218">
        <v>122.12</v>
      </c>
      <c r="U37" s="218">
        <v>143.97</v>
      </c>
      <c r="V37" s="76">
        <f t="shared" si="14"/>
        <v>0.17892237143792977</v>
      </c>
      <c r="W37" s="218">
        <f t="shared" si="15"/>
        <v>21.849999999999994</v>
      </c>
      <c r="AE37" s="19" t="s">
        <v>52</v>
      </c>
      <c r="AF37" s="220">
        <v>18804870.850000001</v>
      </c>
      <c r="AG37" s="221">
        <v>30921945.879999999</v>
      </c>
      <c r="AH37" s="221">
        <v>58482134.030000001</v>
      </c>
      <c r="AI37" s="221">
        <v>79534420.480000004</v>
      </c>
      <c r="AJ37" s="221">
        <v>93956888.709999993</v>
      </c>
      <c r="AK37" s="76">
        <f t="shared" si="16"/>
        <v>0.18133618303821941</v>
      </c>
      <c r="AL37" s="53">
        <f t="shared" si="17"/>
        <v>14422468.229999989</v>
      </c>
    </row>
    <row r="38" spans="2:39" x14ac:dyDescent="0.25">
      <c r="B38" s="19" t="s">
        <v>53</v>
      </c>
      <c r="C38" s="217">
        <v>64.19</v>
      </c>
      <c r="D38" s="217">
        <v>68.989999999999995</v>
      </c>
      <c r="E38" s="217">
        <v>76.34</v>
      </c>
      <c r="F38" s="217">
        <v>86.65</v>
      </c>
      <c r="G38" s="217">
        <v>96.86</v>
      </c>
      <c r="H38" s="76">
        <f t="shared" si="18"/>
        <v>0.1178303519907673</v>
      </c>
      <c r="I38" s="218">
        <f t="shared" si="13"/>
        <v>10.209999999999994</v>
      </c>
      <c r="P38" s="19" t="s">
        <v>53</v>
      </c>
      <c r="Q38" s="217">
        <v>33.54</v>
      </c>
      <c r="R38" s="218">
        <v>37.840000000000003</v>
      </c>
      <c r="S38" s="218">
        <v>53.16</v>
      </c>
      <c r="T38" s="218">
        <v>62.04999999999999</v>
      </c>
      <c r="U38" s="218">
        <v>69.75</v>
      </c>
      <c r="V38" s="76">
        <f t="shared" si="14"/>
        <v>0.12409347300564089</v>
      </c>
      <c r="W38" s="218">
        <f t="shared" si="15"/>
        <v>7.7000000000000099</v>
      </c>
      <c r="AE38" s="19" t="s">
        <v>53</v>
      </c>
      <c r="AF38" s="220">
        <v>10173605.369999999</v>
      </c>
      <c r="AG38" s="221">
        <v>16610861.380000001</v>
      </c>
      <c r="AH38" s="221">
        <v>27747259.210000001</v>
      </c>
      <c r="AI38" s="221">
        <v>33504230.199999999</v>
      </c>
      <c r="AJ38" s="221">
        <v>36546242.25</v>
      </c>
      <c r="AK38" s="76">
        <f t="shared" si="16"/>
        <v>9.0794864763076966E-2</v>
      </c>
      <c r="AL38" s="53">
        <f t="shared" si="17"/>
        <v>3042012.0500000007</v>
      </c>
    </row>
    <row r="39" spans="2:39" x14ac:dyDescent="0.25">
      <c r="B39" s="19" t="s">
        <v>54</v>
      </c>
      <c r="C39" s="217">
        <v>102.24</v>
      </c>
      <c r="D39" s="217">
        <v>98.71</v>
      </c>
      <c r="E39" s="217">
        <v>114.5</v>
      </c>
      <c r="F39" s="217">
        <v>129.04</v>
      </c>
      <c r="G39" s="217">
        <v>138.44999999999999</v>
      </c>
      <c r="H39" s="76">
        <f t="shared" si="18"/>
        <v>7.292312461252326E-2</v>
      </c>
      <c r="I39" s="218">
        <f t="shared" si="13"/>
        <v>9.4099999999999966</v>
      </c>
      <c r="P39" s="19" t="s">
        <v>54</v>
      </c>
      <c r="Q39" s="217">
        <v>50.94</v>
      </c>
      <c r="R39" s="218">
        <v>53.72</v>
      </c>
      <c r="S39" s="218">
        <v>88.72</v>
      </c>
      <c r="T39" s="218">
        <v>108.87</v>
      </c>
      <c r="U39" s="218">
        <v>119.53</v>
      </c>
      <c r="V39" s="76">
        <f t="shared" si="14"/>
        <v>9.791494442913562E-2</v>
      </c>
      <c r="W39" s="218">
        <f t="shared" si="15"/>
        <v>10.659999999999997</v>
      </c>
      <c r="AE39" s="19" t="s">
        <v>54</v>
      </c>
      <c r="AF39" s="220">
        <v>28411183</v>
      </c>
      <c r="AG39" s="221">
        <v>34127770.07</v>
      </c>
      <c r="AH39" s="221">
        <v>88124626.280000001</v>
      </c>
      <c r="AI39" s="221">
        <v>107018992.04000001</v>
      </c>
      <c r="AJ39" s="221">
        <v>118898417.72</v>
      </c>
      <c r="AK39" s="76">
        <f t="shared" si="16"/>
        <v>0.11100296735704518</v>
      </c>
      <c r="AL39" s="53">
        <f t="shared" si="17"/>
        <v>11879425.679999992</v>
      </c>
    </row>
    <row r="40" spans="2:39" x14ac:dyDescent="0.25">
      <c r="B40" s="23" t="s">
        <v>55</v>
      </c>
      <c r="C40" s="217">
        <v>58.1</v>
      </c>
      <c r="D40" s="217">
        <v>74.28</v>
      </c>
      <c r="E40" s="217">
        <v>64.23</v>
      </c>
      <c r="F40" s="217">
        <v>69.86</v>
      </c>
      <c r="G40" s="217">
        <v>72.739999999999995</v>
      </c>
      <c r="H40" s="76">
        <f t="shared" si="18"/>
        <v>4.1225307758373742E-2</v>
      </c>
      <c r="I40" s="218">
        <f t="shared" si="13"/>
        <v>2.8799999999999955</v>
      </c>
      <c r="P40" s="23" t="s">
        <v>55</v>
      </c>
      <c r="Q40" s="217">
        <v>22.7</v>
      </c>
      <c r="R40" s="218">
        <v>29.35</v>
      </c>
      <c r="S40" s="218">
        <v>43.18</v>
      </c>
      <c r="T40" s="218">
        <v>54</v>
      </c>
      <c r="U40" s="218">
        <v>56.57</v>
      </c>
      <c r="V40" s="76">
        <f t="shared" si="14"/>
        <v>4.7592592592592631E-2</v>
      </c>
      <c r="W40" s="218">
        <f t="shared" si="15"/>
        <v>2.5700000000000003</v>
      </c>
      <c r="AE40" s="23" t="s">
        <v>55</v>
      </c>
      <c r="AF40" s="220">
        <v>7215296.4500000002</v>
      </c>
      <c r="AG40" s="221">
        <v>12828760.220000001</v>
      </c>
      <c r="AH40" s="221">
        <v>20416665.23</v>
      </c>
      <c r="AI40" s="221">
        <v>24141003.859999999</v>
      </c>
      <c r="AJ40" s="221">
        <v>26195575.010000002</v>
      </c>
      <c r="AK40" s="76">
        <f t="shared" si="16"/>
        <v>8.5107113271469581E-2</v>
      </c>
      <c r="AL40" s="53">
        <f t="shared" si="17"/>
        <v>2054571.1500000022</v>
      </c>
    </row>
    <row r="41" spans="2:39" x14ac:dyDescent="0.25">
      <c r="B41" s="103"/>
      <c r="C41" s="104"/>
      <c r="D41" s="104"/>
      <c r="E41" s="104"/>
      <c r="F41" s="104"/>
      <c r="G41" s="105"/>
      <c r="H41" s="104"/>
      <c r="I41" s="106"/>
      <c r="P41" s="103"/>
      <c r="Q41" s="104"/>
      <c r="R41" s="104"/>
      <c r="S41" s="104"/>
      <c r="T41" s="104"/>
      <c r="U41" s="105"/>
      <c r="V41" s="104"/>
      <c r="W41" s="106"/>
      <c r="AE41" s="103"/>
      <c r="AF41" s="103"/>
      <c r="AG41" s="103"/>
      <c r="AH41" s="103"/>
      <c r="AI41" s="104"/>
      <c r="AJ41" s="105"/>
      <c r="AK41" s="106"/>
      <c r="AL41" s="106"/>
    </row>
    <row r="42" spans="2:39" x14ac:dyDescent="0.25">
      <c r="B42" s="318" t="s">
        <v>57</v>
      </c>
      <c r="C42" s="318"/>
      <c r="D42" s="318"/>
      <c r="E42" s="318"/>
      <c r="F42" s="318"/>
      <c r="G42" s="318"/>
      <c r="H42" s="318"/>
      <c r="I42" s="107"/>
      <c r="P42" s="107" t="s">
        <v>57</v>
      </c>
      <c r="Q42" s="107"/>
      <c r="R42" s="107"/>
      <c r="S42" s="107"/>
      <c r="T42" s="107"/>
      <c r="U42" s="107"/>
      <c r="V42" s="107"/>
      <c r="W42" s="107"/>
      <c r="AE42" s="107" t="s">
        <v>57</v>
      </c>
      <c r="AF42" s="107"/>
      <c r="AG42" s="107"/>
      <c r="AH42" s="107"/>
      <c r="AI42" s="107"/>
      <c r="AJ42" s="107"/>
      <c r="AK42" s="107"/>
      <c r="AL42" s="107"/>
    </row>
    <row r="43" spans="2:39" ht="39" customHeight="1" x14ac:dyDescent="0.25">
      <c r="B43" s="295" t="s">
        <v>165</v>
      </c>
      <c r="C43" s="295"/>
      <c r="D43" s="295"/>
      <c r="E43" s="295"/>
      <c r="F43" s="295"/>
      <c r="G43" s="295"/>
      <c r="H43" s="295"/>
      <c r="P43" s="295" t="s">
        <v>166</v>
      </c>
      <c r="Q43" s="295"/>
      <c r="R43" s="295"/>
      <c r="S43" s="295"/>
      <c r="T43" s="295"/>
      <c r="U43" s="295"/>
      <c r="V43" s="295"/>
      <c r="W43" s="295"/>
      <c r="AE43" s="316" t="s">
        <v>167</v>
      </c>
      <c r="AF43" s="316"/>
      <c r="AG43" s="316"/>
      <c r="AH43" s="316"/>
      <c r="AI43" s="316"/>
      <c r="AJ43" s="316"/>
      <c r="AK43" s="316"/>
      <c r="AL43" s="316"/>
      <c r="AM43" s="316"/>
    </row>
    <row r="44" spans="2:39" ht="24" customHeight="1" x14ac:dyDescent="0.25">
      <c r="B44" s="295" t="s">
        <v>168</v>
      </c>
      <c r="C44" s="295"/>
      <c r="D44" s="295"/>
      <c r="E44" s="295"/>
      <c r="F44" s="295"/>
      <c r="G44" s="295"/>
      <c r="H44" s="295"/>
      <c r="P44" s="317" t="s">
        <v>169</v>
      </c>
      <c r="Q44" s="317"/>
      <c r="R44" s="317"/>
      <c r="S44" s="317"/>
      <c r="T44" s="317"/>
      <c r="U44" s="317"/>
      <c r="V44" s="317"/>
      <c r="W44" s="317"/>
      <c r="AF44" s="124"/>
      <c r="AG44" s="124"/>
    </row>
  </sheetData>
  <mergeCells count="18">
    <mergeCell ref="B42:H42"/>
    <mergeCell ref="B43:H43"/>
    <mergeCell ref="P43:W43"/>
    <mergeCell ref="AE43:AM43"/>
    <mergeCell ref="B44:H44"/>
    <mergeCell ref="P44:W44"/>
    <mergeCell ref="AE27:AK27"/>
    <mergeCell ref="B5:N5"/>
    <mergeCell ref="P5:AB5"/>
    <mergeCell ref="AD5:AT5"/>
    <mergeCell ref="B21:N21"/>
    <mergeCell ref="P21:W21"/>
    <mergeCell ref="AD21:AV21"/>
    <mergeCell ref="B22:N22"/>
    <mergeCell ref="P22:W22"/>
    <mergeCell ref="B23:N23"/>
    <mergeCell ref="B27:H27"/>
    <mergeCell ref="P27:W27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BA7F-5218-4A66-90BC-F04D07841EDC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CONCATENATE("Tarifa media diaria (ADR) Tenerife y municipios")</f>
        <v>Tarifa media diaria (ADR)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224</v>
      </c>
      <c r="L5" s="92" t="s">
        <v>225</v>
      </c>
      <c r="M5" s="92" t="s">
        <v>226</v>
      </c>
      <c r="N5" s="92" t="s">
        <v>227</v>
      </c>
      <c r="O5" s="92" t="s">
        <v>228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6">
        <v>87.94</v>
      </c>
      <c r="D6" s="226">
        <v>95.05</v>
      </c>
      <c r="E6" s="226">
        <v>99.07</v>
      </c>
      <c r="F6" s="226">
        <v>105.63</v>
      </c>
      <c r="G6" s="226">
        <v>113.88</v>
      </c>
      <c r="H6" s="226">
        <v>125.25</v>
      </c>
      <c r="I6" s="95">
        <f t="shared" ref="I6:I51" si="0">IFERROR(H6/G6-1,"-")</f>
        <v>9.984193888303472E-2</v>
      </c>
      <c r="J6" s="226">
        <f t="shared" ref="J6:J51" si="1">IFERROR(H6-G6,"-")</f>
        <v>11.370000000000005</v>
      </c>
      <c r="K6" s="227">
        <v>84.78</v>
      </c>
      <c r="L6" s="227">
        <v>91.84</v>
      </c>
      <c r="M6" s="227">
        <v>96.36</v>
      </c>
      <c r="N6" s="227">
        <v>102.74</v>
      </c>
      <c r="O6" s="227">
        <v>110.43</v>
      </c>
      <c r="P6" s="95">
        <f t="shared" ref="P6:P51" si="2">IFERROR(O6/N6-1,"-")</f>
        <v>7.4849133735643392E-2</v>
      </c>
      <c r="Q6" s="226">
        <f t="shared" ref="Q6:Q51" si="3">IFERROR(O6-N6,"-")</f>
        <v>7.6900000000000119</v>
      </c>
    </row>
    <row r="7" spans="2:17" x14ac:dyDescent="0.25">
      <c r="B7" s="96" t="s">
        <v>62</v>
      </c>
      <c r="C7" s="228">
        <v>95.42</v>
      </c>
      <c r="D7" s="228">
        <v>103.69</v>
      </c>
      <c r="E7" s="228">
        <v>107.45</v>
      </c>
      <c r="F7" s="228">
        <v>114.17</v>
      </c>
      <c r="G7" s="228">
        <v>123.5</v>
      </c>
      <c r="H7" s="228">
        <v>135.84</v>
      </c>
      <c r="I7" s="98">
        <f t="shared" si="0"/>
        <v>9.991902834008104E-2</v>
      </c>
      <c r="J7" s="228">
        <f t="shared" si="1"/>
        <v>12.340000000000003</v>
      </c>
      <c r="K7" s="229">
        <v>93.15</v>
      </c>
      <c r="L7" s="229">
        <v>98.25</v>
      </c>
      <c r="M7" s="229">
        <v>103.79</v>
      </c>
      <c r="N7" s="229">
        <v>109.35</v>
      </c>
      <c r="O7" s="229">
        <v>118.06</v>
      </c>
      <c r="P7" s="98">
        <f t="shared" si="2"/>
        <v>7.9652491998171149E-2</v>
      </c>
      <c r="Q7" s="228">
        <f t="shared" si="3"/>
        <v>8.710000000000008</v>
      </c>
    </row>
    <row r="8" spans="2:17" x14ac:dyDescent="0.25">
      <c r="B8" s="99" t="s">
        <v>63</v>
      </c>
      <c r="C8" s="230">
        <v>104.04</v>
      </c>
      <c r="D8" s="230">
        <v>113.97</v>
      </c>
      <c r="E8" s="230">
        <v>117.1</v>
      </c>
      <c r="F8" s="230">
        <v>123.96</v>
      </c>
      <c r="G8" s="230">
        <v>133.38999999999999</v>
      </c>
      <c r="H8" s="230">
        <v>146.27000000000001</v>
      </c>
      <c r="I8" s="100">
        <f t="shared" si="0"/>
        <v>9.6558962440962848E-2</v>
      </c>
      <c r="J8" s="230">
        <f t="shared" si="1"/>
        <v>12.880000000000024</v>
      </c>
      <c r="K8" s="231">
        <v>101.31</v>
      </c>
      <c r="L8" s="231">
        <v>105.8</v>
      </c>
      <c r="M8" s="231">
        <v>111.78</v>
      </c>
      <c r="N8" s="231">
        <v>117.41</v>
      </c>
      <c r="O8" s="231">
        <v>126.76</v>
      </c>
      <c r="P8" s="100">
        <f t="shared" si="2"/>
        <v>7.9635465462907895E-2</v>
      </c>
      <c r="Q8" s="230">
        <f t="shared" si="3"/>
        <v>9.3500000000000085</v>
      </c>
    </row>
    <row r="9" spans="2:17" x14ac:dyDescent="0.25">
      <c r="B9" s="99" t="s">
        <v>64</v>
      </c>
      <c r="C9" s="230">
        <v>59.74</v>
      </c>
      <c r="D9" s="230">
        <v>59.3</v>
      </c>
      <c r="E9" s="230">
        <v>59.54</v>
      </c>
      <c r="F9" s="230">
        <v>65.25</v>
      </c>
      <c r="G9" s="230">
        <v>72.41</v>
      </c>
      <c r="H9" s="230">
        <v>79.900000000000006</v>
      </c>
      <c r="I9" s="100">
        <f t="shared" si="0"/>
        <v>0.10343875155365301</v>
      </c>
      <c r="J9" s="230">
        <f t="shared" si="1"/>
        <v>7.4900000000000091</v>
      </c>
      <c r="K9" s="231">
        <v>44.64</v>
      </c>
      <c r="L9" s="231">
        <v>58.14</v>
      </c>
      <c r="M9" s="231">
        <v>60.59</v>
      </c>
      <c r="N9" s="231">
        <v>66.03</v>
      </c>
      <c r="O9" s="231">
        <v>71.03</v>
      </c>
      <c r="P9" s="100">
        <f t="shared" si="2"/>
        <v>7.5723156141147996E-2</v>
      </c>
      <c r="Q9" s="230">
        <f t="shared" si="3"/>
        <v>5</v>
      </c>
    </row>
    <row r="10" spans="2:17" x14ac:dyDescent="0.25">
      <c r="B10" s="96" t="s">
        <v>65</v>
      </c>
      <c r="C10" s="228">
        <v>66.08</v>
      </c>
      <c r="D10" s="228">
        <v>69.31</v>
      </c>
      <c r="E10" s="228">
        <v>67.12</v>
      </c>
      <c r="F10" s="228">
        <v>73.13</v>
      </c>
      <c r="G10" s="228">
        <v>78.930000000000007</v>
      </c>
      <c r="H10" s="228">
        <v>86.89</v>
      </c>
      <c r="I10" s="98">
        <f t="shared" si="0"/>
        <v>0.10084885341441785</v>
      </c>
      <c r="J10" s="228">
        <f t="shared" si="1"/>
        <v>7.9599999999999937</v>
      </c>
      <c r="K10" s="229">
        <v>57.93</v>
      </c>
      <c r="L10" s="229">
        <v>65.13</v>
      </c>
      <c r="M10" s="229">
        <v>68.09</v>
      </c>
      <c r="N10" s="229">
        <v>78.010000000000005</v>
      </c>
      <c r="O10" s="229">
        <v>83.54</v>
      </c>
      <c r="P10" s="98">
        <f t="shared" si="2"/>
        <v>7.0888347647737548E-2</v>
      </c>
      <c r="Q10" s="228">
        <f t="shared" si="3"/>
        <v>5.5300000000000011</v>
      </c>
    </row>
    <row r="11" spans="2:17" x14ac:dyDescent="0.25">
      <c r="B11" s="93" t="s">
        <v>46</v>
      </c>
      <c r="C11" s="232">
        <v>107.11</v>
      </c>
      <c r="D11" s="232">
        <v>119.42</v>
      </c>
      <c r="E11" s="232">
        <v>126.49</v>
      </c>
      <c r="F11" s="232">
        <v>131.02000000000001</v>
      </c>
      <c r="G11" s="232">
        <v>139.02000000000001</v>
      </c>
      <c r="H11" s="232">
        <v>151.54</v>
      </c>
      <c r="I11" s="102">
        <f t="shared" si="0"/>
        <v>9.0058984318802882E-2</v>
      </c>
      <c r="J11" s="232">
        <f t="shared" si="1"/>
        <v>12.519999999999982</v>
      </c>
      <c r="K11" s="233">
        <v>109.86</v>
      </c>
      <c r="L11" s="233">
        <v>108.9</v>
      </c>
      <c r="M11" s="233">
        <v>112.49</v>
      </c>
      <c r="N11" s="233">
        <v>119.26</v>
      </c>
      <c r="O11" s="233">
        <v>126.95</v>
      </c>
      <c r="P11" s="102">
        <f t="shared" si="2"/>
        <v>6.4480965956733138E-2</v>
      </c>
      <c r="Q11" s="232">
        <f t="shared" si="3"/>
        <v>7.6899999999999977</v>
      </c>
    </row>
    <row r="12" spans="2:17" x14ac:dyDescent="0.25">
      <c r="B12" s="96" t="s">
        <v>62</v>
      </c>
      <c r="C12" s="228">
        <v>115.8</v>
      </c>
      <c r="D12" s="228">
        <v>130.44999999999999</v>
      </c>
      <c r="E12" s="228">
        <v>134.97</v>
      </c>
      <c r="F12" s="228">
        <v>140.36000000000001</v>
      </c>
      <c r="G12" s="228">
        <v>150.84</v>
      </c>
      <c r="H12" s="228">
        <v>166.04</v>
      </c>
      <c r="I12" s="98">
        <f t="shared" si="0"/>
        <v>0.10076902678334654</v>
      </c>
      <c r="J12" s="228">
        <f t="shared" si="1"/>
        <v>15.199999999999989</v>
      </c>
      <c r="K12" s="229">
        <v>120.67</v>
      </c>
      <c r="L12" s="229">
        <v>115.66</v>
      </c>
      <c r="M12" s="229">
        <v>120.24</v>
      </c>
      <c r="N12" s="229">
        <v>128.46</v>
      </c>
      <c r="O12" s="229">
        <v>138.44999999999999</v>
      </c>
      <c r="P12" s="98">
        <f t="shared" si="2"/>
        <v>7.7767398411956901E-2</v>
      </c>
      <c r="Q12" s="228">
        <f t="shared" si="3"/>
        <v>9.9899999999999807</v>
      </c>
    </row>
    <row r="13" spans="2:17" x14ac:dyDescent="0.25">
      <c r="B13" s="99" t="s">
        <v>63</v>
      </c>
      <c r="C13" s="230">
        <v>125.04</v>
      </c>
      <c r="D13" s="230">
        <v>138.85</v>
      </c>
      <c r="E13" s="230">
        <v>143.38999999999999</v>
      </c>
      <c r="F13" s="230">
        <v>150.34</v>
      </c>
      <c r="G13" s="230">
        <v>161.43</v>
      </c>
      <c r="H13" s="230">
        <v>176.82</v>
      </c>
      <c r="I13" s="100">
        <f t="shared" si="0"/>
        <v>9.5335439509384834E-2</v>
      </c>
      <c r="J13" s="230">
        <f t="shared" si="1"/>
        <v>15.389999999999986</v>
      </c>
      <c r="K13" s="231">
        <v>122.83</v>
      </c>
      <c r="L13" s="231">
        <v>123.86</v>
      </c>
      <c r="M13" s="231">
        <v>128.63999999999999</v>
      </c>
      <c r="N13" s="231">
        <v>137.11000000000001</v>
      </c>
      <c r="O13" s="231">
        <v>148.5</v>
      </c>
      <c r="P13" s="100">
        <f t="shared" si="2"/>
        <v>8.3071985996644893E-2</v>
      </c>
      <c r="Q13" s="230">
        <f t="shared" si="3"/>
        <v>11.389999999999986</v>
      </c>
    </row>
    <row r="14" spans="2:17" x14ac:dyDescent="0.25">
      <c r="B14" s="99" t="s">
        <v>64</v>
      </c>
      <c r="C14" s="230">
        <v>63.73</v>
      </c>
      <c r="D14" s="230">
        <v>65.55</v>
      </c>
      <c r="E14" s="230">
        <v>60.97</v>
      </c>
      <c r="F14" s="230">
        <v>62.16</v>
      </c>
      <c r="G14" s="230">
        <v>63.03</v>
      </c>
      <c r="H14" s="230">
        <v>64.42</v>
      </c>
      <c r="I14" s="100">
        <f t="shared" si="0"/>
        <v>2.2052990639378045E-2</v>
      </c>
      <c r="J14" s="230">
        <f t="shared" si="1"/>
        <v>1.3900000000000006</v>
      </c>
      <c r="K14" s="231">
        <v>47.92</v>
      </c>
      <c r="L14" s="231">
        <v>48.25</v>
      </c>
      <c r="M14" s="231">
        <v>47.4</v>
      </c>
      <c r="N14" s="231">
        <v>45.16</v>
      </c>
      <c r="O14" s="231">
        <v>56.04</v>
      </c>
      <c r="P14" s="100">
        <f t="shared" si="2"/>
        <v>0.24092116917626227</v>
      </c>
      <c r="Q14" s="230">
        <f t="shared" si="3"/>
        <v>10.880000000000003</v>
      </c>
    </row>
    <row r="15" spans="2:17" x14ac:dyDescent="0.25">
      <c r="B15" s="96" t="s">
        <v>65</v>
      </c>
      <c r="C15" s="228">
        <v>72.42</v>
      </c>
      <c r="D15" s="228">
        <v>76.66</v>
      </c>
      <c r="E15" s="228">
        <v>74.13</v>
      </c>
      <c r="F15" s="228">
        <v>78.930000000000007</v>
      </c>
      <c r="G15" s="228">
        <v>83.06</v>
      </c>
      <c r="H15" s="228">
        <v>86.47</v>
      </c>
      <c r="I15" s="98">
        <f t="shared" si="0"/>
        <v>4.1054659282446337E-2</v>
      </c>
      <c r="J15" s="228">
        <f t="shared" si="1"/>
        <v>3.4099999999999966</v>
      </c>
      <c r="K15" s="229">
        <v>65.25</v>
      </c>
      <c r="L15" s="229">
        <v>70.37</v>
      </c>
      <c r="M15" s="229">
        <v>73.400000000000006</v>
      </c>
      <c r="N15" s="229">
        <v>74.91</v>
      </c>
      <c r="O15" s="229">
        <v>78.599999999999994</v>
      </c>
      <c r="P15" s="98">
        <f t="shared" si="2"/>
        <v>4.9259110933119743E-2</v>
      </c>
      <c r="Q15" s="228">
        <f t="shared" si="3"/>
        <v>3.6899999999999977</v>
      </c>
    </row>
    <row r="16" spans="2:17" x14ac:dyDescent="0.25">
      <c r="B16" s="93" t="s">
        <v>51</v>
      </c>
      <c r="C16" s="232">
        <v>81.38</v>
      </c>
      <c r="D16" s="232">
        <v>86.79</v>
      </c>
      <c r="E16" s="232">
        <v>84.44</v>
      </c>
      <c r="F16" s="232">
        <v>89.45</v>
      </c>
      <c r="G16" s="232">
        <v>98.5</v>
      </c>
      <c r="H16" s="232">
        <v>108.5</v>
      </c>
      <c r="I16" s="102">
        <f t="shared" si="0"/>
        <v>0.10152284263959399</v>
      </c>
      <c r="J16" s="232">
        <f t="shared" si="1"/>
        <v>10</v>
      </c>
      <c r="K16" s="233">
        <v>78.02</v>
      </c>
      <c r="L16" s="233">
        <v>80.44</v>
      </c>
      <c r="M16" s="233">
        <v>81.83</v>
      </c>
      <c r="N16" s="233">
        <v>97.42</v>
      </c>
      <c r="O16" s="233">
        <v>103.67</v>
      </c>
      <c r="P16" s="102">
        <f t="shared" si="2"/>
        <v>6.4155204270170296E-2</v>
      </c>
      <c r="Q16" s="232">
        <f t="shared" si="3"/>
        <v>6.25</v>
      </c>
    </row>
    <row r="17" spans="2:17" x14ac:dyDescent="0.25">
      <c r="B17" s="96" t="s">
        <v>62</v>
      </c>
      <c r="C17" s="228">
        <v>81.38</v>
      </c>
      <c r="D17" s="228">
        <v>86.79</v>
      </c>
      <c r="E17" s="228">
        <v>84.44</v>
      </c>
      <c r="F17" s="228">
        <v>89.45</v>
      </c>
      <c r="G17" s="228">
        <v>98.5</v>
      </c>
      <c r="H17" s="228">
        <v>108.5</v>
      </c>
      <c r="I17" s="98">
        <f t="shared" si="0"/>
        <v>0.10152284263959399</v>
      </c>
      <c r="J17" s="228">
        <f t="shared" si="1"/>
        <v>10</v>
      </c>
      <c r="K17" s="229">
        <v>78.02</v>
      </c>
      <c r="L17" s="229">
        <v>80.44</v>
      </c>
      <c r="M17" s="229">
        <v>81.83</v>
      </c>
      <c r="N17" s="229">
        <v>97.42</v>
      </c>
      <c r="O17" s="229">
        <v>103.67</v>
      </c>
      <c r="P17" s="98">
        <f t="shared" si="2"/>
        <v>6.4155204270170296E-2</v>
      </c>
      <c r="Q17" s="228">
        <f t="shared" si="3"/>
        <v>6.25</v>
      </c>
    </row>
    <row r="18" spans="2:17" x14ac:dyDescent="0.25">
      <c r="B18" s="99" t="s">
        <v>63</v>
      </c>
      <c r="C18" s="230">
        <v>89.36</v>
      </c>
      <c r="D18" s="230">
        <v>0</v>
      </c>
      <c r="E18" s="230">
        <v>0</v>
      </c>
      <c r="F18" s="230">
        <v>91</v>
      </c>
      <c r="G18" s="230">
        <v>100.11</v>
      </c>
      <c r="H18" s="230">
        <v>111.03</v>
      </c>
      <c r="I18" s="100">
        <f t="shared" si="0"/>
        <v>0.1090800119868145</v>
      </c>
      <c r="J18" s="230">
        <f t="shared" si="1"/>
        <v>10.920000000000002</v>
      </c>
      <c r="K18" s="231">
        <v>0</v>
      </c>
      <c r="L18" s="231">
        <v>80.040000000000006</v>
      </c>
      <c r="M18" s="231">
        <v>81.67</v>
      </c>
      <c r="N18" s="231">
        <v>98.59</v>
      </c>
      <c r="O18" s="231">
        <v>105.78</v>
      </c>
      <c r="P18" s="100">
        <f t="shared" si="2"/>
        <v>7.2928288873110869E-2</v>
      </c>
      <c r="Q18" s="230">
        <f t="shared" si="3"/>
        <v>7.1899999999999977</v>
      </c>
    </row>
    <row r="19" spans="2:17" x14ac:dyDescent="0.25">
      <c r="B19" s="99" t="s">
        <v>64</v>
      </c>
      <c r="C19" s="230">
        <v>51.59</v>
      </c>
      <c r="D19" s="230">
        <v>0</v>
      </c>
      <c r="E19" s="230">
        <v>0</v>
      </c>
      <c r="F19" s="230">
        <v>73.22</v>
      </c>
      <c r="G19" s="230">
        <v>85.49</v>
      </c>
      <c r="H19" s="230">
        <v>88.84</v>
      </c>
      <c r="I19" s="100">
        <f t="shared" si="0"/>
        <v>3.9185869692361708E-2</v>
      </c>
      <c r="J19" s="230">
        <f t="shared" si="1"/>
        <v>3.3500000000000085</v>
      </c>
      <c r="K19" s="231">
        <v>0</v>
      </c>
      <c r="L19" s="231">
        <v>84.5</v>
      </c>
      <c r="M19" s="231">
        <v>83.15</v>
      </c>
      <c r="N19" s="231">
        <v>89.78</v>
      </c>
      <c r="O19" s="231">
        <v>87.28</v>
      </c>
      <c r="P19" s="100">
        <f t="shared" si="2"/>
        <v>-2.7845845399866342E-2</v>
      </c>
      <c r="Q19" s="230">
        <f t="shared" si="3"/>
        <v>-2.5</v>
      </c>
    </row>
    <row r="20" spans="2:17" x14ac:dyDescent="0.25">
      <c r="B20" s="96" t="s">
        <v>65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  <c r="H20" s="228">
        <v>0</v>
      </c>
      <c r="I20" s="98" t="str">
        <f t="shared" si="0"/>
        <v>-</v>
      </c>
      <c r="J20" s="228">
        <f t="shared" si="1"/>
        <v>0</v>
      </c>
      <c r="K20" s="229" t="s">
        <v>229</v>
      </c>
      <c r="L20" s="229" t="s">
        <v>229</v>
      </c>
      <c r="M20" s="229" t="s">
        <v>229</v>
      </c>
      <c r="N20" s="229" t="s">
        <v>229</v>
      </c>
      <c r="O20" s="229" t="s">
        <v>229</v>
      </c>
      <c r="P20" s="98" t="str">
        <f t="shared" si="2"/>
        <v>-</v>
      </c>
      <c r="Q20" s="228" t="str">
        <f t="shared" si="3"/>
        <v>-</v>
      </c>
    </row>
    <row r="21" spans="2:17" x14ac:dyDescent="0.25">
      <c r="B21" s="93" t="s">
        <v>48</v>
      </c>
      <c r="C21" s="232">
        <v>67.28</v>
      </c>
      <c r="D21" s="232">
        <v>70.819999999999993</v>
      </c>
      <c r="E21" s="232">
        <v>66.41</v>
      </c>
      <c r="F21" s="232">
        <v>77.45</v>
      </c>
      <c r="G21" s="232">
        <v>80.180000000000007</v>
      </c>
      <c r="H21" s="232">
        <v>89.86</v>
      </c>
      <c r="I21" s="102">
        <f t="shared" si="0"/>
        <v>0.12072836118732844</v>
      </c>
      <c r="J21" s="232">
        <f t="shared" si="1"/>
        <v>9.6799999999999926</v>
      </c>
      <c r="K21" s="233">
        <v>55.36</v>
      </c>
      <c r="L21" s="233">
        <v>70.209999999999994</v>
      </c>
      <c r="M21" s="233">
        <v>72.040000000000006</v>
      </c>
      <c r="N21" s="233">
        <v>63.51</v>
      </c>
      <c r="O21" s="233">
        <v>84.57</v>
      </c>
      <c r="P21" s="102">
        <f t="shared" si="2"/>
        <v>0.33160132262635789</v>
      </c>
      <c r="Q21" s="232">
        <f t="shared" si="3"/>
        <v>21.059999999999995</v>
      </c>
    </row>
    <row r="22" spans="2:17" x14ac:dyDescent="0.25">
      <c r="B22" s="96" t="s">
        <v>62</v>
      </c>
      <c r="C22" s="228">
        <v>65.45</v>
      </c>
      <c r="D22" s="228">
        <v>68.510000000000005</v>
      </c>
      <c r="E22" s="228">
        <v>66.41</v>
      </c>
      <c r="F22" s="228">
        <v>77.510000000000005</v>
      </c>
      <c r="G22" s="228">
        <v>80.34</v>
      </c>
      <c r="H22" s="228">
        <v>89.98</v>
      </c>
      <c r="I22" s="98">
        <f t="shared" si="0"/>
        <v>0.11999004232013943</v>
      </c>
      <c r="J22" s="228">
        <f t="shared" si="1"/>
        <v>9.64</v>
      </c>
      <c r="K22" s="229">
        <v>55.36</v>
      </c>
      <c r="L22" s="229">
        <v>70.209999999999994</v>
      </c>
      <c r="M22" s="229">
        <v>72.08</v>
      </c>
      <c r="N22" s="229">
        <v>63.45</v>
      </c>
      <c r="O22" s="229">
        <v>84.55</v>
      </c>
      <c r="P22" s="98">
        <f t="shared" si="2"/>
        <v>0.33254531126871534</v>
      </c>
      <c r="Q22" s="228">
        <f t="shared" si="3"/>
        <v>21.099999999999994</v>
      </c>
    </row>
    <row r="23" spans="2:17" x14ac:dyDescent="0.25">
      <c r="B23" s="96" t="s">
        <v>65</v>
      </c>
      <c r="C23" s="228">
        <v>81.73</v>
      </c>
      <c r="D23" s="228">
        <v>91.3</v>
      </c>
      <c r="E23" s="228">
        <v>0</v>
      </c>
      <c r="F23" s="228">
        <v>0</v>
      </c>
      <c r="G23" s="228">
        <v>0</v>
      </c>
      <c r="H23" s="228">
        <v>0</v>
      </c>
      <c r="I23" s="98" t="str">
        <f t="shared" si="0"/>
        <v>-</v>
      </c>
      <c r="J23" s="228">
        <f t="shared" si="1"/>
        <v>0</v>
      </c>
      <c r="K23" s="229">
        <v>0</v>
      </c>
      <c r="L23" s="229">
        <v>0</v>
      </c>
      <c r="M23" s="229">
        <v>0</v>
      </c>
      <c r="N23" s="229">
        <v>0</v>
      </c>
      <c r="O23" s="229">
        <v>0</v>
      </c>
      <c r="P23" s="98" t="str">
        <f t="shared" si="2"/>
        <v>-</v>
      </c>
      <c r="Q23" s="228">
        <f t="shared" si="3"/>
        <v>0</v>
      </c>
    </row>
    <row r="24" spans="2:17" x14ac:dyDescent="0.25">
      <c r="B24" s="93" t="s">
        <v>49</v>
      </c>
      <c r="C24" s="232">
        <v>145.08000000000001</v>
      </c>
      <c r="D24" s="232">
        <v>135.87</v>
      </c>
      <c r="E24" s="232">
        <v>154.08000000000001</v>
      </c>
      <c r="F24" s="232">
        <v>185.51</v>
      </c>
      <c r="G24" s="232">
        <v>208.16</v>
      </c>
      <c r="H24" s="232">
        <v>202.39</v>
      </c>
      <c r="I24" s="102">
        <f t="shared" si="0"/>
        <v>-2.7719062259800253E-2</v>
      </c>
      <c r="J24" s="232">
        <f t="shared" si="1"/>
        <v>-5.7700000000000102</v>
      </c>
      <c r="K24" s="233">
        <v>139.72999999999999</v>
      </c>
      <c r="L24" s="233">
        <v>207.23</v>
      </c>
      <c r="M24" s="233">
        <v>234.27</v>
      </c>
      <c r="N24" s="233">
        <v>175.2</v>
      </c>
      <c r="O24" s="233">
        <v>156.80000000000001</v>
      </c>
      <c r="P24" s="102">
        <f t="shared" si="2"/>
        <v>-0.10502283105022814</v>
      </c>
      <c r="Q24" s="232">
        <f t="shared" si="3"/>
        <v>-18.399999999999977</v>
      </c>
    </row>
    <row r="25" spans="2:17" x14ac:dyDescent="0.25">
      <c r="B25" s="96" t="s">
        <v>62</v>
      </c>
      <c r="C25" s="228">
        <v>146.07</v>
      </c>
      <c r="D25" s="228">
        <v>134.66999999999999</v>
      </c>
      <c r="E25" s="228">
        <v>151.52000000000001</v>
      </c>
      <c r="F25" s="228">
        <v>180.18</v>
      </c>
      <c r="G25" s="228">
        <v>200.83</v>
      </c>
      <c r="H25" s="228">
        <v>207.41</v>
      </c>
      <c r="I25" s="98">
        <f t="shared" si="0"/>
        <v>3.2764029278494089E-2</v>
      </c>
      <c r="J25" s="228">
        <f t="shared" si="1"/>
        <v>6.5799999999999841</v>
      </c>
      <c r="K25" s="229">
        <v>134.80000000000001</v>
      </c>
      <c r="L25" s="229">
        <v>207.25</v>
      </c>
      <c r="M25" s="229">
        <v>233.83</v>
      </c>
      <c r="N25" s="229">
        <v>175.2</v>
      </c>
      <c r="O25" s="229">
        <v>159.07</v>
      </c>
      <c r="P25" s="98">
        <f t="shared" si="2"/>
        <v>-9.2066210045662067E-2</v>
      </c>
      <c r="Q25" s="228">
        <f t="shared" si="3"/>
        <v>-16.129999999999995</v>
      </c>
    </row>
    <row r="26" spans="2:17" x14ac:dyDescent="0.25">
      <c r="B26" s="99" t="s">
        <v>63</v>
      </c>
      <c r="C26" s="230">
        <v>159.44</v>
      </c>
      <c r="D26" s="230">
        <v>0</v>
      </c>
      <c r="E26" s="230">
        <v>0</v>
      </c>
      <c r="F26" s="230">
        <v>0</v>
      </c>
      <c r="G26" s="230">
        <v>0</v>
      </c>
      <c r="H26" s="230">
        <v>0</v>
      </c>
      <c r="I26" s="100" t="str">
        <f t="shared" si="0"/>
        <v>-</v>
      </c>
      <c r="J26" s="230">
        <f t="shared" si="1"/>
        <v>0</v>
      </c>
      <c r="K26" s="231">
        <v>134.80000000000001</v>
      </c>
      <c r="L26" s="231">
        <v>0</v>
      </c>
      <c r="M26" s="231">
        <v>233.83</v>
      </c>
      <c r="N26" s="231">
        <v>0</v>
      </c>
      <c r="O26" s="231">
        <v>0</v>
      </c>
      <c r="P26" s="100" t="str">
        <f t="shared" si="2"/>
        <v>-</v>
      </c>
      <c r="Q26" s="230">
        <f t="shared" si="3"/>
        <v>0</v>
      </c>
    </row>
    <row r="27" spans="2:17" x14ac:dyDescent="0.25">
      <c r="B27" s="99" t="s">
        <v>64</v>
      </c>
      <c r="C27" s="230">
        <v>38.79</v>
      </c>
      <c r="D27" s="230">
        <v>0</v>
      </c>
      <c r="E27" s="230">
        <v>0</v>
      </c>
      <c r="F27" s="230">
        <v>0</v>
      </c>
      <c r="G27" s="230">
        <v>0</v>
      </c>
      <c r="H27" s="230">
        <v>0</v>
      </c>
      <c r="I27" s="100" t="str">
        <f t="shared" si="0"/>
        <v>-</v>
      </c>
      <c r="J27" s="230">
        <f t="shared" si="1"/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100" t="str">
        <f t="shared" si="2"/>
        <v>-</v>
      </c>
      <c r="Q27" s="230">
        <f t="shared" si="3"/>
        <v>0</v>
      </c>
    </row>
    <row r="28" spans="2:17" x14ac:dyDescent="0.25">
      <c r="B28" s="93" t="s">
        <v>50</v>
      </c>
      <c r="C28" s="232">
        <v>53.05</v>
      </c>
      <c r="D28" s="232">
        <v>53.52</v>
      </c>
      <c r="E28" s="232">
        <v>51.25</v>
      </c>
      <c r="F28" s="232">
        <v>59.12</v>
      </c>
      <c r="G28" s="232">
        <v>65.87</v>
      </c>
      <c r="H28" s="232">
        <v>74.569999999999993</v>
      </c>
      <c r="I28" s="102">
        <f t="shared" si="0"/>
        <v>0.13207833611659314</v>
      </c>
      <c r="J28" s="232">
        <f t="shared" si="1"/>
        <v>8.6999999999999886</v>
      </c>
      <c r="K28" s="233">
        <v>34.49</v>
      </c>
      <c r="L28" s="233">
        <v>49.5</v>
      </c>
      <c r="M28" s="233">
        <v>55.39</v>
      </c>
      <c r="N28" s="233">
        <v>64.28</v>
      </c>
      <c r="O28" s="233">
        <v>70.27</v>
      </c>
      <c r="P28" s="102">
        <f t="shared" si="2"/>
        <v>9.3186060983198482E-2</v>
      </c>
      <c r="Q28" s="232">
        <f t="shared" si="3"/>
        <v>5.9899999999999949</v>
      </c>
    </row>
    <row r="29" spans="2:17" x14ac:dyDescent="0.25">
      <c r="B29" s="96" t="s">
        <v>62</v>
      </c>
      <c r="C29" s="228">
        <v>55.71</v>
      </c>
      <c r="D29" s="228">
        <v>56.97</v>
      </c>
      <c r="E29" s="228">
        <v>54.03</v>
      </c>
      <c r="F29" s="228">
        <v>62.9</v>
      </c>
      <c r="G29" s="228">
        <v>69.91</v>
      </c>
      <c r="H29" s="228">
        <v>78.73</v>
      </c>
      <c r="I29" s="98">
        <f t="shared" si="0"/>
        <v>0.12616220855385496</v>
      </c>
      <c r="J29" s="228">
        <f t="shared" si="1"/>
        <v>8.8200000000000074</v>
      </c>
      <c r="K29" s="229">
        <v>35.14</v>
      </c>
      <c r="L29" s="229">
        <v>52.47</v>
      </c>
      <c r="M29" s="229">
        <v>59.42</v>
      </c>
      <c r="N29" s="229">
        <v>68.25</v>
      </c>
      <c r="O29" s="229">
        <v>75.56</v>
      </c>
      <c r="P29" s="98">
        <f t="shared" si="2"/>
        <v>0.10710622710622708</v>
      </c>
      <c r="Q29" s="228">
        <f t="shared" si="3"/>
        <v>7.3100000000000023</v>
      </c>
    </row>
    <row r="30" spans="2:17" x14ac:dyDescent="0.25">
      <c r="B30" s="99" t="s">
        <v>63</v>
      </c>
      <c r="C30" s="230">
        <v>59.21</v>
      </c>
      <c r="D30" s="230">
        <v>59.93</v>
      </c>
      <c r="E30" s="230">
        <v>57.07</v>
      </c>
      <c r="F30" s="230">
        <v>65.52</v>
      </c>
      <c r="G30" s="230">
        <v>72.760000000000005</v>
      </c>
      <c r="H30" s="230">
        <v>81.77</v>
      </c>
      <c r="I30" s="100">
        <f t="shared" si="0"/>
        <v>0.1238317757009344</v>
      </c>
      <c r="J30" s="230">
        <f t="shared" si="1"/>
        <v>9.0099999999999909</v>
      </c>
      <c r="K30" s="231">
        <v>36.840000000000003</v>
      </c>
      <c r="L30" s="231">
        <v>54.5</v>
      </c>
      <c r="M30" s="231">
        <v>61.78</v>
      </c>
      <c r="N30" s="231">
        <v>71.040000000000006</v>
      </c>
      <c r="O30" s="231">
        <v>78.87</v>
      </c>
      <c r="P30" s="100">
        <f t="shared" si="2"/>
        <v>0.11021959459459452</v>
      </c>
      <c r="Q30" s="230">
        <f t="shared" si="3"/>
        <v>7.8299999999999983</v>
      </c>
    </row>
    <row r="31" spans="2:17" x14ac:dyDescent="0.25">
      <c r="B31" s="99" t="s">
        <v>64</v>
      </c>
      <c r="C31" s="230">
        <v>40.03</v>
      </c>
      <c r="D31" s="230">
        <v>42.61</v>
      </c>
      <c r="E31" s="230">
        <v>41.43</v>
      </c>
      <c r="F31" s="230">
        <v>46.25</v>
      </c>
      <c r="G31" s="230">
        <v>50.96</v>
      </c>
      <c r="H31" s="230">
        <v>58.4</v>
      </c>
      <c r="I31" s="100">
        <f t="shared" si="0"/>
        <v>0.14599686028257453</v>
      </c>
      <c r="J31" s="230">
        <f t="shared" si="1"/>
        <v>7.4399999999999977</v>
      </c>
      <c r="K31" s="231">
        <v>29.62</v>
      </c>
      <c r="L31" s="231">
        <v>36.479999999999997</v>
      </c>
      <c r="M31" s="231">
        <v>43.6</v>
      </c>
      <c r="N31" s="231">
        <v>49.18</v>
      </c>
      <c r="O31" s="231">
        <v>52.81</v>
      </c>
      <c r="P31" s="100">
        <f t="shared" si="2"/>
        <v>7.3810492069947164E-2</v>
      </c>
      <c r="Q31" s="230">
        <f t="shared" si="3"/>
        <v>3.6300000000000026</v>
      </c>
    </row>
    <row r="32" spans="2:17" x14ac:dyDescent="0.25">
      <c r="B32" s="96" t="s">
        <v>65</v>
      </c>
      <c r="C32" s="228">
        <v>43</v>
      </c>
      <c r="D32" s="228">
        <v>43.27</v>
      </c>
      <c r="E32" s="228">
        <v>41.41</v>
      </c>
      <c r="F32" s="228">
        <v>43.49</v>
      </c>
      <c r="G32" s="228">
        <v>48.39</v>
      </c>
      <c r="H32" s="228">
        <v>55.8</v>
      </c>
      <c r="I32" s="98">
        <f t="shared" si="0"/>
        <v>0.15313081215127089</v>
      </c>
      <c r="J32" s="228">
        <f t="shared" si="1"/>
        <v>7.4099999999999966</v>
      </c>
      <c r="K32" s="229">
        <v>32.69</v>
      </c>
      <c r="L32" s="229">
        <v>35.11</v>
      </c>
      <c r="M32" s="229">
        <v>37.619999999999997</v>
      </c>
      <c r="N32" s="229">
        <v>45.51</v>
      </c>
      <c r="O32" s="229">
        <v>48.54</v>
      </c>
      <c r="P32" s="98">
        <f t="shared" si="2"/>
        <v>6.6578773895846988E-2</v>
      </c>
      <c r="Q32" s="228">
        <f t="shared" si="3"/>
        <v>3.0300000000000011</v>
      </c>
    </row>
    <row r="33" spans="2:17" x14ac:dyDescent="0.25">
      <c r="B33" s="93" t="s">
        <v>51</v>
      </c>
      <c r="C33" s="232">
        <v>81.38</v>
      </c>
      <c r="D33" s="232">
        <v>86.79</v>
      </c>
      <c r="E33" s="232">
        <v>84.44</v>
      </c>
      <c r="F33" s="232">
        <v>89.45</v>
      </c>
      <c r="G33" s="232">
        <v>98.5</v>
      </c>
      <c r="H33" s="232">
        <v>108.5</v>
      </c>
      <c r="I33" s="102">
        <f t="shared" si="0"/>
        <v>0.10152284263959399</v>
      </c>
      <c r="J33" s="232">
        <f t="shared" si="1"/>
        <v>10</v>
      </c>
      <c r="K33" s="233">
        <v>78.02</v>
      </c>
      <c r="L33" s="233">
        <v>80.44</v>
      </c>
      <c r="M33" s="233">
        <v>81.83</v>
      </c>
      <c r="N33" s="233">
        <v>97.42</v>
      </c>
      <c r="O33" s="233">
        <v>103.67</v>
      </c>
      <c r="P33" s="102">
        <f t="shared" si="2"/>
        <v>6.4155204270170296E-2</v>
      </c>
      <c r="Q33" s="232">
        <f t="shared" si="3"/>
        <v>6.25</v>
      </c>
    </row>
    <row r="34" spans="2:17" x14ac:dyDescent="0.25">
      <c r="B34" s="96" t="s">
        <v>62</v>
      </c>
      <c r="C34" s="228">
        <v>81.38</v>
      </c>
      <c r="D34" s="228">
        <v>86.79</v>
      </c>
      <c r="E34" s="228">
        <v>84.44</v>
      </c>
      <c r="F34" s="228">
        <v>89.45</v>
      </c>
      <c r="G34" s="228">
        <v>98.5</v>
      </c>
      <c r="H34" s="228">
        <v>108.5</v>
      </c>
      <c r="I34" s="98">
        <f t="shared" si="0"/>
        <v>0.10152284263959399</v>
      </c>
      <c r="J34" s="228">
        <f t="shared" si="1"/>
        <v>10</v>
      </c>
      <c r="K34" s="229">
        <v>78.02</v>
      </c>
      <c r="L34" s="229">
        <v>80.44</v>
      </c>
      <c r="M34" s="229">
        <v>81.83</v>
      </c>
      <c r="N34" s="229">
        <v>97.42</v>
      </c>
      <c r="O34" s="229">
        <v>103.67</v>
      </c>
      <c r="P34" s="98">
        <f t="shared" si="2"/>
        <v>6.4155204270170296E-2</v>
      </c>
      <c r="Q34" s="228">
        <f t="shared" si="3"/>
        <v>6.25</v>
      </c>
    </row>
    <row r="35" spans="2:17" x14ac:dyDescent="0.25">
      <c r="B35" s="93" t="s">
        <v>52</v>
      </c>
      <c r="C35" s="232">
        <v>85.19</v>
      </c>
      <c r="D35" s="232">
        <v>106.13</v>
      </c>
      <c r="E35" s="232">
        <v>125.31</v>
      </c>
      <c r="F35" s="232">
        <v>128.06</v>
      </c>
      <c r="G35" s="232">
        <v>149.08000000000001</v>
      </c>
      <c r="H35" s="232">
        <v>167.62</v>
      </c>
      <c r="I35" s="102">
        <f t="shared" si="0"/>
        <v>0.12436275825060372</v>
      </c>
      <c r="J35" s="232">
        <f t="shared" si="1"/>
        <v>18.539999999999992</v>
      </c>
      <c r="K35" s="233">
        <v>136.28</v>
      </c>
      <c r="L35" s="233">
        <v>113</v>
      </c>
      <c r="M35" s="233">
        <v>131.33000000000001</v>
      </c>
      <c r="N35" s="233">
        <v>154.88999999999999</v>
      </c>
      <c r="O35" s="233">
        <v>169.18</v>
      </c>
      <c r="P35" s="102">
        <f t="shared" si="2"/>
        <v>9.2259022532119817E-2</v>
      </c>
      <c r="Q35" s="232">
        <f t="shared" si="3"/>
        <v>14.29000000000002</v>
      </c>
    </row>
    <row r="36" spans="2:17" x14ac:dyDescent="0.25">
      <c r="B36" s="96" t="s">
        <v>62</v>
      </c>
      <c r="C36" s="228">
        <v>112.85</v>
      </c>
      <c r="D36" s="228">
        <v>133.72</v>
      </c>
      <c r="E36" s="228">
        <v>131.41999999999999</v>
      </c>
      <c r="F36" s="228">
        <v>137.6</v>
      </c>
      <c r="G36" s="228">
        <v>157.49</v>
      </c>
      <c r="H36" s="228">
        <v>177.79</v>
      </c>
      <c r="I36" s="98">
        <f t="shared" si="0"/>
        <v>0.12889707283002094</v>
      </c>
      <c r="J36" s="228">
        <f t="shared" si="1"/>
        <v>20.299999999999983</v>
      </c>
      <c r="K36" s="229">
        <v>138.22999999999999</v>
      </c>
      <c r="L36" s="229">
        <v>126.83</v>
      </c>
      <c r="M36" s="229">
        <v>137.69999999999999</v>
      </c>
      <c r="N36" s="229">
        <v>155.51</v>
      </c>
      <c r="O36" s="229">
        <v>180.49</v>
      </c>
      <c r="P36" s="98">
        <f t="shared" si="2"/>
        <v>0.16063275673590138</v>
      </c>
      <c r="Q36" s="228">
        <f t="shared" si="3"/>
        <v>24.980000000000018</v>
      </c>
    </row>
    <row r="37" spans="2:17" x14ac:dyDescent="0.25">
      <c r="B37" s="96" t="s">
        <v>65</v>
      </c>
      <c r="C37" s="228">
        <v>55.99</v>
      </c>
      <c r="D37" s="228">
        <v>41.89</v>
      </c>
      <c r="E37" s="228">
        <v>74.180000000000007</v>
      </c>
      <c r="F37" s="228">
        <v>78.69</v>
      </c>
      <c r="G37" s="228">
        <v>104.15</v>
      </c>
      <c r="H37" s="228">
        <v>109.88</v>
      </c>
      <c r="I37" s="98">
        <f t="shared" si="0"/>
        <v>5.5016802688430122E-2</v>
      </c>
      <c r="J37" s="228">
        <f t="shared" si="1"/>
        <v>5.7299999999999898</v>
      </c>
      <c r="K37" s="229">
        <v>47.58</v>
      </c>
      <c r="L37" s="229">
        <v>51.99</v>
      </c>
      <c r="M37" s="229">
        <v>95.84</v>
      </c>
      <c r="N37" s="229">
        <v>151.19999999999999</v>
      </c>
      <c r="O37" s="229">
        <v>112.35</v>
      </c>
      <c r="P37" s="98">
        <f t="shared" si="2"/>
        <v>-0.25694444444444442</v>
      </c>
      <c r="Q37" s="228">
        <f t="shared" si="3"/>
        <v>-38.849999999999994</v>
      </c>
    </row>
    <row r="38" spans="2:17" x14ac:dyDescent="0.25">
      <c r="B38" s="93" t="s">
        <v>53</v>
      </c>
      <c r="C38" s="232">
        <v>63.43</v>
      </c>
      <c r="D38" s="232">
        <v>64.19</v>
      </c>
      <c r="E38" s="232">
        <v>68.989999999999995</v>
      </c>
      <c r="F38" s="232">
        <v>76.34</v>
      </c>
      <c r="G38" s="232">
        <v>86.65</v>
      </c>
      <c r="H38" s="232">
        <v>96.86</v>
      </c>
      <c r="I38" s="102">
        <f t="shared" si="0"/>
        <v>0.1178303519907673</v>
      </c>
      <c r="J38" s="232">
        <f t="shared" si="1"/>
        <v>10.209999999999994</v>
      </c>
      <c r="K38" s="233">
        <v>62.32</v>
      </c>
      <c r="L38" s="233">
        <v>77.150000000000006</v>
      </c>
      <c r="M38" s="233">
        <v>77.33</v>
      </c>
      <c r="N38" s="233">
        <v>89.71</v>
      </c>
      <c r="O38" s="233">
        <v>89.09</v>
      </c>
      <c r="P38" s="102">
        <f t="shared" si="2"/>
        <v>-6.9111581763459107E-3</v>
      </c>
      <c r="Q38" s="232">
        <f t="shared" si="3"/>
        <v>-0.61999999999999034</v>
      </c>
    </row>
    <row r="39" spans="2:17" x14ac:dyDescent="0.25">
      <c r="B39" s="96" t="s">
        <v>62</v>
      </c>
      <c r="C39" s="228">
        <v>63.43</v>
      </c>
      <c r="D39" s="228">
        <v>64.19</v>
      </c>
      <c r="E39" s="228">
        <v>68.989999999999995</v>
      </c>
      <c r="F39" s="228">
        <v>76.34</v>
      </c>
      <c r="G39" s="228">
        <v>86.65</v>
      </c>
      <c r="H39" s="228">
        <v>96.86</v>
      </c>
      <c r="I39" s="98">
        <f t="shared" si="0"/>
        <v>0.1178303519907673</v>
      </c>
      <c r="J39" s="228">
        <f t="shared" si="1"/>
        <v>10.209999999999994</v>
      </c>
      <c r="K39" s="229">
        <v>62.32</v>
      </c>
      <c r="L39" s="229">
        <v>77.150000000000006</v>
      </c>
      <c r="M39" s="229">
        <v>77.33</v>
      </c>
      <c r="N39" s="229">
        <v>89.71</v>
      </c>
      <c r="O39" s="229">
        <v>89.09</v>
      </c>
      <c r="P39" s="98">
        <f t="shared" si="2"/>
        <v>-6.9111581763459107E-3</v>
      </c>
      <c r="Q39" s="228">
        <f t="shared" si="3"/>
        <v>-0.61999999999999034</v>
      </c>
    </row>
    <row r="40" spans="2:17" x14ac:dyDescent="0.25">
      <c r="B40" s="99" t="s">
        <v>63</v>
      </c>
      <c r="C40" s="230">
        <v>80.7</v>
      </c>
      <c r="D40" s="230">
        <v>76.319999999999993</v>
      </c>
      <c r="E40" s="230">
        <v>76.47</v>
      </c>
      <c r="F40" s="230">
        <v>90.03</v>
      </c>
      <c r="G40" s="230">
        <v>101.46</v>
      </c>
      <c r="H40" s="230">
        <v>115.08</v>
      </c>
      <c r="I40" s="100">
        <f t="shared" si="0"/>
        <v>0.13424009461856889</v>
      </c>
      <c r="J40" s="230">
        <f t="shared" si="1"/>
        <v>13.620000000000005</v>
      </c>
      <c r="K40" s="231">
        <v>66.56</v>
      </c>
      <c r="L40" s="231">
        <v>91.24</v>
      </c>
      <c r="M40" s="231">
        <v>88.04</v>
      </c>
      <c r="N40" s="231">
        <v>105.89</v>
      </c>
      <c r="O40" s="231">
        <v>104.71</v>
      </c>
      <c r="P40" s="100">
        <f t="shared" si="2"/>
        <v>-1.1143639626027046E-2</v>
      </c>
      <c r="Q40" s="230">
        <f t="shared" si="3"/>
        <v>-1.1800000000000068</v>
      </c>
    </row>
    <row r="41" spans="2:17" x14ac:dyDescent="0.25">
      <c r="B41" s="99" t="s">
        <v>64</v>
      </c>
      <c r="C41" s="230">
        <v>47.71</v>
      </c>
      <c r="D41" s="230">
        <v>52.19</v>
      </c>
      <c r="E41" s="230">
        <v>57.98</v>
      </c>
      <c r="F41" s="230">
        <v>57.94</v>
      </c>
      <c r="G41" s="230">
        <v>67.42</v>
      </c>
      <c r="H41" s="230">
        <v>70.06</v>
      </c>
      <c r="I41" s="100">
        <f t="shared" si="0"/>
        <v>3.915752002373174E-2</v>
      </c>
      <c r="J41" s="230">
        <f t="shared" si="1"/>
        <v>2.6400000000000006</v>
      </c>
      <c r="K41" s="231">
        <v>56</v>
      </c>
      <c r="L41" s="231">
        <v>58.71</v>
      </c>
      <c r="M41" s="231">
        <v>63.17</v>
      </c>
      <c r="N41" s="231">
        <v>68.459999999999994</v>
      </c>
      <c r="O41" s="231">
        <v>60.68</v>
      </c>
      <c r="P41" s="100">
        <f t="shared" si="2"/>
        <v>-0.11364300321355525</v>
      </c>
      <c r="Q41" s="230">
        <f t="shared" si="3"/>
        <v>-7.779999999999994</v>
      </c>
    </row>
    <row r="42" spans="2:17" x14ac:dyDescent="0.25">
      <c r="B42" s="93" t="s">
        <v>54</v>
      </c>
      <c r="C42" s="232">
        <v>92.8</v>
      </c>
      <c r="D42" s="232">
        <v>102.24</v>
      </c>
      <c r="E42" s="232">
        <v>98.71</v>
      </c>
      <c r="F42" s="232">
        <v>114.5</v>
      </c>
      <c r="G42" s="232">
        <v>129.04</v>
      </c>
      <c r="H42" s="232">
        <v>138.44999999999999</v>
      </c>
      <c r="I42" s="102">
        <f t="shared" si="0"/>
        <v>7.292312461252326E-2</v>
      </c>
      <c r="J42" s="232">
        <f t="shared" si="1"/>
        <v>9.4099999999999966</v>
      </c>
      <c r="K42" s="233">
        <v>76.55</v>
      </c>
      <c r="L42" s="233">
        <v>110.79</v>
      </c>
      <c r="M42" s="233">
        <v>119.94</v>
      </c>
      <c r="N42" s="233">
        <v>131.65</v>
      </c>
      <c r="O42" s="233">
        <v>107.09</v>
      </c>
      <c r="P42" s="102">
        <f t="shared" si="2"/>
        <v>-0.18655526015951385</v>
      </c>
      <c r="Q42" s="232">
        <f t="shared" si="3"/>
        <v>-24.560000000000002</v>
      </c>
    </row>
    <row r="43" spans="2:17" x14ac:dyDescent="0.25">
      <c r="B43" s="96" t="s">
        <v>62</v>
      </c>
      <c r="C43" s="228">
        <v>97.8</v>
      </c>
      <c r="D43" s="228">
        <v>108.14</v>
      </c>
      <c r="E43" s="228">
        <v>104.52</v>
      </c>
      <c r="F43" s="228">
        <v>121.1</v>
      </c>
      <c r="G43" s="228">
        <v>137.22999999999999</v>
      </c>
      <c r="H43" s="228">
        <v>145.38999999999999</v>
      </c>
      <c r="I43" s="98">
        <f t="shared" si="0"/>
        <v>5.9462216716461347E-2</v>
      </c>
      <c r="J43" s="228">
        <f t="shared" si="1"/>
        <v>8.1599999999999966</v>
      </c>
      <c r="K43" s="229">
        <v>89.95</v>
      </c>
      <c r="L43" s="229">
        <v>113.48</v>
      </c>
      <c r="M43" s="229">
        <v>126.96</v>
      </c>
      <c r="N43" s="229">
        <v>139.97</v>
      </c>
      <c r="O43" s="229">
        <v>111.88</v>
      </c>
      <c r="P43" s="98">
        <f t="shared" si="2"/>
        <v>-0.20068586125598342</v>
      </c>
      <c r="Q43" s="228">
        <f t="shared" si="3"/>
        <v>-28.090000000000003</v>
      </c>
    </row>
    <row r="44" spans="2:17" x14ac:dyDescent="0.25">
      <c r="B44" s="99" t="s">
        <v>63</v>
      </c>
      <c r="C44" s="230">
        <v>101.92</v>
      </c>
      <c r="D44" s="230">
        <v>0</v>
      </c>
      <c r="E44" s="230">
        <v>111.35</v>
      </c>
      <c r="F44" s="230">
        <v>128.75</v>
      </c>
      <c r="G44" s="230">
        <v>146.41</v>
      </c>
      <c r="H44" s="230">
        <v>153.15</v>
      </c>
      <c r="I44" s="100">
        <f t="shared" si="0"/>
        <v>4.6035106891605837E-2</v>
      </c>
      <c r="J44" s="230">
        <f t="shared" si="1"/>
        <v>6.7400000000000091</v>
      </c>
      <c r="K44" s="231">
        <v>0</v>
      </c>
      <c r="L44" s="231">
        <v>120.57</v>
      </c>
      <c r="M44" s="231">
        <v>134.07</v>
      </c>
      <c r="N44" s="231">
        <v>145.27000000000001</v>
      </c>
      <c r="O44" s="231">
        <v>112.21</v>
      </c>
      <c r="P44" s="100">
        <f t="shared" si="2"/>
        <v>-0.22757623735113941</v>
      </c>
      <c r="Q44" s="230">
        <f t="shared" si="3"/>
        <v>-33.060000000000016</v>
      </c>
    </row>
    <row r="45" spans="2:17" x14ac:dyDescent="0.25">
      <c r="B45" s="99" t="s">
        <v>64</v>
      </c>
      <c r="C45" s="230">
        <v>81.52</v>
      </c>
      <c r="D45" s="230">
        <v>0</v>
      </c>
      <c r="E45" s="230">
        <v>79.67</v>
      </c>
      <c r="F45" s="230">
        <v>92.67</v>
      </c>
      <c r="G45" s="230">
        <v>100.97</v>
      </c>
      <c r="H45" s="230">
        <v>114.46</v>
      </c>
      <c r="I45" s="100">
        <f t="shared" si="0"/>
        <v>0.13360404080419919</v>
      </c>
      <c r="J45" s="230">
        <f t="shared" si="1"/>
        <v>13.489999999999995</v>
      </c>
      <c r="K45" s="231">
        <v>0</v>
      </c>
      <c r="L45" s="231">
        <v>89.09</v>
      </c>
      <c r="M45" s="231">
        <v>101.13</v>
      </c>
      <c r="N45" s="231">
        <v>120</v>
      </c>
      <c r="O45" s="231">
        <v>110.64</v>
      </c>
      <c r="P45" s="100">
        <f t="shared" si="2"/>
        <v>-7.7999999999999958E-2</v>
      </c>
      <c r="Q45" s="230">
        <f t="shared" si="3"/>
        <v>-9.36</v>
      </c>
    </row>
    <row r="46" spans="2:17" x14ac:dyDescent="0.25">
      <c r="B46" s="96" t="s">
        <v>65</v>
      </c>
      <c r="C46" s="228">
        <v>74.09</v>
      </c>
      <c r="D46" s="228">
        <v>76.39</v>
      </c>
      <c r="E46" s="228">
        <v>66.930000000000007</v>
      </c>
      <c r="F46" s="228">
        <v>72.900000000000006</v>
      </c>
      <c r="G46" s="228">
        <v>77.459999999999994</v>
      </c>
      <c r="H46" s="228">
        <v>94.86</v>
      </c>
      <c r="I46" s="98">
        <f t="shared" si="0"/>
        <v>0.22463206816421377</v>
      </c>
      <c r="J46" s="228">
        <f t="shared" si="1"/>
        <v>17.400000000000006</v>
      </c>
      <c r="K46" s="229">
        <v>44.71</v>
      </c>
      <c r="L46" s="229">
        <v>87.4</v>
      </c>
      <c r="M46" s="229">
        <v>61.8</v>
      </c>
      <c r="N46" s="229">
        <v>67.3</v>
      </c>
      <c r="O46" s="229">
        <v>73.23</v>
      </c>
      <c r="P46" s="98">
        <f t="shared" si="2"/>
        <v>8.811292719167918E-2</v>
      </c>
      <c r="Q46" s="228">
        <f t="shared" si="3"/>
        <v>5.9300000000000068</v>
      </c>
    </row>
    <row r="47" spans="2:17" x14ac:dyDescent="0.25">
      <c r="B47" s="93" t="s">
        <v>55</v>
      </c>
      <c r="C47" s="232">
        <v>55.1</v>
      </c>
      <c r="D47" s="232">
        <v>58.1</v>
      </c>
      <c r="E47" s="232">
        <v>74.28</v>
      </c>
      <c r="F47" s="232">
        <v>64.23</v>
      </c>
      <c r="G47" s="232">
        <v>69.86</v>
      </c>
      <c r="H47" s="232">
        <v>72.739999999999995</v>
      </c>
      <c r="I47" s="102">
        <f t="shared" si="0"/>
        <v>4.1225307758373742E-2</v>
      </c>
      <c r="J47" s="232">
        <f t="shared" si="1"/>
        <v>2.8799999999999955</v>
      </c>
      <c r="K47" s="233">
        <v>67.430000000000007</v>
      </c>
      <c r="L47" s="233">
        <v>55.3</v>
      </c>
      <c r="M47" s="233">
        <v>48.47</v>
      </c>
      <c r="N47" s="233">
        <v>48.39</v>
      </c>
      <c r="O47" s="233">
        <v>52.16</v>
      </c>
      <c r="P47" s="102">
        <f t="shared" si="2"/>
        <v>7.7908658813804488E-2</v>
      </c>
      <c r="Q47" s="232">
        <f t="shared" si="3"/>
        <v>3.769999999999996</v>
      </c>
    </row>
    <row r="48" spans="2:17" x14ac:dyDescent="0.25">
      <c r="B48" s="96" t="s">
        <v>62</v>
      </c>
      <c r="C48" s="228">
        <v>55.02</v>
      </c>
      <c r="D48" s="228">
        <v>57.83</v>
      </c>
      <c r="E48" s="228">
        <v>74.63</v>
      </c>
      <c r="F48" s="228">
        <v>64.650000000000006</v>
      </c>
      <c r="G48" s="228">
        <v>69.94</v>
      </c>
      <c r="H48" s="228">
        <v>73.959999999999994</v>
      </c>
      <c r="I48" s="98">
        <f t="shared" si="0"/>
        <v>5.7477838146983151E-2</v>
      </c>
      <c r="J48" s="228">
        <f t="shared" si="1"/>
        <v>4.019999999999996</v>
      </c>
      <c r="K48" s="229">
        <v>67.69</v>
      </c>
      <c r="L48" s="229">
        <v>55.82</v>
      </c>
      <c r="M48" s="229">
        <v>47.45</v>
      </c>
      <c r="N48" s="229">
        <v>48.85</v>
      </c>
      <c r="O48" s="229">
        <v>52.11</v>
      </c>
      <c r="P48" s="98">
        <f t="shared" si="2"/>
        <v>6.6734902763561976E-2</v>
      </c>
      <c r="Q48" s="228">
        <f t="shared" si="3"/>
        <v>3.259999999999998</v>
      </c>
    </row>
    <row r="49" spans="2:17" x14ac:dyDescent="0.25">
      <c r="B49" s="99" t="s">
        <v>63</v>
      </c>
      <c r="C49" s="230">
        <v>58.12</v>
      </c>
      <c r="D49" s="230">
        <v>59.72</v>
      </c>
      <c r="E49" s="230">
        <v>75.540000000000006</v>
      </c>
      <c r="F49" s="230">
        <v>69.69</v>
      </c>
      <c r="G49" s="230">
        <v>76.47</v>
      </c>
      <c r="H49" s="230">
        <v>79.3</v>
      </c>
      <c r="I49" s="100">
        <f t="shared" si="0"/>
        <v>3.7007976984438251E-2</v>
      </c>
      <c r="J49" s="230">
        <f t="shared" si="1"/>
        <v>2.8299999999999983</v>
      </c>
      <c r="K49" s="231">
        <v>64.790000000000006</v>
      </c>
      <c r="L49" s="231">
        <v>51.08</v>
      </c>
      <c r="M49" s="231">
        <v>52.27</v>
      </c>
      <c r="N49" s="231">
        <v>54.09</v>
      </c>
      <c r="O49" s="231">
        <v>53.61</v>
      </c>
      <c r="P49" s="100">
        <f t="shared" si="2"/>
        <v>-8.8740987243484115E-3</v>
      </c>
      <c r="Q49" s="230">
        <f t="shared" si="3"/>
        <v>-0.48000000000000398</v>
      </c>
    </row>
    <row r="50" spans="2:17" x14ac:dyDescent="0.25">
      <c r="B50" s="99" t="s">
        <v>64</v>
      </c>
      <c r="C50" s="230">
        <v>43.08</v>
      </c>
      <c r="D50" s="230">
        <v>52.07</v>
      </c>
      <c r="E50" s="230">
        <v>70.77</v>
      </c>
      <c r="F50" s="230">
        <v>51.36</v>
      </c>
      <c r="G50" s="230">
        <v>51.21</v>
      </c>
      <c r="H50" s="230">
        <v>60.22</v>
      </c>
      <c r="I50" s="100">
        <f t="shared" si="0"/>
        <v>0.17594219878929884</v>
      </c>
      <c r="J50" s="230">
        <f t="shared" si="1"/>
        <v>9.009999999999998</v>
      </c>
      <c r="K50" s="231">
        <v>101.35</v>
      </c>
      <c r="L50" s="231">
        <v>72.55</v>
      </c>
      <c r="M50" s="231">
        <v>35.71</v>
      </c>
      <c r="N50" s="231">
        <v>36.68</v>
      </c>
      <c r="O50" s="231">
        <v>48.42</v>
      </c>
      <c r="P50" s="100">
        <f t="shared" si="2"/>
        <v>0.32006543075245375</v>
      </c>
      <c r="Q50" s="230">
        <f t="shared" si="3"/>
        <v>11.740000000000002</v>
      </c>
    </row>
    <row r="51" spans="2:17" x14ac:dyDescent="0.25">
      <c r="B51" s="96" t="s">
        <v>65</v>
      </c>
      <c r="C51" s="228">
        <v>56.8</v>
      </c>
      <c r="D51" s="228">
        <v>83.93</v>
      </c>
      <c r="E51" s="228">
        <v>154.72</v>
      </c>
      <c r="F51" s="228">
        <v>191.76</v>
      </c>
      <c r="G51" s="228">
        <v>163.5</v>
      </c>
      <c r="H51" s="228">
        <v>87.87</v>
      </c>
      <c r="I51" s="98">
        <f t="shared" si="0"/>
        <v>-0.46256880733944949</v>
      </c>
      <c r="J51" s="228">
        <f t="shared" si="1"/>
        <v>-75.63</v>
      </c>
      <c r="K51" s="229">
        <v>172.05</v>
      </c>
      <c r="L51" s="229">
        <v>122.84</v>
      </c>
      <c r="M51" s="229">
        <v>122.57</v>
      </c>
      <c r="N51" s="229">
        <v>44.64</v>
      </c>
      <c r="O51" s="229">
        <v>101.63</v>
      </c>
      <c r="P51" s="98">
        <f t="shared" si="2"/>
        <v>1.2766577060931898</v>
      </c>
      <c r="Q51" s="228">
        <f t="shared" si="3"/>
        <v>56.989999999999995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10AF-6D8E-4C13-9EC8-708214A27CDC}">
  <sheetPr>
    <tabColor theme="2" tint="-9.9978637043366805E-2"/>
  </sheetPr>
  <dimension ref="B1:Q53"/>
  <sheetViews>
    <sheetView showGridLines="0" zoomScaleNormal="100" workbookViewId="0"/>
  </sheetViews>
  <sheetFormatPr baseColWidth="10" defaultRowHeight="15" x14ac:dyDescent="0.25"/>
  <cols>
    <col min="1" max="1" width="15.5703125" customWidth="1"/>
    <col min="2" max="2" width="24.7109375" customWidth="1"/>
    <col min="3" max="8" width="11.42578125" customWidth="1"/>
    <col min="9" max="9" width="10.7109375" customWidth="1"/>
    <col min="10" max="10" width="9.7109375" customWidth="1"/>
    <col min="11" max="15" width="12.28515625" customWidth="1"/>
    <col min="16" max="17" width="10.7109375" customWidth="1"/>
    <col min="18" max="18" width="14.42578125" customWidth="1"/>
    <col min="19" max="20" width="7.85546875" customWidth="1"/>
    <col min="21" max="21" width="8.140625" customWidth="1"/>
    <col min="22" max="22" width="9" customWidth="1"/>
    <col min="23" max="24" width="9.42578125" customWidth="1"/>
  </cols>
  <sheetData>
    <row r="1" spans="2:17" ht="42.75" customHeight="1" x14ac:dyDescent="0.25"/>
    <row r="3" spans="2:17" ht="30.75" customHeight="1" thickBot="1" x14ac:dyDescent="0.3">
      <c r="B3" s="84" t="str">
        <f>CONCATENATE("Ingresos medios por habitación (RevPar) Tenerife y municipios")</f>
        <v>Ingresos medios por habitación (RevPar) Tenerife y municipios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2:17" ht="6.95" customHeight="1" thickBot="1" x14ac:dyDescent="0.3">
      <c r="B4" s="85"/>
      <c r="C4" s="85"/>
      <c r="D4" s="85"/>
      <c r="E4" s="85"/>
      <c r="F4" s="85"/>
      <c r="G4" s="85"/>
      <c r="H4" s="85"/>
      <c r="I4" s="86"/>
      <c r="J4" s="85"/>
      <c r="K4" s="85"/>
      <c r="L4" s="85"/>
      <c r="M4" s="85"/>
      <c r="N4" s="85"/>
      <c r="O4" s="86"/>
      <c r="P4" s="86"/>
      <c r="Q4" s="86"/>
    </row>
    <row r="5" spans="2:17" ht="59.25" customHeight="1" x14ac:dyDescent="0.25">
      <c r="B5" s="90"/>
      <c r="C5" s="14">
        <v>2019</v>
      </c>
      <c r="D5" s="14">
        <v>2020</v>
      </c>
      <c r="E5" s="14">
        <v>2021</v>
      </c>
      <c r="F5" s="14">
        <v>2022</v>
      </c>
      <c r="G5" s="14">
        <v>2023</v>
      </c>
      <c r="H5" s="14">
        <v>2024</v>
      </c>
      <c r="I5" s="91" t="str">
        <f>CONCATENATE("var. ",RIGHT(H5,2),"/",RIGHT(G5,2))</f>
        <v>var. 24/23</v>
      </c>
      <c r="J5" s="91" t="str">
        <f>CONCATENATE("dif. ",RIGHT(H5,2),"/",RIGHT(G5,2))</f>
        <v>dif. 24/23</v>
      </c>
      <c r="K5" s="92" t="s">
        <v>224</v>
      </c>
      <c r="L5" s="92" t="s">
        <v>225</v>
      </c>
      <c r="M5" s="92" t="s">
        <v>226</v>
      </c>
      <c r="N5" s="92" t="s">
        <v>227</v>
      </c>
      <c r="O5" s="92" t="s">
        <v>228</v>
      </c>
      <c r="P5" s="91" t="str">
        <f>CONCATENATE("var. ",RIGHT(O5,2),"/",RIGHT(N5,2))</f>
        <v>var. 25/24</v>
      </c>
      <c r="Q5" s="91" t="str">
        <f>CONCATENATE("dif. ",RIGHT(O5,2),"/",RIGHT(N5,2))</f>
        <v>dif. 25/24</v>
      </c>
    </row>
    <row r="6" spans="2:17" x14ac:dyDescent="0.25">
      <c r="B6" s="93" t="s">
        <v>45</v>
      </c>
      <c r="C6" s="226">
        <v>70.459999999999994</v>
      </c>
      <c r="D6" s="226">
        <v>47.83</v>
      </c>
      <c r="E6" s="226">
        <v>53</v>
      </c>
      <c r="F6" s="226">
        <v>80.58</v>
      </c>
      <c r="G6" s="226">
        <v>93.24</v>
      </c>
      <c r="H6" s="226">
        <v>104.71</v>
      </c>
      <c r="I6" s="95">
        <f t="shared" ref="I6:I51" si="0">IFERROR(H6/G6-1,"-")</f>
        <v>0.12301587301587302</v>
      </c>
      <c r="J6" s="226">
        <f t="shared" ref="J6:J51" si="1">IFERROR(H6-G6,"-")</f>
        <v>11.469999999999999</v>
      </c>
      <c r="K6" s="227">
        <v>28.85</v>
      </c>
      <c r="L6" s="227">
        <v>66.599999999999994</v>
      </c>
      <c r="M6" s="227">
        <v>73.930000000000007</v>
      </c>
      <c r="N6" s="227">
        <v>80.430000000000007</v>
      </c>
      <c r="O6" s="227">
        <v>87.95</v>
      </c>
      <c r="P6" s="95">
        <f t="shared" ref="P6:P51" si="2">IFERROR(O6/N6-1,"-")</f>
        <v>9.3497451199801018E-2</v>
      </c>
      <c r="Q6" s="226">
        <f t="shared" ref="Q6:Q51" si="3">IFERROR(O6-N6,"-")</f>
        <v>7.519999999999996</v>
      </c>
    </row>
    <row r="7" spans="2:17" x14ac:dyDescent="0.25">
      <c r="B7" s="96" t="s">
        <v>62</v>
      </c>
      <c r="C7" s="228">
        <v>77.33</v>
      </c>
      <c r="D7" s="228">
        <v>53.19</v>
      </c>
      <c r="E7" s="228">
        <v>60.01</v>
      </c>
      <c r="F7" s="228">
        <v>88.2</v>
      </c>
      <c r="G7" s="228">
        <v>102.89</v>
      </c>
      <c r="H7" s="228">
        <v>114.62</v>
      </c>
      <c r="I7" s="98">
        <f t="shared" si="0"/>
        <v>0.11400524832345238</v>
      </c>
      <c r="J7" s="228">
        <f t="shared" si="1"/>
        <v>11.730000000000004</v>
      </c>
      <c r="K7" s="229">
        <v>32.58</v>
      </c>
      <c r="L7" s="229">
        <v>73.61</v>
      </c>
      <c r="M7" s="229">
        <v>81.98</v>
      </c>
      <c r="N7" s="229">
        <v>86.98</v>
      </c>
      <c r="O7" s="229">
        <v>95.51</v>
      </c>
      <c r="P7" s="98">
        <f t="shared" si="2"/>
        <v>9.8068521499195205E-2</v>
      </c>
      <c r="Q7" s="228">
        <f t="shared" si="3"/>
        <v>8.5300000000000011</v>
      </c>
    </row>
    <row r="8" spans="2:17" x14ac:dyDescent="0.25">
      <c r="B8" s="99" t="s">
        <v>63</v>
      </c>
      <c r="C8" s="230">
        <v>85.32</v>
      </c>
      <c r="D8" s="230">
        <v>58.8</v>
      </c>
      <c r="E8" s="230">
        <v>66.349999999999994</v>
      </c>
      <c r="F8" s="230">
        <v>96.91</v>
      </c>
      <c r="G8" s="230">
        <v>111.61</v>
      </c>
      <c r="H8" s="230">
        <v>124.26</v>
      </c>
      <c r="I8" s="100">
        <f t="shared" si="0"/>
        <v>0.11334109846787932</v>
      </c>
      <c r="J8" s="230">
        <f t="shared" si="1"/>
        <v>12.650000000000006</v>
      </c>
      <c r="K8" s="231">
        <v>35.799999999999997</v>
      </c>
      <c r="L8" s="231">
        <v>80.98</v>
      </c>
      <c r="M8" s="231">
        <v>88.99</v>
      </c>
      <c r="N8" s="231">
        <v>93.69</v>
      </c>
      <c r="O8" s="231">
        <v>103.05</v>
      </c>
      <c r="P8" s="100">
        <f t="shared" si="2"/>
        <v>9.9903938520653268E-2</v>
      </c>
      <c r="Q8" s="230">
        <f t="shared" si="3"/>
        <v>9.36</v>
      </c>
    </row>
    <row r="9" spans="2:17" x14ac:dyDescent="0.25">
      <c r="B9" s="99" t="s">
        <v>64</v>
      </c>
      <c r="C9" s="230">
        <v>46.17</v>
      </c>
      <c r="D9" s="230">
        <v>29.69</v>
      </c>
      <c r="E9" s="230">
        <v>31.06</v>
      </c>
      <c r="F9" s="230">
        <v>47.58</v>
      </c>
      <c r="G9" s="230">
        <v>59.03</v>
      </c>
      <c r="H9" s="230">
        <v>65.099999999999994</v>
      </c>
      <c r="I9" s="100">
        <f t="shared" si="0"/>
        <v>0.10282906996442476</v>
      </c>
      <c r="J9" s="230">
        <f t="shared" si="1"/>
        <v>6.0699999999999932</v>
      </c>
      <c r="K9" s="231">
        <v>14.7</v>
      </c>
      <c r="L9" s="231">
        <v>39.17</v>
      </c>
      <c r="M9" s="231">
        <v>45.89</v>
      </c>
      <c r="N9" s="231">
        <v>51.63</v>
      </c>
      <c r="O9" s="231">
        <v>56</v>
      </c>
      <c r="P9" s="100">
        <f t="shared" si="2"/>
        <v>8.4640712763896842E-2</v>
      </c>
      <c r="Q9" s="230">
        <f t="shared" si="3"/>
        <v>4.3699999999999974</v>
      </c>
    </row>
    <row r="10" spans="2:17" x14ac:dyDescent="0.25">
      <c r="B10" s="96" t="s">
        <v>65</v>
      </c>
      <c r="C10" s="228">
        <v>51.25</v>
      </c>
      <c r="D10" s="228">
        <v>33.86</v>
      </c>
      <c r="E10" s="228">
        <v>30.93</v>
      </c>
      <c r="F10" s="228">
        <v>53.23</v>
      </c>
      <c r="G10" s="228">
        <v>60.79</v>
      </c>
      <c r="H10" s="228">
        <v>70.290000000000006</v>
      </c>
      <c r="I10" s="98">
        <f t="shared" si="0"/>
        <v>0.15627570324066475</v>
      </c>
      <c r="J10" s="228">
        <f t="shared" si="1"/>
        <v>9.5000000000000071</v>
      </c>
      <c r="K10" s="229">
        <v>18.13</v>
      </c>
      <c r="L10" s="229">
        <v>41.66</v>
      </c>
      <c r="M10" s="229">
        <v>47.1</v>
      </c>
      <c r="N10" s="229">
        <v>57.65</v>
      </c>
      <c r="O10" s="229">
        <v>63.07</v>
      </c>
      <c r="P10" s="98">
        <f t="shared" si="2"/>
        <v>9.4015611448395431E-2</v>
      </c>
      <c r="Q10" s="228">
        <f t="shared" si="3"/>
        <v>5.4200000000000017</v>
      </c>
    </row>
    <row r="11" spans="2:17" x14ac:dyDescent="0.25">
      <c r="B11" s="93" t="s">
        <v>46</v>
      </c>
      <c r="C11" s="232">
        <v>89.94</v>
      </c>
      <c r="D11" s="232">
        <v>61.17</v>
      </c>
      <c r="E11" s="232">
        <v>72.88</v>
      </c>
      <c r="F11" s="232">
        <v>107.72</v>
      </c>
      <c r="G11" s="232">
        <v>119.35</v>
      </c>
      <c r="H11" s="232">
        <v>131.18</v>
      </c>
      <c r="I11" s="102">
        <f t="shared" si="0"/>
        <v>9.9120234604105573E-2</v>
      </c>
      <c r="J11" s="232">
        <f t="shared" si="1"/>
        <v>11.830000000000013</v>
      </c>
      <c r="K11" s="233">
        <v>35.590000000000003</v>
      </c>
      <c r="L11" s="233">
        <v>87.91</v>
      </c>
      <c r="M11" s="233">
        <v>91.44</v>
      </c>
      <c r="N11" s="233">
        <v>96.77</v>
      </c>
      <c r="O11" s="233">
        <v>104.28</v>
      </c>
      <c r="P11" s="102">
        <f t="shared" si="2"/>
        <v>7.7606696290172694E-2</v>
      </c>
      <c r="Q11" s="232">
        <f t="shared" si="3"/>
        <v>7.5100000000000051</v>
      </c>
    </row>
    <row r="12" spans="2:17" x14ac:dyDescent="0.25">
      <c r="B12" s="96" t="s">
        <v>62</v>
      </c>
      <c r="C12" s="228">
        <v>98.21</v>
      </c>
      <c r="D12" s="228">
        <v>66.36</v>
      </c>
      <c r="E12" s="228">
        <v>79.650000000000006</v>
      </c>
      <c r="F12" s="228">
        <v>116.54</v>
      </c>
      <c r="G12" s="228">
        <v>130.88999999999999</v>
      </c>
      <c r="H12" s="228">
        <v>144.94</v>
      </c>
      <c r="I12" s="98">
        <f t="shared" si="0"/>
        <v>0.10734204293681726</v>
      </c>
      <c r="J12" s="228">
        <f t="shared" si="1"/>
        <v>14.050000000000011</v>
      </c>
      <c r="K12" s="229">
        <v>38.18</v>
      </c>
      <c r="L12" s="229">
        <v>95.16</v>
      </c>
      <c r="M12" s="229">
        <v>100.01</v>
      </c>
      <c r="N12" s="229">
        <v>106.95</v>
      </c>
      <c r="O12" s="229">
        <v>115.98</v>
      </c>
      <c r="P12" s="98">
        <f t="shared" si="2"/>
        <v>8.4431977559607407E-2</v>
      </c>
      <c r="Q12" s="228">
        <f t="shared" si="3"/>
        <v>9.0300000000000011</v>
      </c>
    </row>
    <row r="13" spans="2:17" x14ac:dyDescent="0.25">
      <c r="B13" s="99" t="s">
        <v>63</v>
      </c>
      <c r="C13" s="230">
        <v>106.38</v>
      </c>
      <c r="D13" s="230">
        <v>71.150000000000006</v>
      </c>
      <c r="E13" s="230">
        <v>85.14</v>
      </c>
      <c r="F13" s="230">
        <v>125.38</v>
      </c>
      <c r="G13" s="230">
        <v>140.15</v>
      </c>
      <c r="H13" s="230">
        <v>154.63999999999999</v>
      </c>
      <c r="I13" s="100">
        <f t="shared" si="0"/>
        <v>0.10338922582946819</v>
      </c>
      <c r="J13" s="230">
        <f t="shared" si="1"/>
        <v>14.489999999999981</v>
      </c>
      <c r="K13" s="231">
        <v>40.49</v>
      </c>
      <c r="L13" s="231">
        <v>102.79</v>
      </c>
      <c r="M13" s="231">
        <v>107.36</v>
      </c>
      <c r="N13" s="231">
        <v>113.79</v>
      </c>
      <c r="O13" s="231">
        <v>123.92</v>
      </c>
      <c r="P13" s="100">
        <f t="shared" si="2"/>
        <v>8.9023640038667695E-2</v>
      </c>
      <c r="Q13" s="230">
        <f t="shared" si="3"/>
        <v>10.129999999999995</v>
      </c>
    </row>
    <row r="14" spans="2:17" x14ac:dyDescent="0.25">
      <c r="B14" s="99" t="s">
        <v>64</v>
      </c>
      <c r="C14" s="230">
        <v>53.15</v>
      </c>
      <c r="D14" s="230">
        <v>31.55</v>
      </c>
      <c r="E14" s="230">
        <v>34.18</v>
      </c>
      <c r="F14" s="230">
        <v>49.88</v>
      </c>
      <c r="G14" s="230">
        <v>54.45</v>
      </c>
      <c r="H14" s="230">
        <v>55.23</v>
      </c>
      <c r="I14" s="100">
        <f t="shared" si="0"/>
        <v>1.4325068870523205E-2</v>
      </c>
      <c r="J14" s="230">
        <f t="shared" si="1"/>
        <v>0.77999999999999403</v>
      </c>
      <c r="K14" s="231">
        <v>6.44</v>
      </c>
      <c r="L14" s="231">
        <v>37.07</v>
      </c>
      <c r="M14" s="231">
        <v>38.28</v>
      </c>
      <c r="N14" s="231">
        <v>38.78</v>
      </c>
      <c r="O14" s="231">
        <v>48.53</v>
      </c>
      <c r="P14" s="100">
        <f t="shared" si="2"/>
        <v>0.25141825683341934</v>
      </c>
      <c r="Q14" s="230">
        <f t="shared" si="3"/>
        <v>9.75</v>
      </c>
    </row>
    <row r="15" spans="2:17" x14ac:dyDescent="0.25">
      <c r="B15" s="96" t="s">
        <v>65</v>
      </c>
      <c r="C15" s="228">
        <v>58.49</v>
      </c>
      <c r="D15" s="228">
        <v>40.36</v>
      </c>
      <c r="E15" s="228">
        <v>37.26</v>
      </c>
      <c r="F15" s="228">
        <v>61.52</v>
      </c>
      <c r="G15" s="228">
        <v>67.89</v>
      </c>
      <c r="H15" s="228">
        <v>72.16</v>
      </c>
      <c r="I15" s="98">
        <f t="shared" si="0"/>
        <v>6.2895860951539095E-2</v>
      </c>
      <c r="J15" s="228">
        <f t="shared" si="1"/>
        <v>4.269999999999996</v>
      </c>
      <c r="K15" s="229">
        <v>23.44</v>
      </c>
      <c r="L15" s="229">
        <v>51.3</v>
      </c>
      <c r="M15" s="229">
        <v>53.56</v>
      </c>
      <c r="N15" s="229">
        <v>54.13</v>
      </c>
      <c r="O15" s="229">
        <v>59.67</v>
      </c>
      <c r="P15" s="98">
        <f t="shared" si="2"/>
        <v>0.1023462035839644</v>
      </c>
      <c r="Q15" s="228">
        <f t="shared" si="3"/>
        <v>5.5399999999999991</v>
      </c>
    </row>
    <row r="16" spans="2:17" x14ac:dyDescent="0.25">
      <c r="B16" s="93" t="s">
        <v>51</v>
      </c>
      <c r="C16" s="232">
        <v>51.62</v>
      </c>
      <c r="D16" s="232">
        <v>49.1</v>
      </c>
      <c r="E16" s="232">
        <v>45.63</v>
      </c>
      <c r="F16" s="232">
        <v>64.64</v>
      </c>
      <c r="G16" s="232">
        <v>73.62</v>
      </c>
      <c r="H16" s="232">
        <v>81.849999999999994</v>
      </c>
      <c r="I16" s="102">
        <f t="shared" si="0"/>
        <v>0.11179027438196121</v>
      </c>
      <c r="J16" s="232">
        <f t="shared" si="1"/>
        <v>8.2299999999999898</v>
      </c>
      <c r="K16" s="233">
        <v>39.54</v>
      </c>
      <c r="L16" s="233">
        <v>48.82</v>
      </c>
      <c r="M16" s="233">
        <v>53.04</v>
      </c>
      <c r="N16" s="233">
        <v>62.53</v>
      </c>
      <c r="O16" s="233">
        <v>69.05</v>
      </c>
      <c r="P16" s="102">
        <f t="shared" si="2"/>
        <v>0.1042699504237965</v>
      </c>
      <c r="Q16" s="232">
        <f t="shared" si="3"/>
        <v>6.519999999999996</v>
      </c>
    </row>
    <row r="17" spans="2:17" x14ac:dyDescent="0.25">
      <c r="B17" s="96" t="s">
        <v>62</v>
      </c>
      <c r="C17" s="228">
        <v>51.62</v>
      </c>
      <c r="D17" s="228">
        <v>49.1</v>
      </c>
      <c r="E17" s="228">
        <v>45.63</v>
      </c>
      <c r="F17" s="228">
        <v>64.64</v>
      </c>
      <c r="G17" s="228">
        <v>73.62</v>
      </c>
      <c r="H17" s="228">
        <v>81.849999999999994</v>
      </c>
      <c r="I17" s="98">
        <f t="shared" si="0"/>
        <v>0.11179027438196121</v>
      </c>
      <c r="J17" s="228">
        <f t="shared" si="1"/>
        <v>8.2299999999999898</v>
      </c>
      <c r="K17" s="229">
        <v>39.54</v>
      </c>
      <c r="L17" s="229">
        <v>48.82</v>
      </c>
      <c r="M17" s="229">
        <v>53.04</v>
      </c>
      <c r="N17" s="229">
        <v>62.53</v>
      </c>
      <c r="O17" s="229">
        <v>69.05</v>
      </c>
      <c r="P17" s="98">
        <f t="shared" si="2"/>
        <v>0.1042699504237965</v>
      </c>
      <c r="Q17" s="228">
        <f t="shared" si="3"/>
        <v>6.519999999999996</v>
      </c>
    </row>
    <row r="18" spans="2:17" x14ac:dyDescent="0.25">
      <c r="B18" s="99" t="s">
        <v>63</v>
      </c>
      <c r="C18" s="230">
        <v>60.68</v>
      </c>
      <c r="D18" s="230">
        <v>0</v>
      </c>
      <c r="E18" s="230">
        <v>0</v>
      </c>
      <c r="F18" s="230">
        <v>67.599999999999994</v>
      </c>
      <c r="G18" s="230">
        <v>76.17</v>
      </c>
      <c r="H18" s="230">
        <v>86.23</v>
      </c>
      <c r="I18" s="100">
        <f t="shared" si="0"/>
        <v>0.13207299461730337</v>
      </c>
      <c r="J18" s="230">
        <f t="shared" si="1"/>
        <v>10.060000000000002</v>
      </c>
      <c r="K18" s="231">
        <v>0</v>
      </c>
      <c r="L18" s="231">
        <v>50.65</v>
      </c>
      <c r="M18" s="231">
        <v>53.94</v>
      </c>
      <c r="N18" s="231">
        <v>63.78</v>
      </c>
      <c r="O18" s="231">
        <v>72.55</v>
      </c>
      <c r="P18" s="100">
        <f t="shared" si="2"/>
        <v>0.13750391972405129</v>
      </c>
      <c r="Q18" s="230">
        <f t="shared" si="3"/>
        <v>8.769999999999996</v>
      </c>
    </row>
    <row r="19" spans="2:17" x14ac:dyDescent="0.25">
      <c r="B19" s="99" t="s">
        <v>64</v>
      </c>
      <c r="C19" s="230">
        <v>26.27</v>
      </c>
      <c r="D19" s="230">
        <v>0</v>
      </c>
      <c r="E19" s="230">
        <v>0</v>
      </c>
      <c r="F19" s="230">
        <v>41.21</v>
      </c>
      <c r="G19" s="230">
        <v>55.9</v>
      </c>
      <c r="H19" s="230">
        <v>54.89</v>
      </c>
      <c r="I19" s="100">
        <f t="shared" si="0"/>
        <v>-1.8067978533094831E-2</v>
      </c>
      <c r="J19" s="230">
        <f t="shared" si="1"/>
        <v>-1.009999999999998</v>
      </c>
      <c r="K19" s="231">
        <v>0</v>
      </c>
      <c r="L19" s="231">
        <v>36.25</v>
      </c>
      <c r="M19" s="231">
        <v>46.88</v>
      </c>
      <c r="N19" s="231">
        <v>54.78</v>
      </c>
      <c r="O19" s="231">
        <v>47.44</v>
      </c>
      <c r="P19" s="100">
        <f t="shared" si="2"/>
        <v>-0.13399050748448349</v>
      </c>
      <c r="Q19" s="230">
        <f t="shared" si="3"/>
        <v>-7.3400000000000034</v>
      </c>
    </row>
    <row r="20" spans="2:17" x14ac:dyDescent="0.25">
      <c r="B20" s="96" t="s">
        <v>65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  <c r="H20" s="228">
        <v>0</v>
      </c>
      <c r="I20" s="98" t="str">
        <f t="shared" si="0"/>
        <v>-</v>
      </c>
      <c r="J20" s="228">
        <f t="shared" si="1"/>
        <v>0</v>
      </c>
      <c r="K20" s="229" t="s">
        <v>229</v>
      </c>
      <c r="L20" s="229" t="s">
        <v>229</v>
      </c>
      <c r="M20" s="229" t="s">
        <v>229</v>
      </c>
      <c r="N20" s="229" t="s">
        <v>229</v>
      </c>
      <c r="O20" s="229" t="s">
        <v>229</v>
      </c>
      <c r="P20" s="98" t="str">
        <f t="shared" si="2"/>
        <v>-</v>
      </c>
      <c r="Q20" s="228" t="str">
        <f t="shared" si="3"/>
        <v>-</v>
      </c>
    </row>
    <row r="21" spans="2:17" x14ac:dyDescent="0.25">
      <c r="B21" s="93" t="s">
        <v>48</v>
      </c>
      <c r="C21" s="232">
        <v>47.78</v>
      </c>
      <c r="D21" s="232">
        <v>38.090000000000003</v>
      </c>
      <c r="E21" s="232">
        <v>36.92</v>
      </c>
      <c r="F21" s="232">
        <v>53.92</v>
      </c>
      <c r="G21" s="232">
        <v>54.7</v>
      </c>
      <c r="H21" s="232">
        <v>64.64</v>
      </c>
      <c r="I21" s="102">
        <f t="shared" si="0"/>
        <v>0.18171846435100547</v>
      </c>
      <c r="J21" s="232">
        <f t="shared" si="1"/>
        <v>9.9399999999999977</v>
      </c>
      <c r="K21" s="233">
        <v>20.21</v>
      </c>
      <c r="L21" s="233">
        <v>42.36</v>
      </c>
      <c r="M21" s="233">
        <v>34.99</v>
      </c>
      <c r="N21" s="233">
        <v>41.32</v>
      </c>
      <c r="O21" s="233">
        <v>51.65</v>
      </c>
      <c r="P21" s="102">
        <f t="shared" si="2"/>
        <v>0.25</v>
      </c>
      <c r="Q21" s="232">
        <f t="shared" si="3"/>
        <v>10.329999999999998</v>
      </c>
    </row>
    <row r="22" spans="2:17" x14ac:dyDescent="0.25">
      <c r="B22" s="96" t="s">
        <v>62</v>
      </c>
      <c r="C22" s="228">
        <v>47.3</v>
      </c>
      <c r="D22" s="228">
        <v>35.92</v>
      </c>
      <c r="E22" s="228">
        <v>36.92</v>
      </c>
      <c r="F22" s="228">
        <v>53.99</v>
      </c>
      <c r="G22" s="228">
        <v>54.87</v>
      </c>
      <c r="H22" s="228">
        <v>64.8</v>
      </c>
      <c r="I22" s="98">
        <f t="shared" si="0"/>
        <v>0.18097320940404593</v>
      </c>
      <c r="J22" s="228">
        <f t="shared" si="1"/>
        <v>9.93</v>
      </c>
      <c r="K22" s="229">
        <v>20.21</v>
      </c>
      <c r="L22" s="229">
        <v>42.36</v>
      </c>
      <c r="M22" s="229">
        <v>34.99</v>
      </c>
      <c r="N22" s="229">
        <v>41.68</v>
      </c>
      <c r="O22" s="229">
        <v>52.49</v>
      </c>
      <c r="P22" s="98">
        <f t="shared" si="2"/>
        <v>0.25935700575815734</v>
      </c>
      <c r="Q22" s="228">
        <f t="shared" si="3"/>
        <v>10.810000000000002</v>
      </c>
    </row>
    <row r="23" spans="2:17" x14ac:dyDescent="0.25">
      <c r="B23" s="96" t="s">
        <v>65</v>
      </c>
      <c r="C23" s="228">
        <v>51.12</v>
      </c>
      <c r="D23" s="228">
        <v>63.88</v>
      </c>
      <c r="E23" s="228">
        <v>0</v>
      </c>
      <c r="F23" s="228">
        <v>0</v>
      </c>
      <c r="G23" s="228">
        <v>0</v>
      </c>
      <c r="H23" s="228">
        <v>0</v>
      </c>
      <c r="I23" s="98" t="str">
        <f t="shared" si="0"/>
        <v>-</v>
      </c>
      <c r="J23" s="228">
        <f t="shared" si="1"/>
        <v>0</v>
      </c>
      <c r="K23" s="229">
        <v>0</v>
      </c>
      <c r="L23" s="229">
        <v>0</v>
      </c>
      <c r="M23" s="229">
        <v>0</v>
      </c>
      <c r="N23" s="229">
        <v>0</v>
      </c>
      <c r="O23" s="229">
        <v>0</v>
      </c>
      <c r="P23" s="98" t="str">
        <f t="shared" si="2"/>
        <v>-</v>
      </c>
      <c r="Q23" s="228">
        <f t="shared" si="3"/>
        <v>0</v>
      </c>
    </row>
    <row r="24" spans="2:17" x14ac:dyDescent="0.25">
      <c r="B24" s="93" t="s">
        <v>49</v>
      </c>
      <c r="C24" s="232">
        <v>107</v>
      </c>
      <c r="D24" s="232">
        <v>44.86</v>
      </c>
      <c r="E24" s="232">
        <v>46.13</v>
      </c>
      <c r="F24" s="232">
        <v>94.79</v>
      </c>
      <c r="G24" s="232">
        <v>114.31</v>
      </c>
      <c r="H24" s="232">
        <v>127.83</v>
      </c>
      <c r="I24" s="102">
        <f t="shared" si="0"/>
        <v>0.11827486659084951</v>
      </c>
      <c r="J24" s="232">
        <f t="shared" si="1"/>
        <v>13.519999999999996</v>
      </c>
      <c r="K24" s="233">
        <v>17.010000000000002</v>
      </c>
      <c r="L24" s="233">
        <v>98.01</v>
      </c>
      <c r="M24" s="233">
        <v>109.27</v>
      </c>
      <c r="N24" s="233">
        <v>69.959999999999994</v>
      </c>
      <c r="O24" s="233">
        <v>116.22</v>
      </c>
      <c r="P24" s="102">
        <f t="shared" si="2"/>
        <v>0.66123499142367081</v>
      </c>
      <c r="Q24" s="232">
        <f t="shared" si="3"/>
        <v>46.260000000000005</v>
      </c>
    </row>
    <row r="25" spans="2:17" x14ac:dyDescent="0.25">
      <c r="B25" s="96" t="s">
        <v>62</v>
      </c>
      <c r="C25" s="228">
        <v>107.84</v>
      </c>
      <c r="D25" s="228">
        <v>55.84</v>
      </c>
      <c r="E25" s="228">
        <v>48.11</v>
      </c>
      <c r="F25" s="228">
        <v>95.49</v>
      </c>
      <c r="G25" s="228">
        <v>114.77</v>
      </c>
      <c r="H25" s="228">
        <v>128.08000000000001</v>
      </c>
      <c r="I25" s="98">
        <f t="shared" si="0"/>
        <v>0.11597107257994255</v>
      </c>
      <c r="J25" s="228">
        <f t="shared" si="1"/>
        <v>13.310000000000016</v>
      </c>
      <c r="K25" s="229">
        <v>17.64</v>
      </c>
      <c r="L25" s="229">
        <v>104.15</v>
      </c>
      <c r="M25" s="229">
        <v>114.99</v>
      </c>
      <c r="N25" s="229">
        <v>69.959999999999994</v>
      </c>
      <c r="O25" s="229">
        <v>116.73</v>
      </c>
      <c r="P25" s="98">
        <f t="shared" si="2"/>
        <v>0.66852487135506022</v>
      </c>
      <c r="Q25" s="228">
        <f t="shared" si="3"/>
        <v>46.77000000000001</v>
      </c>
    </row>
    <row r="26" spans="2:17" x14ac:dyDescent="0.25">
      <c r="B26" s="99" t="s">
        <v>63</v>
      </c>
      <c r="C26" s="230">
        <v>117.01</v>
      </c>
      <c r="D26" s="230">
        <v>0</v>
      </c>
      <c r="E26" s="230">
        <v>0</v>
      </c>
      <c r="F26" s="230">
        <v>0</v>
      </c>
      <c r="G26" s="230">
        <v>0</v>
      </c>
      <c r="H26" s="230">
        <v>0</v>
      </c>
      <c r="I26" s="100" t="str">
        <f t="shared" si="0"/>
        <v>-</v>
      </c>
      <c r="J26" s="230">
        <f t="shared" si="1"/>
        <v>0</v>
      </c>
      <c r="K26" s="231">
        <v>17.64</v>
      </c>
      <c r="L26" s="231">
        <v>0</v>
      </c>
      <c r="M26" s="231">
        <v>114.99</v>
      </c>
      <c r="N26" s="231">
        <v>0</v>
      </c>
      <c r="O26" s="231">
        <v>0</v>
      </c>
      <c r="P26" s="100" t="str">
        <f t="shared" si="2"/>
        <v>-</v>
      </c>
      <c r="Q26" s="230">
        <f t="shared" si="3"/>
        <v>0</v>
      </c>
    </row>
    <row r="27" spans="2:17" x14ac:dyDescent="0.25">
      <c r="B27" s="99" t="s">
        <v>64</v>
      </c>
      <c r="C27" s="230">
        <v>30.06</v>
      </c>
      <c r="D27" s="230">
        <v>0</v>
      </c>
      <c r="E27" s="230">
        <v>0</v>
      </c>
      <c r="F27" s="230">
        <v>0</v>
      </c>
      <c r="G27" s="230">
        <v>0</v>
      </c>
      <c r="H27" s="230">
        <v>0</v>
      </c>
      <c r="I27" s="100" t="str">
        <f t="shared" si="0"/>
        <v>-</v>
      </c>
      <c r="J27" s="230">
        <f t="shared" si="1"/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100" t="str">
        <f t="shared" si="2"/>
        <v>-</v>
      </c>
      <c r="Q27" s="230">
        <f t="shared" si="3"/>
        <v>0</v>
      </c>
    </row>
    <row r="28" spans="2:17" x14ac:dyDescent="0.25">
      <c r="B28" s="93" t="s">
        <v>50</v>
      </c>
      <c r="C28" s="232">
        <v>41.28</v>
      </c>
      <c r="D28" s="232">
        <v>28.76</v>
      </c>
      <c r="E28" s="232">
        <v>28.24</v>
      </c>
      <c r="F28" s="232">
        <v>42.01</v>
      </c>
      <c r="G28" s="232">
        <v>51.99</v>
      </c>
      <c r="H28" s="232">
        <v>61.31</v>
      </c>
      <c r="I28" s="102">
        <f t="shared" si="0"/>
        <v>0.17926524331602223</v>
      </c>
      <c r="J28" s="232">
        <f t="shared" si="1"/>
        <v>9.32</v>
      </c>
      <c r="K28" s="233">
        <v>15.57</v>
      </c>
      <c r="L28" s="233">
        <v>34.96</v>
      </c>
      <c r="M28" s="233">
        <v>40.57</v>
      </c>
      <c r="N28" s="233">
        <v>48.53</v>
      </c>
      <c r="O28" s="233">
        <v>54.3</v>
      </c>
      <c r="P28" s="102">
        <f t="shared" si="2"/>
        <v>0.11889552853904783</v>
      </c>
      <c r="Q28" s="232">
        <f t="shared" si="3"/>
        <v>5.769999999999996</v>
      </c>
    </row>
    <row r="29" spans="2:17" x14ac:dyDescent="0.25">
      <c r="B29" s="96" t="s">
        <v>62</v>
      </c>
      <c r="C29" s="228">
        <v>43.36</v>
      </c>
      <c r="D29" s="228">
        <v>30.7</v>
      </c>
      <c r="E29" s="228">
        <v>30.01</v>
      </c>
      <c r="F29" s="228">
        <v>44.97</v>
      </c>
      <c r="G29" s="228">
        <v>55.89</v>
      </c>
      <c r="H29" s="228">
        <v>65.510000000000005</v>
      </c>
      <c r="I29" s="98">
        <f t="shared" si="0"/>
        <v>0.1721238146358921</v>
      </c>
      <c r="J29" s="228">
        <f t="shared" si="1"/>
        <v>9.6200000000000045</v>
      </c>
      <c r="K29" s="229">
        <v>15.74</v>
      </c>
      <c r="L29" s="229">
        <v>38.04</v>
      </c>
      <c r="M29" s="229">
        <v>44.56</v>
      </c>
      <c r="N29" s="229">
        <v>52.51</v>
      </c>
      <c r="O29" s="229">
        <v>58.48</v>
      </c>
      <c r="P29" s="98">
        <f t="shared" si="2"/>
        <v>0.11369262997524276</v>
      </c>
      <c r="Q29" s="228">
        <f t="shared" si="3"/>
        <v>5.9699999999999989</v>
      </c>
    </row>
    <row r="30" spans="2:17" x14ac:dyDescent="0.25">
      <c r="B30" s="99" t="s">
        <v>63</v>
      </c>
      <c r="C30" s="230">
        <v>46.92</v>
      </c>
      <c r="D30" s="230">
        <v>32.35</v>
      </c>
      <c r="E30" s="230">
        <v>31.51</v>
      </c>
      <c r="F30" s="230">
        <v>47.15</v>
      </c>
      <c r="G30" s="230">
        <v>58.46</v>
      </c>
      <c r="H30" s="230">
        <v>68.099999999999994</v>
      </c>
      <c r="I30" s="100">
        <f t="shared" si="0"/>
        <v>0.16489907629148126</v>
      </c>
      <c r="J30" s="230">
        <f t="shared" si="1"/>
        <v>9.6399999999999935</v>
      </c>
      <c r="K30" s="231">
        <v>15.72</v>
      </c>
      <c r="L30" s="231">
        <v>40.26</v>
      </c>
      <c r="M30" s="231">
        <v>46.98</v>
      </c>
      <c r="N30" s="231">
        <v>54.79</v>
      </c>
      <c r="O30" s="231">
        <v>61.65</v>
      </c>
      <c r="P30" s="100">
        <f t="shared" si="2"/>
        <v>0.12520532943967866</v>
      </c>
      <c r="Q30" s="230">
        <f t="shared" si="3"/>
        <v>6.8599999999999994</v>
      </c>
    </row>
    <row r="31" spans="2:17" x14ac:dyDescent="0.25">
      <c r="B31" s="99" t="s">
        <v>64</v>
      </c>
      <c r="C31" s="230">
        <v>28.87</v>
      </c>
      <c r="D31" s="230">
        <v>22.76</v>
      </c>
      <c r="E31" s="230">
        <v>23.58</v>
      </c>
      <c r="F31" s="230">
        <v>31.76</v>
      </c>
      <c r="G31" s="230">
        <v>39.42</v>
      </c>
      <c r="H31" s="230">
        <v>48.3</v>
      </c>
      <c r="I31" s="100">
        <f t="shared" si="0"/>
        <v>0.22526636225266339</v>
      </c>
      <c r="J31" s="230">
        <f t="shared" si="1"/>
        <v>8.8799999999999955</v>
      </c>
      <c r="K31" s="231">
        <v>15.85</v>
      </c>
      <c r="L31" s="231">
        <v>23.07</v>
      </c>
      <c r="M31" s="231">
        <v>29.89</v>
      </c>
      <c r="N31" s="231">
        <v>37.17</v>
      </c>
      <c r="O31" s="231">
        <v>38.270000000000003</v>
      </c>
      <c r="P31" s="100">
        <f t="shared" si="2"/>
        <v>2.9593758407317816E-2</v>
      </c>
      <c r="Q31" s="230">
        <f t="shared" si="3"/>
        <v>1.1000000000000014</v>
      </c>
    </row>
    <row r="32" spans="2:17" x14ac:dyDescent="0.25">
      <c r="B32" s="96" t="s">
        <v>65</v>
      </c>
      <c r="C32" s="228">
        <v>33.409999999999997</v>
      </c>
      <c r="D32" s="228">
        <v>23.06</v>
      </c>
      <c r="E32" s="228">
        <v>22.18</v>
      </c>
      <c r="F32" s="228">
        <v>30.16</v>
      </c>
      <c r="G32" s="228">
        <v>36.21</v>
      </c>
      <c r="H32" s="228">
        <v>43.56</v>
      </c>
      <c r="I32" s="98">
        <f t="shared" si="0"/>
        <v>0.20298260149130076</v>
      </c>
      <c r="J32" s="228">
        <f t="shared" si="1"/>
        <v>7.3500000000000014</v>
      </c>
      <c r="K32" s="229">
        <v>15.07</v>
      </c>
      <c r="L32" s="229">
        <v>22.05</v>
      </c>
      <c r="M32" s="229">
        <v>24.99</v>
      </c>
      <c r="N32" s="229">
        <v>31.59</v>
      </c>
      <c r="O32" s="229">
        <v>37.270000000000003</v>
      </c>
      <c r="P32" s="98">
        <f t="shared" si="2"/>
        <v>0.17980373535929095</v>
      </c>
      <c r="Q32" s="228">
        <f t="shared" si="3"/>
        <v>5.6800000000000033</v>
      </c>
    </row>
    <row r="33" spans="2:17" x14ac:dyDescent="0.25">
      <c r="B33" s="93" t="s">
        <v>51</v>
      </c>
      <c r="C33" s="232">
        <v>51.62</v>
      </c>
      <c r="D33" s="232">
        <v>49.1</v>
      </c>
      <c r="E33" s="232">
        <v>45.63</v>
      </c>
      <c r="F33" s="232">
        <v>64.64</v>
      </c>
      <c r="G33" s="232">
        <v>73.62</v>
      </c>
      <c r="H33" s="232">
        <v>81.849999999999994</v>
      </c>
      <c r="I33" s="102">
        <f t="shared" si="0"/>
        <v>0.11179027438196121</v>
      </c>
      <c r="J33" s="232">
        <f t="shared" si="1"/>
        <v>8.2299999999999898</v>
      </c>
      <c r="K33" s="233">
        <v>39.54</v>
      </c>
      <c r="L33" s="233">
        <v>48.82</v>
      </c>
      <c r="M33" s="233">
        <v>53.04</v>
      </c>
      <c r="N33" s="233">
        <v>62.53</v>
      </c>
      <c r="O33" s="233">
        <v>69.05</v>
      </c>
      <c r="P33" s="102">
        <f t="shared" si="2"/>
        <v>0.1042699504237965</v>
      </c>
      <c r="Q33" s="232">
        <f t="shared" si="3"/>
        <v>6.519999999999996</v>
      </c>
    </row>
    <row r="34" spans="2:17" x14ac:dyDescent="0.25">
      <c r="B34" s="96" t="s">
        <v>62</v>
      </c>
      <c r="C34" s="228">
        <v>51.62</v>
      </c>
      <c r="D34" s="228">
        <v>49.1</v>
      </c>
      <c r="E34" s="228">
        <v>45.63</v>
      </c>
      <c r="F34" s="228">
        <v>64.64</v>
      </c>
      <c r="G34" s="228">
        <v>73.62</v>
      </c>
      <c r="H34" s="228">
        <v>81.849999999999994</v>
      </c>
      <c r="I34" s="98">
        <f t="shared" si="0"/>
        <v>0.11179027438196121</v>
      </c>
      <c r="J34" s="228">
        <f t="shared" si="1"/>
        <v>8.2299999999999898</v>
      </c>
      <c r="K34" s="229">
        <v>39.54</v>
      </c>
      <c r="L34" s="229">
        <v>48.82</v>
      </c>
      <c r="M34" s="229">
        <v>53.04</v>
      </c>
      <c r="N34" s="229">
        <v>62.53</v>
      </c>
      <c r="O34" s="229">
        <v>69.05</v>
      </c>
      <c r="P34" s="98">
        <f t="shared" si="2"/>
        <v>0.1042699504237965</v>
      </c>
      <c r="Q34" s="228">
        <f t="shared" si="3"/>
        <v>6.519999999999996</v>
      </c>
    </row>
    <row r="35" spans="2:17" x14ac:dyDescent="0.25">
      <c r="B35" s="93" t="s">
        <v>52</v>
      </c>
      <c r="C35" s="232">
        <v>67.78</v>
      </c>
      <c r="D35" s="232">
        <v>64.31</v>
      </c>
      <c r="E35" s="232">
        <v>82.55</v>
      </c>
      <c r="F35" s="232">
        <v>96.71</v>
      </c>
      <c r="G35" s="232">
        <v>122.12</v>
      </c>
      <c r="H35" s="232">
        <v>143.97</v>
      </c>
      <c r="I35" s="102">
        <f t="shared" si="0"/>
        <v>0.17892237143792977</v>
      </c>
      <c r="J35" s="232">
        <f t="shared" si="1"/>
        <v>21.849999999999994</v>
      </c>
      <c r="K35" s="233">
        <v>84.99</v>
      </c>
      <c r="L35" s="233">
        <v>77.760000000000005</v>
      </c>
      <c r="M35" s="233">
        <v>108.27</v>
      </c>
      <c r="N35" s="233">
        <v>125.61</v>
      </c>
      <c r="O35" s="233">
        <v>143.46</v>
      </c>
      <c r="P35" s="102">
        <f t="shared" si="2"/>
        <v>0.14210652018151437</v>
      </c>
      <c r="Q35" s="232">
        <f t="shared" si="3"/>
        <v>17.850000000000009</v>
      </c>
    </row>
    <row r="36" spans="2:17" x14ac:dyDescent="0.25">
      <c r="B36" s="96" t="s">
        <v>62</v>
      </c>
      <c r="C36" s="228">
        <v>88.08</v>
      </c>
      <c r="D36" s="228">
        <v>75.77</v>
      </c>
      <c r="E36" s="228">
        <v>86.58</v>
      </c>
      <c r="F36" s="228">
        <v>103.27</v>
      </c>
      <c r="G36" s="228">
        <v>127.65</v>
      </c>
      <c r="H36" s="228">
        <v>152.83000000000001</v>
      </c>
      <c r="I36" s="98">
        <f t="shared" si="0"/>
        <v>0.1972581276929104</v>
      </c>
      <c r="J36" s="228">
        <f t="shared" si="1"/>
        <v>25.180000000000007</v>
      </c>
      <c r="K36" s="229">
        <v>90.54</v>
      </c>
      <c r="L36" s="229">
        <v>86.43</v>
      </c>
      <c r="M36" s="229">
        <v>113.11</v>
      </c>
      <c r="N36" s="229">
        <v>126.99</v>
      </c>
      <c r="O36" s="229">
        <v>151.96</v>
      </c>
      <c r="P36" s="98">
        <f t="shared" si="2"/>
        <v>0.19662965587841574</v>
      </c>
      <c r="Q36" s="228">
        <f t="shared" si="3"/>
        <v>24.970000000000013</v>
      </c>
    </row>
    <row r="37" spans="2:17" x14ac:dyDescent="0.25">
      <c r="B37" s="96" t="s">
        <v>65</v>
      </c>
      <c r="C37" s="228">
        <v>45.47</v>
      </c>
      <c r="D37" s="228">
        <v>30.29</v>
      </c>
      <c r="E37" s="228">
        <v>48.86</v>
      </c>
      <c r="F37" s="228">
        <v>61.39</v>
      </c>
      <c r="G37" s="228">
        <v>90.45</v>
      </c>
      <c r="H37" s="228">
        <v>93.94</v>
      </c>
      <c r="I37" s="98">
        <f t="shared" si="0"/>
        <v>3.8584853510226669E-2</v>
      </c>
      <c r="J37" s="228">
        <f t="shared" si="1"/>
        <v>3.4899999999999949</v>
      </c>
      <c r="K37" s="229">
        <v>9.3800000000000008</v>
      </c>
      <c r="L37" s="229">
        <v>37.409999999999997</v>
      </c>
      <c r="M37" s="229">
        <v>80.63</v>
      </c>
      <c r="N37" s="229">
        <v>117.82</v>
      </c>
      <c r="O37" s="229">
        <v>98.83</v>
      </c>
      <c r="P37" s="98">
        <f t="shared" si="2"/>
        <v>-0.16117806823968761</v>
      </c>
      <c r="Q37" s="228">
        <f t="shared" si="3"/>
        <v>-18.989999999999995</v>
      </c>
    </row>
    <row r="38" spans="2:17" x14ac:dyDescent="0.25">
      <c r="B38" s="93" t="s">
        <v>53</v>
      </c>
      <c r="C38" s="232">
        <v>43.26</v>
      </c>
      <c r="D38" s="232">
        <v>33.54</v>
      </c>
      <c r="E38" s="232">
        <v>37.840000000000003</v>
      </c>
      <c r="F38" s="232">
        <v>53.16</v>
      </c>
      <c r="G38" s="232">
        <v>62.05</v>
      </c>
      <c r="H38" s="232">
        <v>69.75</v>
      </c>
      <c r="I38" s="102">
        <f t="shared" si="0"/>
        <v>0.12409347300564066</v>
      </c>
      <c r="J38" s="232">
        <f t="shared" si="1"/>
        <v>7.7000000000000028</v>
      </c>
      <c r="K38" s="233">
        <v>30.69</v>
      </c>
      <c r="L38" s="233">
        <v>49.26</v>
      </c>
      <c r="M38" s="233">
        <v>47.49</v>
      </c>
      <c r="N38" s="233">
        <v>55.64</v>
      </c>
      <c r="O38" s="233">
        <v>58.22</v>
      </c>
      <c r="P38" s="102">
        <f t="shared" si="2"/>
        <v>4.6369518332135096E-2</v>
      </c>
      <c r="Q38" s="232">
        <f t="shared" si="3"/>
        <v>2.5799999999999983</v>
      </c>
    </row>
    <row r="39" spans="2:17" x14ac:dyDescent="0.25">
      <c r="B39" s="96" t="s">
        <v>62</v>
      </c>
      <c r="C39" s="228">
        <v>43.26</v>
      </c>
      <c r="D39" s="228">
        <v>33.54</v>
      </c>
      <c r="E39" s="228">
        <v>37.840000000000003</v>
      </c>
      <c r="F39" s="228">
        <v>53.16</v>
      </c>
      <c r="G39" s="228">
        <v>62.05</v>
      </c>
      <c r="H39" s="228">
        <v>69.75</v>
      </c>
      <c r="I39" s="98">
        <f t="shared" si="0"/>
        <v>0.12409347300564066</v>
      </c>
      <c r="J39" s="228">
        <f t="shared" si="1"/>
        <v>7.7000000000000028</v>
      </c>
      <c r="K39" s="229">
        <v>30.69</v>
      </c>
      <c r="L39" s="229">
        <v>49.26</v>
      </c>
      <c r="M39" s="229">
        <v>47.49</v>
      </c>
      <c r="N39" s="229">
        <v>55.64</v>
      </c>
      <c r="O39" s="229">
        <v>58.22</v>
      </c>
      <c r="P39" s="98">
        <f t="shared" si="2"/>
        <v>4.6369518332135096E-2</v>
      </c>
      <c r="Q39" s="228">
        <f t="shared" si="3"/>
        <v>2.5799999999999983</v>
      </c>
    </row>
    <row r="40" spans="2:17" x14ac:dyDescent="0.25">
      <c r="B40" s="99" t="s">
        <v>63</v>
      </c>
      <c r="C40" s="230">
        <v>56.68</v>
      </c>
      <c r="D40" s="230">
        <v>39.090000000000003</v>
      </c>
      <c r="E40" s="230">
        <v>40.1</v>
      </c>
      <c r="F40" s="230">
        <v>62.85</v>
      </c>
      <c r="G40" s="230">
        <v>73.61</v>
      </c>
      <c r="H40" s="230">
        <v>84.16</v>
      </c>
      <c r="I40" s="100">
        <f t="shared" si="0"/>
        <v>0.14332291808178232</v>
      </c>
      <c r="J40" s="230">
        <f t="shared" si="1"/>
        <v>10.549999999999997</v>
      </c>
      <c r="K40" s="231">
        <v>30.02</v>
      </c>
      <c r="L40" s="231">
        <v>57.95</v>
      </c>
      <c r="M40" s="231">
        <v>54.34</v>
      </c>
      <c r="N40" s="231">
        <v>66.349999999999994</v>
      </c>
      <c r="O40" s="231">
        <v>68.38</v>
      </c>
      <c r="P40" s="100">
        <f t="shared" si="2"/>
        <v>3.0595327807083628E-2</v>
      </c>
      <c r="Q40" s="230">
        <f t="shared" si="3"/>
        <v>2.0300000000000011</v>
      </c>
    </row>
    <row r="41" spans="2:17" x14ac:dyDescent="0.25">
      <c r="B41" s="99" t="s">
        <v>64</v>
      </c>
      <c r="C41" s="230">
        <v>31.7</v>
      </c>
      <c r="D41" s="230">
        <v>27.82</v>
      </c>
      <c r="E41" s="230">
        <v>34.1</v>
      </c>
      <c r="F41" s="230">
        <v>40.229999999999997</v>
      </c>
      <c r="G41" s="230">
        <v>47.48</v>
      </c>
      <c r="H41" s="230">
        <v>49.35</v>
      </c>
      <c r="I41" s="100">
        <f t="shared" si="0"/>
        <v>3.9385004212300068E-2</v>
      </c>
      <c r="J41" s="230">
        <f t="shared" si="1"/>
        <v>1.8700000000000045</v>
      </c>
      <c r="K41" s="231">
        <v>31.95</v>
      </c>
      <c r="L41" s="231">
        <v>37.76</v>
      </c>
      <c r="M41" s="231">
        <v>38.54</v>
      </c>
      <c r="N41" s="231">
        <v>41.9</v>
      </c>
      <c r="O41" s="231">
        <v>39.71</v>
      </c>
      <c r="P41" s="100">
        <f t="shared" si="2"/>
        <v>-5.2267303102625284E-2</v>
      </c>
      <c r="Q41" s="230">
        <f t="shared" si="3"/>
        <v>-2.1899999999999977</v>
      </c>
    </row>
    <row r="42" spans="2:17" x14ac:dyDescent="0.25">
      <c r="B42" s="93" t="s">
        <v>54</v>
      </c>
      <c r="C42" s="232">
        <v>71.48</v>
      </c>
      <c r="D42" s="232">
        <v>50.94</v>
      </c>
      <c r="E42" s="232">
        <v>53.72</v>
      </c>
      <c r="F42" s="232">
        <v>88.72</v>
      </c>
      <c r="G42" s="232">
        <v>108.87</v>
      </c>
      <c r="H42" s="232">
        <v>119.53</v>
      </c>
      <c r="I42" s="102">
        <f t="shared" si="0"/>
        <v>9.791494442913562E-2</v>
      </c>
      <c r="J42" s="232">
        <f t="shared" si="1"/>
        <v>10.659999999999997</v>
      </c>
      <c r="K42" s="233">
        <v>21.53</v>
      </c>
      <c r="L42" s="233">
        <v>80.959999999999994</v>
      </c>
      <c r="M42" s="233">
        <v>94.72</v>
      </c>
      <c r="N42" s="233">
        <v>108.17</v>
      </c>
      <c r="O42" s="233">
        <v>89.24</v>
      </c>
      <c r="P42" s="102">
        <f t="shared" si="2"/>
        <v>-0.17500231117685128</v>
      </c>
      <c r="Q42" s="232">
        <f t="shared" si="3"/>
        <v>-18.930000000000007</v>
      </c>
    </row>
    <row r="43" spans="2:17" x14ac:dyDescent="0.25">
      <c r="B43" s="96" t="s">
        <v>62</v>
      </c>
      <c r="C43" s="228">
        <v>77.83</v>
      </c>
      <c r="D43" s="228">
        <v>56.41</v>
      </c>
      <c r="E43" s="228">
        <v>62.75</v>
      </c>
      <c r="F43" s="228">
        <v>96.52</v>
      </c>
      <c r="G43" s="228">
        <v>119.31</v>
      </c>
      <c r="H43" s="228">
        <v>129.19999999999999</v>
      </c>
      <c r="I43" s="98">
        <f t="shared" si="0"/>
        <v>8.2893303159835563E-2</v>
      </c>
      <c r="J43" s="228">
        <f t="shared" si="1"/>
        <v>9.8899999999999864</v>
      </c>
      <c r="K43" s="229">
        <v>27.05</v>
      </c>
      <c r="L43" s="229">
        <v>88.63</v>
      </c>
      <c r="M43" s="229">
        <v>107.53</v>
      </c>
      <c r="N43" s="229">
        <v>121.37</v>
      </c>
      <c r="O43" s="229">
        <v>98.02</v>
      </c>
      <c r="P43" s="98">
        <f t="shared" si="2"/>
        <v>-0.19238691604185554</v>
      </c>
      <c r="Q43" s="228">
        <f t="shared" si="3"/>
        <v>-23.350000000000009</v>
      </c>
    </row>
    <row r="44" spans="2:17" x14ac:dyDescent="0.25">
      <c r="B44" s="99" t="s">
        <v>63</v>
      </c>
      <c r="C44" s="230">
        <v>81.78</v>
      </c>
      <c r="D44" s="230">
        <v>0</v>
      </c>
      <c r="E44" s="230">
        <v>65.540000000000006</v>
      </c>
      <c r="F44" s="230">
        <v>100.75</v>
      </c>
      <c r="G44" s="230">
        <v>126.98</v>
      </c>
      <c r="H44" s="230">
        <v>135.56</v>
      </c>
      <c r="I44" s="100">
        <f t="shared" si="0"/>
        <v>6.7569696015120417E-2</v>
      </c>
      <c r="J44" s="230">
        <f t="shared" si="1"/>
        <v>8.5799999999999983</v>
      </c>
      <c r="K44" s="231">
        <v>0</v>
      </c>
      <c r="L44" s="231">
        <v>90.92</v>
      </c>
      <c r="M44" s="231">
        <v>112.44</v>
      </c>
      <c r="N44" s="231">
        <v>124.07</v>
      </c>
      <c r="O44" s="231">
        <v>97.06</v>
      </c>
      <c r="P44" s="100">
        <f t="shared" si="2"/>
        <v>-0.21769968566132014</v>
      </c>
      <c r="Q44" s="230">
        <f t="shared" si="3"/>
        <v>-27.009999999999991</v>
      </c>
    </row>
    <row r="45" spans="2:17" x14ac:dyDescent="0.25">
      <c r="B45" s="99" t="s">
        <v>64</v>
      </c>
      <c r="C45" s="230">
        <v>62.86</v>
      </c>
      <c r="D45" s="230">
        <v>0</v>
      </c>
      <c r="E45" s="230">
        <v>51.57</v>
      </c>
      <c r="F45" s="230">
        <v>79.3</v>
      </c>
      <c r="G45" s="230">
        <v>88.65</v>
      </c>
      <c r="H45" s="230">
        <v>103.35</v>
      </c>
      <c r="I45" s="100">
        <f t="shared" si="0"/>
        <v>0.16582064297800314</v>
      </c>
      <c r="J45" s="230">
        <f t="shared" si="1"/>
        <v>14.699999999999989</v>
      </c>
      <c r="K45" s="231">
        <v>0</v>
      </c>
      <c r="L45" s="231">
        <v>79.31</v>
      </c>
      <c r="M45" s="231">
        <v>88.84</v>
      </c>
      <c r="N45" s="231">
        <v>110.39</v>
      </c>
      <c r="O45" s="231">
        <v>101.91</v>
      </c>
      <c r="P45" s="100">
        <f t="shared" si="2"/>
        <v>-7.6818552405109153E-2</v>
      </c>
      <c r="Q45" s="230">
        <f t="shared" si="3"/>
        <v>-8.480000000000004</v>
      </c>
    </row>
    <row r="46" spans="2:17" x14ac:dyDescent="0.25">
      <c r="B46" s="96" t="s">
        <v>65</v>
      </c>
      <c r="C46" s="228">
        <v>50.93</v>
      </c>
      <c r="D46" s="228">
        <v>31.82</v>
      </c>
      <c r="E46" s="228">
        <v>24.11</v>
      </c>
      <c r="F46" s="228">
        <v>48.07</v>
      </c>
      <c r="G46" s="228">
        <v>55.12</v>
      </c>
      <c r="H46" s="228">
        <v>69.489999999999995</v>
      </c>
      <c r="I46" s="98">
        <f t="shared" si="0"/>
        <v>0.26070391872278664</v>
      </c>
      <c r="J46" s="228">
        <f t="shared" si="1"/>
        <v>14.369999999999997</v>
      </c>
      <c r="K46" s="229">
        <v>10.89</v>
      </c>
      <c r="L46" s="229">
        <v>41</v>
      </c>
      <c r="M46" s="229">
        <v>31.29</v>
      </c>
      <c r="N46" s="229">
        <v>39.33</v>
      </c>
      <c r="O46" s="229">
        <v>45.38</v>
      </c>
      <c r="P46" s="98">
        <f t="shared" si="2"/>
        <v>0.15382659547419286</v>
      </c>
      <c r="Q46" s="228">
        <f t="shared" si="3"/>
        <v>6.0500000000000043</v>
      </c>
    </row>
    <row r="47" spans="2:17" x14ac:dyDescent="0.25">
      <c r="B47" s="93" t="s">
        <v>55</v>
      </c>
      <c r="C47" s="232">
        <v>39.85</v>
      </c>
      <c r="D47" s="232">
        <v>22.7</v>
      </c>
      <c r="E47" s="232">
        <v>29.35</v>
      </c>
      <c r="F47" s="232">
        <v>43.18</v>
      </c>
      <c r="G47" s="232">
        <v>54</v>
      </c>
      <c r="H47" s="232">
        <v>56.57</v>
      </c>
      <c r="I47" s="102">
        <f t="shared" si="0"/>
        <v>4.7592592592592631E-2</v>
      </c>
      <c r="J47" s="232">
        <f t="shared" si="1"/>
        <v>2.5700000000000003</v>
      </c>
      <c r="K47" s="233">
        <v>21.29</v>
      </c>
      <c r="L47" s="233">
        <v>32.770000000000003</v>
      </c>
      <c r="M47" s="233">
        <v>35.520000000000003</v>
      </c>
      <c r="N47" s="233">
        <v>33.979999999999997</v>
      </c>
      <c r="O47" s="233">
        <v>36.26</v>
      </c>
      <c r="P47" s="102">
        <f t="shared" si="2"/>
        <v>6.7098293113596164E-2</v>
      </c>
      <c r="Q47" s="232">
        <f t="shared" si="3"/>
        <v>2.2800000000000011</v>
      </c>
    </row>
    <row r="48" spans="2:17" x14ac:dyDescent="0.25">
      <c r="B48" s="96" t="s">
        <v>62</v>
      </c>
      <c r="C48" s="228">
        <v>40.090000000000003</v>
      </c>
      <c r="D48" s="228">
        <v>22.26</v>
      </c>
      <c r="E48" s="228">
        <v>29.29</v>
      </c>
      <c r="F48" s="228">
        <v>43.74</v>
      </c>
      <c r="G48" s="228">
        <v>54.6</v>
      </c>
      <c r="H48" s="228">
        <v>58.13</v>
      </c>
      <c r="I48" s="98">
        <f t="shared" si="0"/>
        <v>6.4652014652014644E-2</v>
      </c>
      <c r="J48" s="228">
        <f t="shared" si="1"/>
        <v>3.5300000000000011</v>
      </c>
      <c r="K48" s="229">
        <v>21.34</v>
      </c>
      <c r="L48" s="229">
        <v>33.15</v>
      </c>
      <c r="M48" s="229">
        <v>35.619999999999997</v>
      </c>
      <c r="N48" s="229">
        <v>34.44</v>
      </c>
      <c r="O48" s="229">
        <v>36.79</v>
      </c>
      <c r="P48" s="98">
        <f t="shared" si="2"/>
        <v>6.8234610917537797E-2</v>
      </c>
      <c r="Q48" s="228">
        <f t="shared" si="3"/>
        <v>2.3500000000000014</v>
      </c>
    </row>
    <row r="49" spans="2:17" x14ac:dyDescent="0.25">
      <c r="B49" s="99" t="s">
        <v>63</v>
      </c>
      <c r="C49" s="230">
        <v>43.4</v>
      </c>
      <c r="D49" s="230">
        <v>22.57</v>
      </c>
      <c r="E49" s="230">
        <v>31.13</v>
      </c>
      <c r="F49" s="230">
        <v>47.77</v>
      </c>
      <c r="G49" s="230">
        <v>59.8</v>
      </c>
      <c r="H49" s="230">
        <v>61.8</v>
      </c>
      <c r="I49" s="100">
        <f t="shared" si="0"/>
        <v>3.3444816053511683E-2</v>
      </c>
      <c r="J49" s="230">
        <f t="shared" si="1"/>
        <v>2</v>
      </c>
      <c r="K49" s="231">
        <v>24.57</v>
      </c>
      <c r="L49" s="231">
        <v>33.99</v>
      </c>
      <c r="M49" s="231">
        <v>37.82</v>
      </c>
      <c r="N49" s="231">
        <v>36.47</v>
      </c>
      <c r="O49" s="231">
        <v>37.270000000000003</v>
      </c>
      <c r="P49" s="100">
        <f t="shared" si="2"/>
        <v>2.193583767480134E-2</v>
      </c>
      <c r="Q49" s="230">
        <f t="shared" si="3"/>
        <v>0.80000000000000426</v>
      </c>
    </row>
    <row r="50" spans="2:17" x14ac:dyDescent="0.25">
      <c r="B50" s="99" t="s">
        <v>64</v>
      </c>
      <c r="C50" s="230">
        <v>28.7</v>
      </c>
      <c r="D50" s="230">
        <v>21.23</v>
      </c>
      <c r="E50" s="230">
        <v>23.12</v>
      </c>
      <c r="F50" s="230">
        <v>33.61</v>
      </c>
      <c r="G50" s="230">
        <v>39.770000000000003</v>
      </c>
      <c r="H50" s="230">
        <v>48.41</v>
      </c>
      <c r="I50" s="100">
        <f t="shared" si="0"/>
        <v>0.21724918280110628</v>
      </c>
      <c r="J50" s="230">
        <f t="shared" si="1"/>
        <v>8.6399999999999935</v>
      </c>
      <c r="K50" s="231">
        <v>10.82</v>
      </c>
      <c r="L50" s="231">
        <v>31.23</v>
      </c>
      <c r="M50" s="231">
        <v>29.49</v>
      </c>
      <c r="N50" s="231">
        <v>28.92</v>
      </c>
      <c r="O50" s="231">
        <v>35.53</v>
      </c>
      <c r="P50" s="100">
        <f t="shared" si="2"/>
        <v>0.22856154910096826</v>
      </c>
      <c r="Q50" s="230">
        <f t="shared" si="3"/>
        <v>6.6099999999999994</v>
      </c>
    </row>
    <row r="51" spans="2:17" x14ac:dyDescent="0.25">
      <c r="B51" s="96" t="s">
        <v>65</v>
      </c>
      <c r="C51" s="228">
        <v>35.76</v>
      </c>
      <c r="D51" s="228">
        <v>16.5</v>
      </c>
      <c r="E51" s="228">
        <v>23.32</v>
      </c>
      <c r="F51" s="228">
        <v>71.760000000000005</v>
      </c>
      <c r="G51" s="228">
        <v>82.76</v>
      </c>
      <c r="H51" s="228">
        <v>68.41</v>
      </c>
      <c r="I51" s="98">
        <f t="shared" si="0"/>
        <v>-0.17339294345094258</v>
      </c>
      <c r="J51" s="228">
        <f t="shared" si="1"/>
        <v>-14.350000000000009</v>
      </c>
      <c r="K51" s="229">
        <v>12.62</v>
      </c>
      <c r="L51" s="229">
        <v>33.69</v>
      </c>
      <c r="M51" s="229">
        <v>47.08</v>
      </c>
      <c r="N51" s="229">
        <v>30.42</v>
      </c>
      <c r="O51" s="229">
        <v>72.69</v>
      </c>
      <c r="P51" s="98">
        <f t="shared" si="2"/>
        <v>1.3895463510848125</v>
      </c>
      <c r="Q51" s="228">
        <f t="shared" si="3"/>
        <v>42.269999999999996</v>
      </c>
    </row>
    <row r="52" spans="2:17" ht="6.95" customHeight="1" x14ac:dyDescent="0.25">
      <c r="B52" s="103"/>
      <c r="C52" s="104"/>
      <c r="D52" s="104"/>
      <c r="E52" s="104"/>
      <c r="F52" s="104"/>
      <c r="G52" s="105"/>
      <c r="H52" s="104"/>
      <c r="I52" s="106"/>
      <c r="J52" s="104"/>
      <c r="K52" s="104"/>
      <c r="L52" s="104"/>
      <c r="M52" s="104"/>
      <c r="N52" s="104"/>
      <c r="O52" s="106"/>
      <c r="P52" s="106"/>
      <c r="Q52" s="106"/>
    </row>
    <row r="53" spans="2:17" ht="15" customHeight="1" x14ac:dyDescent="0.25">
      <c r="B53" s="107" t="s">
        <v>57</v>
      </c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</row>
  </sheetData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EE3B0-D88D-4ECD-A453-8739CE42FAB3}">
  <sheetPr>
    <tabColor theme="4"/>
  </sheetPr>
  <dimension ref="B4:B25"/>
  <sheetViews>
    <sheetView showGridLines="0" workbookViewId="0"/>
  </sheetViews>
  <sheetFormatPr baseColWidth="10" defaultRowHeight="15" x14ac:dyDescent="0.25"/>
  <sheetData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2" ht="15" customHeight="1" x14ac:dyDescent="0.25"/>
    <row r="18" spans="2:2" ht="15" customHeight="1" x14ac:dyDescent="0.25"/>
    <row r="19" spans="2:2" ht="15" customHeight="1" x14ac:dyDescent="0.25"/>
    <row r="20" spans="2:2" ht="15" customHeight="1" x14ac:dyDescent="0.25"/>
    <row r="21" spans="2:2" ht="15" customHeight="1" x14ac:dyDescent="0.25"/>
    <row r="22" spans="2:2" ht="15" customHeight="1" x14ac:dyDescent="0.25"/>
    <row r="23" spans="2:2" ht="15" customHeight="1" x14ac:dyDescent="0.25"/>
    <row r="24" spans="2:2" ht="15" customHeight="1" x14ac:dyDescent="0.25"/>
    <row r="25" spans="2:2" x14ac:dyDescent="0.25">
      <c r="B25" t="s">
        <v>161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2A19-90AE-4D3E-8F05-B506531B77EC}">
  <sheetPr>
    <tabColor theme="4" tint="0.39997558519241921"/>
  </sheetPr>
  <dimension ref="A1:AE13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4" width="14.28515625" customWidth="1"/>
    <col min="5" max="12" width="14.7109375" customWidth="1"/>
    <col min="13" max="13" width="11.42578125" customWidth="1"/>
    <col min="14" max="14" width="14.7109375" customWidth="1"/>
    <col min="20" max="20" width="12.42578125" customWidth="1"/>
    <col min="27" max="27" width="14" customWidth="1"/>
    <col min="31" max="31" width="11.42578125" style="1"/>
  </cols>
  <sheetData>
    <row r="1" spans="1:31" ht="30" customHeight="1" x14ac:dyDescent="0.25">
      <c r="B1" s="1" t="s">
        <v>305</v>
      </c>
      <c r="C1" s="1"/>
      <c r="D1" s="1"/>
      <c r="F1" s="234"/>
      <c r="G1" s="234"/>
      <c r="H1" s="234"/>
      <c r="J1" s="234"/>
    </row>
    <row r="3" spans="1:31" s="4" customFormat="1" ht="25.5" customHeight="1" thickBot="1" x14ac:dyDescent="0.3">
      <c r="B3" s="66" t="s">
        <v>306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173" t="s">
        <v>260</v>
      </c>
      <c r="D5" s="173" t="s">
        <v>261</v>
      </c>
      <c r="E5" s="173" t="s">
        <v>262</v>
      </c>
      <c r="F5" s="173" t="s">
        <v>263</v>
      </c>
      <c r="G5" s="174" t="str">
        <f>CONCATENATE("var. ",RIGHT(F5,2),"/",RIGHT(E5,2))</f>
        <v>var. 23/22</v>
      </c>
      <c r="H5" s="174" t="str">
        <f>CONCATENATE("dif. ",RIGHT(F5,2),"/",RIGHT(E5,2))</f>
        <v>dif. 23/22</v>
      </c>
      <c r="I5" s="174" t="str">
        <f>CONCATENATE("%/s total España ",RIGHT(F5,4))</f>
        <v>%/s total España 2023</v>
      </c>
      <c r="J5" s="173" t="s">
        <v>264</v>
      </c>
      <c r="K5" s="174" t="str">
        <f>CONCATENATE("var. ",RIGHT(J5,2),"/",RIGHT(F5,2))</f>
        <v>var. 24/23</v>
      </c>
      <c r="L5" s="174" t="str">
        <f>CONCATENATE("dif. ",RIGHT(J5,2),"/",RIGHT(F5,2))</f>
        <v>dif. 24/23</v>
      </c>
      <c r="M5" s="174" t="str">
        <f>CONCATENATE("%/s total España ",RIGHT(J5,4))</f>
        <v>%/s total España 2024</v>
      </c>
      <c r="N5" s="173" t="s">
        <v>265</v>
      </c>
      <c r="O5" s="174" t="str">
        <f>CONCATENATE("var. ",RIGHT(N5,2),"/",RIGHT(J5,2))</f>
        <v>var. 25/24</v>
      </c>
      <c r="P5" s="174" t="str">
        <f>CONCATENATE("dif. ",RIGHT(N5,2),"/",RIGHT(J5,2))</f>
        <v>dif. 25/24</v>
      </c>
      <c r="Q5" s="174" t="str">
        <f>CONCATENATE("var. ",RIGHT(N5,2),"/",RIGHT(C5,2))</f>
        <v>var. 25/20</v>
      </c>
      <c r="R5" s="174" t="str">
        <f>CONCATENATE("dif. ",RIGHT(N5,2),"/",RIGHT(C5,2))</f>
        <v>dif. 25/20</v>
      </c>
      <c r="S5" s="174" t="str">
        <f>CONCATENATE("%/s total España ",RIGHT(N5,4))</f>
        <v>%/s total España 2025</v>
      </c>
      <c r="T5" s="174" t="str">
        <f>CONCATENATE("%/s total Turistas ",RIGHT(N5,4))</f>
        <v>%/s total Turistas 2025</v>
      </c>
      <c r="AE5" s="1"/>
    </row>
    <row r="6" spans="1:31" s="4" customFormat="1" ht="18.75" x14ac:dyDescent="0.3">
      <c r="B6" s="235" t="s">
        <v>173</v>
      </c>
      <c r="C6" s="236">
        <v>12754</v>
      </c>
      <c r="D6" s="236">
        <v>11802</v>
      </c>
      <c r="E6" s="236">
        <v>24671</v>
      </c>
      <c r="F6" s="236">
        <v>30683</v>
      </c>
      <c r="G6" s="237">
        <f t="shared" ref="G6:G11" si="0">F6/E6-1</f>
        <v>0.24368691986542901</v>
      </c>
      <c r="H6" s="236">
        <f t="shared" ref="H6:H11" si="1">F6-E6</f>
        <v>6012</v>
      </c>
      <c r="I6" s="237"/>
      <c r="J6" s="236">
        <v>29198</v>
      </c>
      <c r="K6" s="237">
        <f t="shared" ref="K6:K11" si="2">J6/F6-1</f>
        <v>-4.8398135775510887E-2</v>
      </c>
      <c r="L6" s="236">
        <f t="shared" ref="L6:L11" si="3">J6-F6</f>
        <v>-1485</v>
      </c>
      <c r="M6" s="237"/>
      <c r="N6" s="236">
        <v>28272</v>
      </c>
      <c r="O6" s="237">
        <f t="shared" ref="O6:O11" si="4">N6/J6-1</f>
        <v>-3.1714500993218708E-2</v>
      </c>
      <c r="P6" s="236">
        <f t="shared" ref="P6:P11" si="5">N6-J6</f>
        <v>-926</v>
      </c>
      <c r="Q6" s="237">
        <f>N6/C6-1</f>
        <v>1.2167163242904189</v>
      </c>
      <c r="R6" s="236">
        <f>N6-C6</f>
        <v>15518</v>
      </c>
      <c r="S6" s="237"/>
      <c r="T6" s="237"/>
      <c r="V6" s="29"/>
      <c r="AE6" s="1"/>
    </row>
    <row r="7" spans="1:31" ht="18.75" x14ac:dyDescent="0.3">
      <c r="A7" s="4"/>
      <c r="B7" s="235" t="s">
        <v>174</v>
      </c>
      <c r="C7" s="236">
        <v>7454</v>
      </c>
      <c r="D7" s="236">
        <v>7418</v>
      </c>
      <c r="E7" s="236">
        <v>15383</v>
      </c>
      <c r="F7" s="236">
        <v>19920</v>
      </c>
      <c r="G7" s="237">
        <f t="shared" si="0"/>
        <v>0.29493596827666901</v>
      </c>
      <c r="H7" s="236">
        <f t="shared" si="1"/>
        <v>4537</v>
      </c>
      <c r="I7" s="237">
        <f>F7/$F$7</f>
        <v>1</v>
      </c>
      <c r="J7" s="236">
        <v>16896</v>
      </c>
      <c r="K7" s="237">
        <f t="shared" si="2"/>
        <v>-0.15180722891566267</v>
      </c>
      <c r="L7" s="236">
        <f t="shared" si="3"/>
        <v>-3024</v>
      </c>
      <c r="M7" s="237">
        <f>J7/$J$7</f>
        <v>1</v>
      </c>
      <c r="N7" s="236">
        <v>16644</v>
      </c>
      <c r="O7" s="237">
        <f t="shared" si="4"/>
        <v>-1.4914772727272707E-2</v>
      </c>
      <c r="P7" s="236">
        <f t="shared" si="5"/>
        <v>-252</v>
      </c>
      <c r="Q7" s="237">
        <f t="shared" ref="Q7:Q11" si="6">N7/C7-1</f>
        <v>1.2328950898846256</v>
      </c>
      <c r="R7" s="236">
        <f t="shared" ref="R7:R11" si="7">N7-C7</f>
        <v>9190</v>
      </c>
      <c r="S7" s="237">
        <f>N7/$N$7</f>
        <v>1</v>
      </c>
      <c r="T7" s="237">
        <f>N7/$N$6</f>
        <v>0.58870967741935487</v>
      </c>
      <c r="V7" s="29"/>
      <c r="W7" s="81"/>
      <c r="AE7" s="1" t="s">
        <v>175</v>
      </c>
    </row>
    <row r="8" spans="1:31" ht="15.75" x14ac:dyDescent="0.25">
      <c r="A8" s="4"/>
      <c r="B8" s="238" t="s">
        <v>102</v>
      </c>
      <c r="C8" s="239">
        <v>3215</v>
      </c>
      <c r="D8" s="239">
        <v>3165</v>
      </c>
      <c r="E8" s="239">
        <v>7883</v>
      </c>
      <c r="F8" s="239">
        <v>13965</v>
      </c>
      <c r="G8" s="240">
        <f t="shared" si="0"/>
        <v>0.77153368007103884</v>
      </c>
      <c r="H8" s="239">
        <f t="shared" si="1"/>
        <v>6082</v>
      </c>
      <c r="I8" s="240">
        <f>F8/$F$7</f>
        <v>0.70105421686746983</v>
      </c>
      <c r="J8" s="239">
        <v>12232</v>
      </c>
      <c r="K8" s="240">
        <f t="shared" si="2"/>
        <v>-0.12409595417114216</v>
      </c>
      <c r="L8" s="239">
        <f t="shared" si="3"/>
        <v>-1733</v>
      </c>
      <c r="M8" s="240">
        <f>J8/$J$7</f>
        <v>0.72395833333333337</v>
      </c>
      <c r="N8" s="239">
        <v>11250</v>
      </c>
      <c r="O8" s="240">
        <f t="shared" si="4"/>
        <v>-8.0281229561805056E-2</v>
      </c>
      <c r="P8" s="239">
        <f t="shared" si="5"/>
        <v>-982</v>
      </c>
      <c r="Q8" s="240">
        <f t="shared" si="6"/>
        <v>2.4992223950233283</v>
      </c>
      <c r="R8" s="239">
        <f t="shared" si="7"/>
        <v>8035</v>
      </c>
      <c r="S8" s="240">
        <f>N8/$N$7</f>
        <v>0.67591925018024512</v>
      </c>
      <c r="T8" s="240">
        <f>N8/$N$6</f>
        <v>0.39792020373514431</v>
      </c>
      <c r="V8" s="29"/>
      <c r="W8" s="81"/>
      <c r="AE8" s="1" t="s">
        <v>176</v>
      </c>
    </row>
    <row r="9" spans="1:31" s="4" customFormat="1" x14ac:dyDescent="0.25">
      <c r="B9" s="241" t="s">
        <v>105</v>
      </c>
      <c r="C9" s="242">
        <v>4239</v>
      </c>
      <c r="D9" s="242">
        <v>4253</v>
      </c>
      <c r="E9" s="242">
        <v>7500</v>
      </c>
      <c r="F9" s="242">
        <v>5955</v>
      </c>
      <c r="G9" s="243">
        <f t="shared" si="0"/>
        <v>-0.20599999999999996</v>
      </c>
      <c r="H9" s="244">
        <f t="shared" si="1"/>
        <v>-1545</v>
      </c>
      <c r="I9" s="245">
        <f>F9/$F$7</f>
        <v>0.29894578313253012</v>
      </c>
      <c r="J9" s="242">
        <v>4664</v>
      </c>
      <c r="K9" s="243">
        <f t="shared" si="2"/>
        <v>-0.21679261125104954</v>
      </c>
      <c r="L9" s="244">
        <f t="shared" si="3"/>
        <v>-1291</v>
      </c>
      <c r="M9" s="245">
        <f>J9/$J$7</f>
        <v>0.27604166666666669</v>
      </c>
      <c r="N9" s="242">
        <v>5394</v>
      </c>
      <c r="O9" s="243">
        <f t="shared" si="4"/>
        <v>0.15651801029159529</v>
      </c>
      <c r="P9" s="244">
        <f t="shared" si="5"/>
        <v>730</v>
      </c>
      <c r="Q9" s="243">
        <f t="shared" si="6"/>
        <v>0.27246992215145083</v>
      </c>
      <c r="R9" s="244">
        <f t="shared" si="7"/>
        <v>1155</v>
      </c>
      <c r="S9" s="245">
        <f>N9/$N$7</f>
        <v>0.32408074981975488</v>
      </c>
      <c r="T9" s="245">
        <f>N9/$N$6</f>
        <v>0.19078947368421054</v>
      </c>
      <c r="V9" s="29"/>
      <c r="W9" s="81"/>
      <c r="AE9" s="1" t="s">
        <v>177</v>
      </c>
    </row>
    <row r="10" spans="1:31" s="4" customFormat="1" x14ac:dyDescent="0.25">
      <c r="B10" s="246" t="s">
        <v>178</v>
      </c>
      <c r="C10" s="29">
        <v>403</v>
      </c>
      <c r="D10" s="29">
        <v>56</v>
      </c>
      <c r="E10" s="29">
        <v>673</v>
      </c>
      <c r="F10" s="29">
        <v>708</v>
      </c>
      <c r="G10" s="22">
        <f t="shared" si="0"/>
        <v>5.2005943536404198E-2</v>
      </c>
      <c r="H10" s="20">
        <f t="shared" si="1"/>
        <v>35</v>
      </c>
      <c r="I10" s="31">
        <f>F10/$F$7</f>
        <v>3.5542168674698796E-2</v>
      </c>
      <c r="J10" s="29">
        <v>909</v>
      </c>
      <c r="K10" s="22">
        <f t="shared" si="2"/>
        <v>0.28389830508474567</v>
      </c>
      <c r="L10" s="20">
        <f t="shared" si="3"/>
        <v>201</v>
      </c>
      <c r="M10" s="31">
        <f>J10/$J$7</f>
        <v>5.3799715909090912E-2</v>
      </c>
      <c r="N10" s="29">
        <v>940</v>
      </c>
      <c r="O10" s="22">
        <f t="shared" si="4"/>
        <v>3.4103410341034035E-2</v>
      </c>
      <c r="P10" s="20">
        <f t="shared" si="5"/>
        <v>31</v>
      </c>
      <c r="Q10" s="22">
        <f t="shared" si="6"/>
        <v>1.3325062034739452</v>
      </c>
      <c r="R10" s="20">
        <f t="shared" si="7"/>
        <v>537</v>
      </c>
      <c r="S10" s="31">
        <f>N10/$N$7</f>
        <v>5.6476808459504924E-2</v>
      </c>
      <c r="T10" s="31">
        <f>N10/$N$6</f>
        <v>3.3248443689869837E-2</v>
      </c>
      <c r="V10" s="29"/>
      <c r="W10" s="81"/>
      <c r="AE10" s="1" t="s">
        <v>179</v>
      </c>
    </row>
    <row r="11" spans="1:31" s="4" customFormat="1" x14ac:dyDescent="0.25">
      <c r="B11" s="246" t="s">
        <v>180</v>
      </c>
      <c r="C11" s="29">
        <f>C9-C10</f>
        <v>3836</v>
      </c>
      <c r="D11" s="29">
        <f>D9-D10</f>
        <v>4197</v>
      </c>
      <c r="E11" s="29">
        <f>E9-E10</f>
        <v>6827</v>
      </c>
      <c r="F11" s="29">
        <f>F9-F10</f>
        <v>5247</v>
      </c>
      <c r="G11" s="22">
        <f t="shared" si="0"/>
        <v>-0.23143401201113223</v>
      </c>
      <c r="H11" s="20">
        <f t="shared" si="1"/>
        <v>-1580</v>
      </c>
      <c r="I11" s="31">
        <f>F11/$F$7</f>
        <v>0.26340361445783134</v>
      </c>
      <c r="J11" s="29">
        <f>J9-J10</f>
        <v>3755</v>
      </c>
      <c r="K11" s="22">
        <f t="shared" si="2"/>
        <v>-0.28435296359824658</v>
      </c>
      <c r="L11" s="20">
        <f t="shared" si="3"/>
        <v>-1492</v>
      </c>
      <c r="M11" s="31">
        <f>J11/$J$7</f>
        <v>0.22224195075757575</v>
      </c>
      <c r="N11" s="29">
        <f>N9-N10</f>
        <v>4454</v>
      </c>
      <c r="O11" s="22">
        <f t="shared" si="4"/>
        <v>0.18615179760319567</v>
      </c>
      <c r="P11" s="20">
        <f t="shared" si="5"/>
        <v>699</v>
      </c>
      <c r="Q11" s="22">
        <f t="shared" si="6"/>
        <v>0.16110531803962469</v>
      </c>
      <c r="R11" s="20">
        <f t="shared" si="7"/>
        <v>618</v>
      </c>
      <c r="S11" s="31">
        <f>N11/$N$7</f>
        <v>0.26760394136024995</v>
      </c>
      <c r="T11" s="31">
        <f>N11/$N$6</f>
        <v>0.15754102999434069</v>
      </c>
      <c r="V11" s="29"/>
      <c r="W11" s="81"/>
      <c r="AE11" s="1" t="s">
        <v>181</v>
      </c>
    </row>
    <row r="12" spans="1:31" s="4" customFormat="1" ht="7.5" customHeight="1" x14ac:dyDescent="0.25">
      <c r="B12" s="247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AE12" s="1" t="s">
        <v>182</v>
      </c>
    </row>
    <row r="13" spans="1:31" s="4" customFormat="1" x14ac:dyDescent="0.25">
      <c r="B13" s="172" t="s">
        <v>183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AE13" s="1" t="s">
        <v>184</v>
      </c>
    </row>
    <row r="14" spans="1:31" s="4" customFormat="1" x14ac:dyDescent="0.25">
      <c r="AE14" s="1"/>
    </row>
    <row r="37" spans="2:31" s="4" customFormat="1" ht="15.75" hidden="1" customHeight="1" thickBot="1" x14ac:dyDescent="0.3">
      <c r="B37" s="278" t="s">
        <v>185</v>
      </c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85"/>
      <c r="T37" s="85"/>
      <c r="AE37" s="1"/>
    </row>
    <row r="38" spans="2:31" s="4" customFormat="1" ht="6" hidden="1" customHeight="1" thickBot="1" x14ac:dyDescent="0.3">
      <c r="AE38" s="1"/>
    </row>
    <row r="39" spans="2:31" s="4" customFormat="1" ht="30" hidden="1" x14ac:dyDescent="0.25">
      <c r="E39" s="89"/>
      <c r="F39" s="89"/>
      <c r="G39" s="89"/>
      <c r="H39" s="89"/>
      <c r="I39" s="89"/>
      <c r="J39" s="14">
        <v>2020</v>
      </c>
      <c r="K39" s="14"/>
      <c r="L39" s="14"/>
      <c r="M39" s="14" t="s">
        <v>186</v>
      </c>
      <c r="N39" s="14">
        <v>2021</v>
      </c>
      <c r="O39" s="14" t="s">
        <v>186</v>
      </c>
      <c r="P39" s="14" t="s">
        <v>187</v>
      </c>
      <c r="Q39" s="14" t="s">
        <v>188</v>
      </c>
      <c r="R39" s="14" t="s">
        <v>189</v>
      </c>
      <c r="S39" s="89"/>
      <c r="T39" s="89"/>
      <c r="AE39" s="1"/>
    </row>
    <row r="40" spans="2:31" s="4" customFormat="1" ht="18.75" hidden="1" x14ac:dyDescent="0.3">
      <c r="B40" s="235" t="s">
        <v>173</v>
      </c>
      <c r="C40" s="235"/>
      <c r="D40" s="235"/>
      <c r="E40" s="236"/>
      <c r="F40" s="236"/>
      <c r="G40" s="236"/>
      <c r="H40" s="236"/>
      <c r="I40" s="236"/>
      <c r="J40" s="236">
        <v>1824653</v>
      </c>
      <c r="K40" s="236"/>
      <c r="L40" s="236"/>
      <c r="M40" s="237"/>
      <c r="N40" s="236">
        <v>2354005</v>
      </c>
      <c r="O40" s="237"/>
      <c r="P40" s="237">
        <v>1</v>
      </c>
      <c r="Q40" s="237">
        <v>0.2901110512519367</v>
      </c>
      <c r="R40" s="236">
        <v>529352</v>
      </c>
      <c r="S40" s="248"/>
      <c r="T40" s="248"/>
      <c r="AE40" s="1"/>
    </row>
    <row r="41" spans="2:31" ht="18.75" hidden="1" x14ac:dyDescent="0.3">
      <c r="B41" s="235" t="s">
        <v>174</v>
      </c>
      <c r="C41" s="235"/>
      <c r="D41" s="235"/>
      <c r="E41" s="236"/>
      <c r="F41" s="236"/>
      <c r="G41" s="236"/>
      <c r="H41" s="236"/>
      <c r="I41" s="236"/>
      <c r="J41" s="236">
        <v>603938</v>
      </c>
      <c r="K41" s="236"/>
      <c r="L41" s="236"/>
      <c r="M41" s="237">
        <v>1</v>
      </c>
      <c r="N41" s="236">
        <v>936181</v>
      </c>
      <c r="O41" s="237">
        <v>1</v>
      </c>
      <c r="P41" s="237">
        <v>0.39769711619134201</v>
      </c>
      <c r="Q41" s="237">
        <v>0.55012766211101138</v>
      </c>
      <c r="R41" s="236">
        <v>332243</v>
      </c>
      <c r="S41" s="248"/>
      <c r="T41" s="248"/>
      <c r="AE41" s="1" t="s">
        <v>175</v>
      </c>
    </row>
    <row r="42" spans="2:31" ht="15.75" hidden="1" x14ac:dyDescent="0.25">
      <c r="B42" s="238" t="s">
        <v>102</v>
      </c>
      <c r="C42" s="238"/>
      <c r="D42" s="238"/>
      <c r="E42" s="239"/>
      <c r="F42" s="239"/>
      <c r="G42" s="239"/>
      <c r="H42" s="239"/>
      <c r="I42" s="239"/>
      <c r="J42" s="239">
        <v>276550.36166633503</v>
      </c>
      <c r="K42" s="239"/>
      <c r="L42" s="239"/>
      <c r="M42" s="240">
        <v>0.45791184139155844</v>
      </c>
      <c r="N42" s="239">
        <v>430252.45635520399</v>
      </c>
      <c r="O42" s="240">
        <v>0.4595825554622493</v>
      </c>
      <c r="P42" s="240">
        <v>0.18277465695918402</v>
      </c>
      <c r="Q42" s="240">
        <v>0.55578337978930015</v>
      </c>
      <c r="R42" s="239">
        <v>153702.09468886897</v>
      </c>
      <c r="S42" s="249"/>
      <c r="T42" s="249"/>
      <c r="AE42" s="1" t="s">
        <v>176</v>
      </c>
    </row>
    <row r="43" spans="2:31" s="4" customFormat="1" hidden="1" x14ac:dyDescent="0.25">
      <c r="B43" s="241" t="s">
        <v>105</v>
      </c>
      <c r="C43" s="250"/>
      <c r="D43" s="250"/>
      <c r="E43" s="242"/>
      <c r="F43" s="242"/>
      <c r="G43" s="242"/>
      <c r="H43" s="242"/>
      <c r="I43" s="242"/>
      <c r="J43" s="242">
        <v>327387.63833385095</v>
      </c>
      <c r="K43" s="242"/>
      <c r="L43" s="242"/>
      <c r="M43" s="245">
        <v>0.54208815860874948</v>
      </c>
      <c r="N43" s="242">
        <v>505927.5436448183</v>
      </c>
      <c r="O43" s="245">
        <v>0.54041637636826456</v>
      </c>
      <c r="P43" s="245">
        <v>0.21492203442423372</v>
      </c>
      <c r="Q43" s="243">
        <v>0.54534711884540576</v>
      </c>
      <c r="R43" s="244">
        <v>178539.90531096736</v>
      </c>
      <c r="S43" s="251"/>
      <c r="T43" s="251"/>
      <c r="AE43" s="1" t="s">
        <v>177</v>
      </c>
    </row>
    <row r="44" spans="2:31" s="4" customFormat="1" hidden="1" x14ac:dyDescent="0.25">
      <c r="B44" s="246" t="s">
        <v>178</v>
      </c>
      <c r="C44" s="246"/>
      <c r="D44" s="246"/>
      <c r="E44" s="29"/>
      <c r="F44" s="29"/>
      <c r="G44" s="29"/>
      <c r="H44" s="29"/>
      <c r="I44" s="29"/>
      <c r="J44" s="29">
        <v>242109.12821622068</v>
      </c>
      <c r="K44" s="29"/>
      <c r="L44" s="29"/>
      <c r="M44" s="31">
        <v>0.4008840778626625</v>
      </c>
      <c r="N44" s="29">
        <v>391384.01224089495</v>
      </c>
      <c r="O44" s="31">
        <v>0.41806446855992052</v>
      </c>
      <c r="P44" s="31">
        <v>0.16626303352834634</v>
      </c>
      <c r="Q44" s="22">
        <v>0.61656033014732592</v>
      </c>
      <c r="R44" s="20">
        <v>149274.88402467428</v>
      </c>
      <c r="S44" s="20"/>
      <c r="T44" s="20"/>
      <c r="AE44" s="1" t="s">
        <v>179</v>
      </c>
    </row>
    <row r="45" spans="2:31" s="4" customFormat="1" hidden="1" x14ac:dyDescent="0.25">
      <c r="B45" s="246" t="s">
        <v>180</v>
      </c>
      <c r="C45" s="246"/>
      <c r="D45" s="246"/>
      <c r="E45" s="29"/>
      <c r="F45" s="29"/>
      <c r="G45" s="29"/>
      <c r="H45" s="29"/>
      <c r="I45" s="29"/>
      <c r="J45" s="29">
        <v>85278.510117630256</v>
      </c>
      <c r="K45" s="29"/>
      <c r="L45" s="29"/>
      <c r="M45" s="31">
        <v>0.14120408074608695</v>
      </c>
      <c r="N45" s="29">
        <v>114543.53140392336</v>
      </c>
      <c r="O45" s="31">
        <v>0.12235190780834407</v>
      </c>
      <c r="P45" s="31">
        <v>4.8659000895887379E-2</v>
      </c>
      <c r="Q45" s="22">
        <v>0.34316994100771625</v>
      </c>
      <c r="R45" s="20">
        <v>29265.021286293108</v>
      </c>
      <c r="S45" s="20"/>
      <c r="T45" s="20"/>
      <c r="AE45" s="1" t="s">
        <v>181</v>
      </c>
    </row>
    <row r="46" spans="2:31" s="4" customFormat="1" ht="7.5" hidden="1" customHeight="1" x14ac:dyDescent="0.25"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  <c r="R46" s="247"/>
      <c r="AE46" s="1" t="s">
        <v>182</v>
      </c>
    </row>
    <row r="47" spans="2:31" s="4" customFormat="1" hidden="1" x14ac:dyDescent="0.25">
      <c r="B47" s="296" t="s">
        <v>183</v>
      </c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49"/>
      <c r="T47" s="49"/>
      <c r="AE47" s="1" t="s">
        <v>184</v>
      </c>
    </row>
    <row r="48" spans="2:31" s="4" customFormat="1" hidden="1" x14ac:dyDescent="0.25">
      <c r="AE48" s="1"/>
    </row>
    <row r="49" spans="5:12" hidden="1" x14ac:dyDescent="0.25">
      <c r="E49" s="126"/>
      <c r="F49" s="126"/>
      <c r="G49" s="126"/>
      <c r="H49" s="126"/>
      <c r="I49" s="126"/>
      <c r="J49" s="126">
        <v>0.54208815860874948</v>
      </c>
      <c r="K49" s="126"/>
      <c r="L49" s="126"/>
    </row>
    <row r="50" spans="5:12" hidden="1" x14ac:dyDescent="0.25"/>
    <row r="51" spans="5:12" hidden="1" x14ac:dyDescent="0.25"/>
    <row r="52" spans="5:12" hidden="1" x14ac:dyDescent="0.25"/>
    <row r="53" spans="5:12" hidden="1" x14ac:dyDescent="0.25"/>
    <row r="54" spans="5:12" hidden="1" x14ac:dyDescent="0.25"/>
    <row r="55" spans="5:12" hidden="1" x14ac:dyDescent="0.25"/>
    <row r="56" spans="5:12" hidden="1" x14ac:dyDescent="0.25"/>
    <row r="57" spans="5:12" hidden="1" x14ac:dyDescent="0.25"/>
    <row r="58" spans="5:12" hidden="1" x14ac:dyDescent="0.25"/>
    <row r="59" spans="5:12" hidden="1" x14ac:dyDescent="0.25"/>
    <row r="60" spans="5:12" hidden="1" x14ac:dyDescent="0.25"/>
    <row r="61" spans="5:12" hidden="1" x14ac:dyDescent="0.25"/>
    <row r="62" spans="5:12" hidden="1" x14ac:dyDescent="0.25"/>
    <row r="63" spans="5:12" hidden="1" x14ac:dyDescent="0.25"/>
    <row r="64" spans="5:12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spans="2:31" hidden="1" x14ac:dyDescent="0.25"/>
    <row r="114" spans="2:31" hidden="1" x14ac:dyDescent="0.25"/>
    <row r="115" spans="2:31" hidden="1" x14ac:dyDescent="0.25"/>
    <row r="116" spans="2:31" hidden="1" x14ac:dyDescent="0.25"/>
    <row r="120" spans="2:31" x14ac:dyDescent="0.25">
      <c r="Z120" s="1"/>
      <c r="AE120"/>
    </row>
    <row r="121" spans="2:31" ht="21.75" thickBot="1" x14ac:dyDescent="0.3">
      <c r="B121" s="66" t="s">
        <v>306</v>
      </c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Z121" s="1"/>
      <c r="AE121"/>
    </row>
    <row r="122" spans="2:3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Z122" s="1"/>
      <c r="AE122"/>
    </row>
    <row r="123" spans="2:31" ht="30" x14ac:dyDescent="0.25">
      <c r="B123" s="4"/>
      <c r="C123" s="186">
        <v>2020</v>
      </c>
      <c r="D123" s="186">
        <v>2021</v>
      </c>
      <c r="E123" s="186">
        <v>2022</v>
      </c>
      <c r="F123" s="186">
        <v>2023</v>
      </c>
      <c r="G123" s="174" t="str">
        <f>CONCATENATE("var. ",RIGHT(F123,2),"/",RIGHT(E123,2))</f>
        <v>var. 23/22</v>
      </c>
      <c r="H123" s="174" t="str">
        <f>CONCATENATE("dif. ",RIGHT(F123,2),"/",RIGHT(E123,2))</f>
        <v>dif. 23/22</v>
      </c>
      <c r="I123" s="174" t="str">
        <f>CONCATENATE("%/s total España ",RIGHT(F123,4))</f>
        <v>%/s total España 2023</v>
      </c>
      <c r="J123" s="186">
        <v>2024</v>
      </c>
      <c r="K123" s="174" t="str">
        <f>CONCATENATE("%/s total España ",RIGHT(J123,4))</f>
        <v>%/s total España 2024</v>
      </c>
      <c r="L123" s="174" t="str">
        <f>CONCATENATE("var. ",RIGHT(J123,2),"/",RIGHT(F123,2))</f>
        <v>var. 24/23</v>
      </c>
      <c r="M123" s="174" t="str">
        <f>CONCATENATE("dif. ",RIGHT(J123,2),"/",RIGHT(F123,2))</f>
        <v>dif. 24/23</v>
      </c>
      <c r="N123" s="174" t="str">
        <f>CONCATENATE("var. ",RIGHT(J123,2),"/",RIGHT(D123,2))</f>
        <v>var. 24/21</v>
      </c>
      <c r="O123" s="174" t="str">
        <f>CONCATENATE("dif. ",RIGHT(J123,2),"/",RIGHT(D123,2))</f>
        <v>dif. 24/21</v>
      </c>
      <c r="Z123" s="1"/>
      <c r="AE123"/>
    </row>
    <row r="124" spans="2:31" ht="18.75" x14ac:dyDescent="0.3">
      <c r="B124" s="235" t="s">
        <v>173</v>
      </c>
      <c r="C124" s="236">
        <v>24221</v>
      </c>
      <c r="D124" s="236">
        <v>33444</v>
      </c>
      <c r="E124" s="236">
        <v>51485</v>
      </c>
      <c r="F124" s="236">
        <v>58157</v>
      </c>
      <c r="G124" s="237">
        <f t="shared" ref="G124:G129" si="8">F124/E124-1</f>
        <v>0.12959114305137409</v>
      </c>
      <c r="H124" s="236">
        <f t="shared" ref="H124:H129" si="9">F124-E124</f>
        <v>6672</v>
      </c>
      <c r="I124" s="237"/>
      <c r="J124" s="236">
        <v>57388</v>
      </c>
      <c r="K124" s="237"/>
      <c r="L124" s="237">
        <f t="shared" ref="L124:L129" si="10">J124/F124-1</f>
        <v>-1.3222827862510056E-2</v>
      </c>
      <c r="M124" s="236">
        <f t="shared" ref="M124:M129" si="11">J124-F124</f>
        <v>-769</v>
      </c>
      <c r="N124" s="237">
        <f t="shared" ref="N124:N129" si="12">J124/D124-1</f>
        <v>0.71594306901088389</v>
      </c>
      <c r="O124" s="236">
        <f t="shared" ref="O124:O129" si="13">J124-D124</f>
        <v>23944</v>
      </c>
      <c r="Z124" s="1"/>
      <c r="AE124"/>
    </row>
    <row r="125" spans="2:31" ht="18.75" x14ac:dyDescent="0.3">
      <c r="B125" s="235" t="s">
        <v>174</v>
      </c>
      <c r="C125" s="236">
        <v>16023</v>
      </c>
      <c r="D125" s="236">
        <v>21732</v>
      </c>
      <c r="E125" s="236">
        <v>33809</v>
      </c>
      <c r="F125" s="236">
        <v>37722</v>
      </c>
      <c r="G125" s="237">
        <f t="shared" si="8"/>
        <v>0.11573841284864983</v>
      </c>
      <c r="H125" s="236">
        <f t="shared" si="9"/>
        <v>3913</v>
      </c>
      <c r="I125" s="237">
        <f>F125/$F$7</f>
        <v>1.8936746987951807</v>
      </c>
      <c r="J125" s="236">
        <v>35821</v>
      </c>
      <c r="K125" s="237">
        <f>J125/$J$125</f>
        <v>1</v>
      </c>
      <c r="L125" s="237">
        <f t="shared" si="10"/>
        <v>-5.0394994963151474E-2</v>
      </c>
      <c r="M125" s="236">
        <f t="shared" si="11"/>
        <v>-1901</v>
      </c>
      <c r="N125" s="237">
        <f t="shared" si="12"/>
        <v>0.64830664457942211</v>
      </c>
      <c r="O125" s="236">
        <f t="shared" si="13"/>
        <v>14089</v>
      </c>
      <c r="Z125" s="1"/>
      <c r="AE125"/>
    </row>
    <row r="126" spans="2:31" ht="15.75" x14ac:dyDescent="0.25">
      <c r="B126" s="238" t="s">
        <v>102</v>
      </c>
      <c r="C126" s="239">
        <v>7339</v>
      </c>
      <c r="D126" s="239">
        <v>10731</v>
      </c>
      <c r="E126" s="239">
        <v>17520</v>
      </c>
      <c r="F126" s="239">
        <v>25698</v>
      </c>
      <c r="G126" s="240">
        <f t="shared" si="8"/>
        <v>0.46678082191780823</v>
      </c>
      <c r="H126" s="239">
        <f t="shared" si="9"/>
        <v>8178</v>
      </c>
      <c r="I126" s="240">
        <f>F126/$F$7</f>
        <v>1.2900602409638555</v>
      </c>
      <c r="J126" s="239">
        <v>23944</v>
      </c>
      <c r="K126" s="240">
        <f>J126/$J$125</f>
        <v>0.66843471706540858</v>
      </c>
      <c r="L126" s="240">
        <f t="shared" si="10"/>
        <v>-6.8254338859055186E-2</v>
      </c>
      <c r="M126" s="239">
        <f t="shared" si="11"/>
        <v>-1754</v>
      </c>
      <c r="N126" s="240">
        <f t="shared" si="12"/>
        <v>1.2312925170068025</v>
      </c>
      <c r="O126" s="239">
        <f t="shared" si="13"/>
        <v>13213</v>
      </c>
      <c r="Z126" s="1"/>
      <c r="AE126"/>
    </row>
    <row r="127" spans="2:31" x14ac:dyDescent="0.25">
      <c r="B127" s="241" t="s">
        <v>105</v>
      </c>
      <c r="C127" s="242">
        <v>8684</v>
      </c>
      <c r="D127" s="242">
        <v>11001</v>
      </c>
      <c r="E127" s="242">
        <v>16289</v>
      </c>
      <c r="F127" s="242">
        <v>12024</v>
      </c>
      <c r="G127" s="243">
        <f t="shared" si="8"/>
        <v>-0.261833138928111</v>
      </c>
      <c r="H127" s="244">
        <f t="shared" si="9"/>
        <v>-4265</v>
      </c>
      <c r="I127" s="245">
        <f>F127/$F$7</f>
        <v>0.60361445783132528</v>
      </c>
      <c r="J127" s="242">
        <v>11877</v>
      </c>
      <c r="K127" s="245">
        <f>J127/$J$125</f>
        <v>0.33156528293459142</v>
      </c>
      <c r="L127" s="243">
        <f t="shared" si="10"/>
        <v>-1.2225548902195627E-2</v>
      </c>
      <c r="M127" s="244">
        <f t="shared" si="11"/>
        <v>-147</v>
      </c>
      <c r="N127" s="243">
        <f t="shared" si="12"/>
        <v>7.962912462503402E-2</v>
      </c>
      <c r="O127" s="244">
        <f t="shared" si="13"/>
        <v>876</v>
      </c>
      <c r="Z127" s="1"/>
      <c r="AE127"/>
    </row>
    <row r="128" spans="2:31" x14ac:dyDescent="0.25">
      <c r="B128" s="246" t="s">
        <v>178</v>
      </c>
      <c r="C128" s="29">
        <v>753</v>
      </c>
      <c r="D128" s="29">
        <v>159</v>
      </c>
      <c r="E128" s="29">
        <v>1782</v>
      </c>
      <c r="F128" s="29">
        <v>2664</v>
      </c>
      <c r="G128" s="22">
        <f t="shared" si="8"/>
        <v>0.49494949494949503</v>
      </c>
      <c r="H128" s="20">
        <f t="shared" si="9"/>
        <v>882</v>
      </c>
      <c r="I128" s="31">
        <f>F128/$F$7</f>
        <v>0.13373493975903614</v>
      </c>
      <c r="J128" s="29">
        <v>1991</v>
      </c>
      <c r="K128" s="31">
        <f>J128/$J$125</f>
        <v>5.5581921219396445E-2</v>
      </c>
      <c r="L128" s="22">
        <f t="shared" si="10"/>
        <v>-0.25262762762762758</v>
      </c>
      <c r="M128" s="20">
        <f t="shared" si="11"/>
        <v>-673</v>
      </c>
      <c r="N128" s="22">
        <f t="shared" si="12"/>
        <v>11.522012578616351</v>
      </c>
      <c r="O128" s="20">
        <f t="shared" si="13"/>
        <v>1832</v>
      </c>
      <c r="Z128" s="1"/>
      <c r="AE128"/>
    </row>
    <row r="129" spans="2:31" x14ac:dyDescent="0.25">
      <c r="B129" s="246" t="s">
        <v>180</v>
      </c>
      <c r="C129" s="29">
        <f>C127-C128</f>
        <v>7931</v>
      </c>
      <c r="D129" s="29">
        <f>D127-D128</f>
        <v>10842</v>
      </c>
      <c r="E129" s="29">
        <f>E127-E128</f>
        <v>14507</v>
      </c>
      <c r="F129" s="29">
        <f>F127-F128</f>
        <v>9360</v>
      </c>
      <c r="G129" s="22">
        <f t="shared" si="8"/>
        <v>-0.35479423726476877</v>
      </c>
      <c r="H129" s="20">
        <f t="shared" si="9"/>
        <v>-5147</v>
      </c>
      <c r="I129" s="31">
        <f>F129/$F$7</f>
        <v>0.46987951807228917</v>
      </c>
      <c r="J129" s="29">
        <f>J127-J128</f>
        <v>9886</v>
      </c>
      <c r="K129" s="31">
        <f>J129/$J$125</f>
        <v>0.275983361715195</v>
      </c>
      <c r="L129" s="22">
        <f t="shared" si="10"/>
        <v>5.6196581196581219E-2</v>
      </c>
      <c r="M129" s="20">
        <f t="shared" si="11"/>
        <v>526</v>
      </c>
      <c r="N129" s="22">
        <f t="shared" si="12"/>
        <v>-8.8175613355469418E-2</v>
      </c>
      <c r="O129" s="20">
        <f t="shared" si="13"/>
        <v>-956</v>
      </c>
      <c r="Z129" s="1"/>
      <c r="AE129"/>
    </row>
    <row r="130" spans="2:31" x14ac:dyDescent="0.25"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Z130" s="1"/>
      <c r="AE130"/>
    </row>
    <row r="131" spans="2:31" x14ac:dyDescent="0.25">
      <c r="B131" s="172" t="s">
        <v>183</v>
      </c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Z131" s="1"/>
      <c r="AE131"/>
    </row>
  </sheetData>
  <mergeCells count="2">
    <mergeCell ref="B37:R37"/>
    <mergeCell ref="B47:R4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1675F-CD96-4A37-8849-CFE139E2D6B7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34"/>
      <c r="H1" s="234"/>
      <c r="I1" s="234"/>
      <c r="K1" s="234"/>
    </row>
    <row r="3" spans="1:31" s="4" customFormat="1" ht="25.5" customHeight="1" thickBot="1" x14ac:dyDescent="0.3">
      <c r="B3" s="66" t="s">
        <v>307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2" t="s">
        <v>260</v>
      </c>
      <c r="D5" s="252" t="s">
        <v>261</v>
      </c>
      <c r="E5" s="252" t="s">
        <v>262</v>
      </c>
      <c r="F5" s="253" t="str">
        <f>CONCATENATE("%/s total Tenerife ",RIGHT(E5,4))</f>
        <v>%/s total Tenerife 2022</v>
      </c>
      <c r="G5" s="252" t="s">
        <v>263</v>
      </c>
      <c r="H5" s="253" t="str">
        <f>CONCATENATE("var. ",RIGHT(G5,2),"/",RIGHT(E5,2))</f>
        <v>var. 23/22</v>
      </c>
      <c r="I5" s="253" t="str">
        <f>CONCATENATE("dif. ",RIGHT(G5,2),"/",RIGHT(E5,2))</f>
        <v>dif. 23/22</v>
      </c>
      <c r="J5" s="253" t="str">
        <f>CONCATENATE("%/s total Tenerife ",RIGHT(G5,4))</f>
        <v>%/s total Tenerife 2023</v>
      </c>
      <c r="K5" s="252" t="s">
        <v>264</v>
      </c>
      <c r="L5" s="253" t="str">
        <f>CONCATENATE("var. ",RIGHT(K5,2),"/",RIGHT(G5,2))</f>
        <v>var. 24/23</v>
      </c>
      <c r="M5" s="253" t="str">
        <f>CONCATENATE("dif. ",RIGHT(K5,2),"/",RIGHT(G5,2))</f>
        <v>dif. 24/23</v>
      </c>
      <c r="N5" s="253" t="str">
        <f>CONCATENATE("%/s total Tenerife ",RIGHT(K5,4))</f>
        <v>%/s total Tenerife 2024</v>
      </c>
      <c r="O5" s="252" t="s">
        <v>265</v>
      </c>
      <c r="P5" s="253" t="str">
        <f>CONCATENATE("var. ",RIGHT(O5,2),"/",RIGHT(K5,2))</f>
        <v>var. 25/24</v>
      </c>
      <c r="Q5" s="253" t="str">
        <f>CONCATENATE("dif. ",RIGHT(O5,2),"/",RIGHT(K5,2))</f>
        <v>dif. 25/24</v>
      </c>
      <c r="R5" s="253" t="str">
        <f>CONCATENATE("var. ",RIGHT(O5,2),"/",RIGHT(C5,2))</f>
        <v>var. 25/20</v>
      </c>
      <c r="S5" s="253" t="str">
        <f>CONCATENATE("dif. ",RIGHT(O5,2),"/",RIGHT(C5,2))</f>
        <v>dif. 25/20</v>
      </c>
      <c r="T5" s="253" t="str">
        <f>CONCATENATE("%/s total Tenerife ",RIGHT(O5,4))</f>
        <v>%/s total Tenerife 2025</v>
      </c>
      <c r="AE5" s="1"/>
    </row>
    <row r="6" spans="1:31" ht="18.75" x14ac:dyDescent="0.3">
      <c r="A6" s="4"/>
      <c r="B6" s="235" t="s">
        <v>191</v>
      </c>
      <c r="C6" s="254">
        <v>7454</v>
      </c>
      <c r="D6" s="254">
        <v>7418</v>
      </c>
      <c r="E6" s="254">
        <v>15383</v>
      </c>
      <c r="F6" s="255">
        <f>E6/$E$6</f>
        <v>1</v>
      </c>
      <c r="G6" s="254">
        <v>19920</v>
      </c>
      <c r="H6" s="255">
        <f>G6/E6-1</f>
        <v>0.29493596827666901</v>
      </c>
      <c r="I6" s="254">
        <f>G6-E6</f>
        <v>4537</v>
      </c>
      <c r="J6" s="255">
        <f>G6/$G$6</f>
        <v>1</v>
      </c>
      <c r="K6" s="254">
        <v>16896</v>
      </c>
      <c r="L6" s="255">
        <f t="shared" ref="L6:L12" si="0">K6/G6-1</f>
        <v>-0.15180722891566267</v>
      </c>
      <c r="M6" s="254">
        <f t="shared" ref="M6:M12" si="1">K6-G6</f>
        <v>-3024</v>
      </c>
      <c r="N6" s="255">
        <f>K6/$K$6</f>
        <v>1</v>
      </c>
      <c r="O6" s="254">
        <v>16644</v>
      </c>
      <c r="P6" s="255">
        <f t="shared" ref="P6:P11" si="2">O6/K6-1</f>
        <v>-1.4914772727272707E-2</v>
      </c>
      <c r="Q6" s="254">
        <f t="shared" ref="Q6:Q12" si="3">O6-K6</f>
        <v>-252</v>
      </c>
      <c r="R6" s="255">
        <f>O6/C6-1</f>
        <v>1.2328950898846256</v>
      </c>
      <c r="S6" s="254">
        <f>O6-C6</f>
        <v>9190</v>
      </c>
      <c r="T6" s="255">
        <f>O6/$O$6</f>
        <v>1</v>
      </c>
      <c r="V6" s="29"/>
      <c r="W6" s="81"/>
      <c r="AE6" s="1" t="s">
        <v>175</v>
      </c>
    </row>
    <row r="7" spans="1:31" s="4" customFormat="1" x14ac:dyDescent="0.25">
      <c r="B7" s="256" t="s">
        <v>192</v>
      </c>
      <c r="C7" s="257">
        <v>7454</v>
      </c>
      <c r="D7" s="257">
        <v>7418</v>
      </c>
      <c r="E7" s="257">
        <v>15383</v>
      </c>
      <c r="F7" s="258">
        <f t="shared" ref="F7:F12" si="4">E7/$E$6</f>
        <v>1</v>
      </c>
      <c r="G7" s="257">
        <v>19920</v>
      </c>
      <c r="H7" s="259">
        <f>G7/E7-1</f>
        <v>0.29493596827666901</v>
      </c>
      <c r="I7" s="260">
        <f>G7-E7</f>
        <v>4537</v>
      </c>
      <c r="J7" s="258">
        <f>G7/$G$6</f>
        <v>1</v>
      </c>
      <c r="K7" s="257">
        <v>16896</v>
      </c>
      <c r="L7" s="261">
        <f t="shared" si="0"/>
        <v>-0.15180722891566267</v>
      </c>
      <c r="M7" s="262">
        <f t="shared" si="1"/>
        <v>-3024</v>
      </c>
      <c r="N7" s="258">
        <f>K7/$K$6</f>
        <v>1</v>
      </c>
      <c r="O7" s="257">
        <v>16644</v>
      </c>
      <c r="P7" s="259">
        <f t="shared" si="2"/>
        <v>-1.4914772727272707E-2</v>
      </c>
      <c r="Q7" s="260">
        <f t="shared" si="3"/>
        <v>-252</v>
      </c>
      <c r="R7" s="259">
        <f t="shared" ref="R7:R10" si="5">O7/C7-1</f>
        <v>1.2328950898846256</v>
      </c>
      <c r="S7" s="260">
        <f t="shared" ref="S7:S10" si="6">O7-C7</f>
        <v>9190</v>
      </c>
      <c r="T7" s="258">
        <f>O7/$O$6</f>
        <v>1</v>
      </c>
      <c r="V7" s="29"/>
      <c r="W7" s="81"/>
      <c r="AE7" s="1" t="s">
        <v>177</v>
      </c>
    </row>
    <row r="8" spans="1:31" s="4" customFormat="1" x14ac:dyDescent="0.25">
      <c r="B8" s="99" t="s">
        <v>64</v>
      </c>
      <c r="C8" s="263">
        <v>2731</v>
      </c>
      <c r="D8" s="263">
        <v>0</v>
      </c>
      <c r="E8" s="263">
        <v>1140</v>
      </c>
      <c r="F8" s="264">
        <f t="shared" si="4"/>
        <v>7.4107781317038282E-2</v>
      </c>
      <c r="G8" s="263">
        <v>2733</v>
      </c>
      <c r="H8" s="265">
        <f>IFERROR(G8/E8-1,"-")</f>
        <v>1.3973684210526316</v>
      </c>
      <c r="I8" s="266">
        <f t="shared" ref="I8:I12" si="7">G8-E8</f>
        <v>1593</v>
      </c>
      <c r="J8" s="264">
        <f t="shared" ref="J8:J12" si="8">G8/$G$6</f>
        <v>0.13719879518072289</v>
      </c>
      <c r="K8" s="263">
        <v>2789</v>
      </c>
      <c r="L8" s="267">
        <f>IFERROR(K8/G8-1,"-")</f>
        <v>2.0490303695572587E-2</v>
      </c>
      <c r="M8" s="268">
        <f>IF(G8=0,"nd",K8-G8)</f>
        <v>56</v>
      </c>
      <c r="N8" s="269">
        <f t="shared" ref="N8:N12" si="9">K8/$K$6</f>
        <v>0.1650686553030303</v>
      </c>
      <c r="O8" s="263">
        <v>3156</v>
      </c>
      <c r="P8" s="267">
        <f>IFERROR(O8/K8-1,"-")</f>
        <v>0.13158838293295094</v>
      </c>
      <c r="Q8" s="270">
        <f t="shared" si="3"/>
        <v>367</v>
      </c>
      <c r="R8" s="267">
        <f>IFERROR(O8/C8-1,"-")</f>
        <v>0.15562065177590623</v>
      </c>
      <c r="S8" s="270">
        <f t="shared" si="6"/>
        <v>425</v>
      </c>
      <c r="T8" s="269">
        <f t="shared" ref="T8:T12" si="10">O8/$O$6</f>
        <v>0.18961788031723142</v>
      </c>
      <c r="V8" s="29"/>
      <c r="W8" s="81"/>
      <c r="AE8" s="1"/>
    </row>
    <row r="9" spans="1:31" s="4" customFormat="1" x14ac:dyDescent="0.25">
      <c r="B9" s="99" t="s">
        <v>63</v>
      </c>
      <c r="C9" s="263">
        <v>4723</v>
      </c>
      <c r="D9" s="263">
        <v>0</v>
      </c>
      <c r="E9" s="263">
        <v>7540</v>
      </c>
      <c r="F9" s="269">
        <f t="shared" si="4"/>
        <v>0.49015146590391989</v>
      </c>
      <c r="G9" s="263">
        <v>17187</v>
      </c>
      <c r="H9" s="265">
        <f>IFERROR(G9/E9-1,"-")</f>
        <v>1.2794429708222812</v>
      </c>
      <c r="I9" s="270">
        <f t="shared" si="7"/>
        <v>9647</v>
      </c>
      <c r="J9" s="269">
        <f t="shared" si="8"/>
        <v>0.86280120481927713</v>
      </c>
      <c r="K9" s="263">
        <v>14107</v>
      </c>
      <c r="L9" s="267">
        <f>IFERROR(K9/G9-1,"-")</f>
        <v>-0.17920521324256711</v>
      </c>
      <c r="M9" s="268">
        <f>IF(G9=0,"nd",K9-G9)</f>
        <v>-3080</v>
      </c>
      <c r="N9" s="269">
        <f t="shared" si="9"/>
        <v>0.83493134469696972</v>
      </c>
      <c r="O9" s="263">
        <v>13488</v>
      </c>
      <c r="P9" s="267">
        <f t="shared" si="2"/>
        <v>-4.3878925356206189E-2</v>
      </c>
      <c r="Q9" s="270">
        <f t="shared" si="3"/>
        <v>-619</v>
      </c>
      <c r="R9" s="271">
        <f t="shared" si="5"/>
        <v>1.8558119839085325</v>
      </c>
      <c r="S9" s="270">
        <f t="shared" si="6"/>
        <v>8765</v>
      </c>
      <c r="T9" s="269">
        <f t="shared" si="10"/>
        <v>0.81038211968276852</v>
      </c>
      <c r="V9" s="29"/>
      <c r="W9" s="81"/>
      <c r="AE9" s="1"/>
    </row>
    <row r="10" spans="1:31" s="4" customFormat="1" x14ac:dyDescent="0.25">
      <c r="B10" s="256" t="s">
        <v>193</v>
      </c>
      <c r="C10" s="272" t="str">
        <f t="shared" ref="C10:T10" si="11">IFERROR(B10/$E$6,"-")</f>
        <v>-</v>
      </c>
      <c r="D10" s="272" t="str">
        <f t="shared" si="11"/>
        <v>-</v>
      </c>
      <c r="E10" s="272" t="str">
        <f t="shared" si="11"/>
        <v>-</v>
      </c>
      <c r="F10" s="273" t="str">
        <f>IFERROR(E10/$E$6,"-")</f>
        <v>-</v>
      </c>
      <c r="G10" s="272" t="str">
        <f t="shared" ref="G10:T10" si="12">IFERROR(F10/$E$6,"-")</f>
        <v>-</v>
      </c>
      <c r="H10" s="261" t="str">
        <f t="shared" si="12"/>
        <v>-</v>
      </c>
      <c r="I10" s="262" t="str">
        <f t="shared" si="12"/>
        <v>-</v>
      </c>
      <c r="J10" s="273" t="str">
        <f t="shared" si="12"/>
        <v>-</v>
      </c>
      <c r="K10" s="272" t="str">
        <f t="shared" si="12"/>
        <v>-</v>
      </c>
      <c r="L10" s="261" t="str">
        <f t="shared" si="12"/>
        <v>-</v>
      </c>
      <c r="M10" s="262" t="str">
        <f t="shared" si="12"/>
        <v>-</v>
      </c>
      <c r="N10" s="273" t="str">
        <f t="shared" si="12"/>
        <v>-</v>
      </c>
      <c r="O10" s="272" t="str">
        <f t="shared" si="12"/>
        <v>-</v>
      </c>
      <c r="P10" s="261" t="str">
        <f t="shared" si="12"/>
        <v>-</v>
      </c>
      <c r="Q10" s="262" t="str">
        <f t="shared" si="12"/>
        <v>-</v>
      </c>
      <c r="R10" s="261" t="str">
        <f t="shared" si="12"/>
        <v>-</v>
      </c>
      <c r="S10" s="262" t="str">
        <f t="shared" si="12"/>
        <v>-</v>
      </c>
      <c r="T10" s="273" t="str">
        <f t="shared" si="12"/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3" t="e">
        <v>#REF!</v>
      </c>
      <c r="D11" s="263" t="e">
        <v>#REF!</v>
      </c>
      <c r="E11" s="263" t="e">
        <v>#REF!</v>
      </c>
      <c r="F11" s="269" t="e">
        <f t="shared" si="4"/>
        <v>#REF!</v>
      </c>
      <c r="G11" s="263" t="e">
        <v>#REF!</v>
      </c>
      <c r="H11" s="271" t="e">
        <f t="shared" ref="H11:H12" si="13">G11/E11-1</f>
        <v>#REF!</v>
      </c>
      <c r="I11" s="270" t="e">
        <f t="shared" si="7"/>
        <v>#REF!</v>
      </c>
      <c r="J11" s="269" t="e">
        <f t="shared" si="8"/>
        <v>#REF!</v>
      </c>
      <c r="K11" s="263" t="e">
        <v>#REF!</v>
      </c>
      <c r="L11" s="267" t="e">
        <f>K11/G11-1</f>
        <v>#REF!</v>
      </c>
      <c r="M11" s="270" t="e">
        <f t="shared" si="1"/>
        <v>#REF!</v>
      </c>
      <c r="N11" s="269" t="e">
        <f t="shared" si="9"/>
        <v>#REF!</v>
      </c>
      <c r="O11" s="263" t="e">
        <v>#REF!</v>
      </c>
      <c r="P11" s="271" t="e">
        <f t="shared" si="2"/>
        <v>#REF!</v>
      </c>
      <c r="Q11" s="270" t="e">
        <f t="shared" si="3"/>
        <v>#REF!</v>
      </c>
      <c r="R11" s="271" t="e">
        <f t="shared" ref="R11:R12" si="14">O11/D11-1</f>
        <v>#REF!</v>
      </c>
      <c r="S11" s="270" t="e">
        <f t="shared" ref="S11:S12" si="15">O11-D11</f>
        <v>#REF!</v>
      </c>
      <c r="T11" s="269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3" t="e">
        <v>#REF!</v>
      </c>
      <c r="D12" s="263" t="e">
        <v>#REF!</v>
      </c>
      <c r="E12" s="263" t="e">
        <v>#REF!</v>
      </c>
      <c r="F12" s="269" t="e">
        <f t="shared" si="4"/>
        <v>#REF!</v>
      </c>
      <c r="G12" s="263" t="e">
        <v>#REF!</v>
      </c>
      <c r="H12" s="271" t="e">
        <f t="shared" si="13"/>
        <v>#REF!</v>
      </c>
      <c r="I12" s="270" t="e">
        <f t="shared" si="7"/>
        <v>#REF!</v>
      </c>
      <c r="J12" s="269" t="e">
        <f t="shared" si="8"/>
        <v>#REF!</v>
      </c>
      <c r="K12" s="263" t="e">
        <v>#REF!</v>
      </c>
      <c r="L12" s="267" t="e">
        <f t="shared" si="0"/>
        <v>#REF!</v>
      </c>
      <c r="M12" s="270" t="e">
        <f t="shared" si="1"/>
        <v>#REF!</v>
      </c>
      <c r="N12" s="269" t="e">
        <f t="shared" si="9"/>
        <v>#REF!</v>
      </c>
      <c r="O12" s="263" t="e">
        <v>#REF!</v>
      </c>
      <c r="P12" s="271" t="e">
        <f>O12/K12-1</f>
        <v>#REF!</v>
      </c>
      <c r="Q12" s="270" t="e">
        <f t="shared" si="3"/>
        <v>#REF!</v>
      </c>
      <c r="R12" s="271" t="e">
        <f t="shared" si="14"/>
        <v>#REF!</v>
      </c>
      <c r="S12" s="270" t="e">
        <f t="shared" si="15"/>
        <v>#REF!</v>
      </c>
      <c r="T12" s="269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74"/>
      <c r="M13" s="247"/>
      <c r="N13" s="247"/>
      <c r="O13" s="247"/>
      <c r="P13" s="247"/>
      <c r="Q13" s="247"/>
      <c r="R13" s="247"/>
      <c r="S13" s="247"/>
      <c r="T13" s="247"/>
      <c r="AE13" s="1" t="s">
        <v>182</v>
      </c>
    </row>
    <row r="14" spans="1:31" s="4" customFormat="1" x14ac:dyDescent="0.25">
      <c r="B14" s="172" t="s">
        <v>183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184</v>
      </c>
    </row>
    <row r="15" spans="1:31" s="4" customFormat="1" x14ac:dyDescent="0.25">
      <c r="AE15" s="1"/>
    </row>
    <row r="18" spans="1:27" x14ac:dyDescent="0.25">
      <c r="A18" t="s">
        <v>194</v>
      </c>
    </row>
    <row r="19" spans="1:27" x14ac:dyDescent="0.25">
      <c r="AA19" t="str">
        <f>CONCATENATE("Hoteles: 
",FIXED(O7,0)," viajeros 
cuota: ",FIXED(T7*100,1),"%")</f>
        <v>Hoteles: 
16.644 viajeros 
cuota: 100,0%</v>
      </c>
    </row>
    <row r="20" spans="1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78" t="s">
        <v>185</v>
      </c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9"/>
      <c r="AE40" s="1"/>
    </row>
    <row r="41" spans="2:31" s="4" customFormat="1" ht="18.75" hidden="1" x14ac:dyDescent="0.3">
      <c r="B41" s="235" t="s">
        <v>173</v>
      </c>
      <c r="C41" s="236"/>
      <c r="D41" s="236"/>
      <c r="E41" s="236"/>
      <c r="F41" s="236"/>
      <c r="G41" s="236"/>
      <c r="H41" s="236"/>
      <c r="I41" s="236"/>
      <c r="J41" s="236"/>
      <c r="K41" s="236">
        <v>1824653</v>
      </c>
      <c r="L41" s="236"/>
      <c r="M41" s="236"/>
      <c r="N41" s="237"/>
      <c r="O41" s="236">
        <v>2354005</v>
      </c>
      <c r="P41" s="237"/>
      <c r="Q41" s="237">
        <v>1</v>
      </c>
      <c r="R41" s="237">
        <v>0.2901110512519367</v>
      </c>
      <c r="S41" s="236">
        <v>529352</v>
      </c>
      <c r="T41" s="248"/>
      <c r="AE41" s="1"/>
    </row>
    <row r="42" spans="2:31" ht="18.75" hidden="1" x14ac:dyDescent="0.3">
      <c r="B42" s="235" t="s">
        <v>174</v>
      </c>
      <c r="C42" s="236"/>
      <c r="D42" s="236"/>
      <c r="E42" s="236"/>
      <c r="F42" s="236"/>
      <c r="G42" s="236"/>
      <c r="H42" s="236"/>
      <c r="I42" s="236"/>
      <c r="J42" s="236"/>
      <c r="K42" s="236">
        <v>603938</v>
      </c>
      <c r="L42" s="236"/>
      <c r="M42" s="236"/>
      <c r="N42" s="237">
        <v>1</v>
      </c>
      <c r="O42" s="236">
        <v>936181</v>
      </c>
      <c r="P42" s="237">
        <v>1</v>
      </c>
      <c r="Q42" s="237">
        <v>0.39769711619134201</v>
      </c>
      <c r="R42" s="237">
        <v>0.55012766211101138</v>
      </c>
      <c r="S42" s="236">
        <v>332243</v>
      </c>
      <c r="T42" s="248"/>
      <c r="AE42" s="1" t="s">
        <v>175</v>
      </c>
    </row>
    <row r="43" spans="2:31" ht="15.75" hidden="1" x14ac:dyDescent="0.25">
      <c r="B43" s="238" t="s">
        <v>102</v>
      </c>
      <c r="C43" s="239"/>
      <c r="D43" s="239"/>
      <c r="E43" s="239"/>
      <c r="F43" s="239"/>
      <c r="G43" s="239"/>
      <c r="H43" s="239"/>
      <c r="I43" s="239"/>
      <c r="J43" s="239"/>
      <c r="K43" s="239">
        <v>276550.36166633503</v>
      </c>
      <c r="L43" s="239"/>
      <c r="M43" s="239"/>
      <c r="N43" s="240">
        <v>0.45791184139155844</v>
      </c>
      <c r="O43" s="239">
        <v>430252.45635520399</v>
      </c>
      <c r="P43" s="240">
        <v>0.4595825554622493</v>
      </c>
      <c r="Q43" s="240">
        <v>0.18277465695918402</v>
      </c>
      <c r="R43" s="240">
        <v>0.55578337978930015</v>
      </c>
      <c r="S43" s="239">
        <v>153702.09468886897</v>
      </c>
      <c r="T43" s="249"/>
      <c r="AE43" s="1" t="s">
        <v>176</v>
      </c>
    </row>
    <row r="44" spans="2:31" s="4" customFormat="1" hidden="1" x14ac:dyDescent="0.25">
      <c r="B44" s="241" t="s">
        <v>105</v>
      </c>
      <c r="C44" s="242"/>
      <c r="D44" s="242"/>
      <c r="E44" s="242"/>
      <c r="F44" s="242"/>
      <c r="G44" s="242"/>
      <c r="H44" s="242"/>
      <c r="I44" s="242"/>
      <c r="J44" s="242"/>
      <c r="K44" s="242">
        <v>327387.63833385095</v>
      </c>
      <c r="L44" s="242"/>
      <c r="M44" s="242"/>
      <c r="N44" s="245">
        <v>0.54208815860874948</v>
      </c>
      <c r="O44" s="242">
        <v>505927.5436448183</v>
      </c>
      <c r="P44" s="245">
        <v>0.54041637636826456</v>
      </c>
      <c r="Q44" s="245">
        <v>0.21492203442423372</v>
      </c>
      <c r="R44" s="243">
        <v>0.54534711884540576</v>
      </c>
      <c r="S44" s="244">
        <v>178539.90531096736</v>
      </c>
      <c r="T44" s="251"/>
      <c r="AE44" s="1" t="s">
        <v>177</v>
      </c>
    </row>
    <row r="45" spans="2:31" s="4" customFormat="1" hidden="1" x14ac:dyDescent="0.25">
      <c r="B45" s="246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46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AE47" s="1" t="s">
        <v>182</v>
      </c>
    </row>
    <row r="48" spans="2:31" s="4" customFormat="1" hidden="1" x14ac:dyDescent="0.25">
      <c r="B48" s="296" t="s">
        <v>183</v>
      </c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49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195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3" t="str">
        <f>CONCATENATE("%/s total Tenerife ",RIGHT(F133,4))</f>
        <v>%/s total Tenerife 2023</v>
      </c>
      <c r="J133" s="186">
        <v>2024</v>
      </c>
      <c r="K133" s="253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5" t="s">
        <v>191</v>
      </c>
      <c r="C134" s="254">
        <v>7454</v>
      </c>
      <c r="D134" s="239">
        <v>10731</v>
      </c>
      <c r="E134" s="239">
        <v>17520</v>
      </c>
      <c r="F134" s="239">
        <v>25698</v>
      </c>
      <c r="G134" s="240">
        <f>F134/E134-1</f>
        <v>0.46678082191780823</v>
      </c>
      <c r="H134" s="239">
        <f>F134-E134</f>
        <v>8178</v>
      </c>
      <c r="I134" s="240">
        <f>F134/F$134</f>
        <v>1</v>
      </c>
      <c r="J134" s="239">
        <v>23944</v>
      </c>
      <c r="K134" s="240">
        <f>J134/J$134</f>
        <v>1</v>
      </c>
      <c r="L134" s="240">
        <f>J134/F134-1</f>
        <v>-6.8254338859055186E-2</v>
      </c>
      <c r="M134" s="239">
        <f>J134-F134</f>
        <v>-1754</v>
      </c>
      <c r="N134" s="240">
        <f>J134/D134-1</f>
        <v>1.2312925170068025</v>
      </c>
      <c r="O134" s="239">
        <f>J134-D134</f>
        <v>13213</v>
      </c>
      <c r="Q134" s="29"/>
      <c r="R134" s="81"/>
      <c r="Z134" s="1" t="s">
        <v>175</v>
      </c>
      <c r="AE134"/>
    </row>
    <row r="135" spans="1:31" s="4" customFormat="1" x14ac:dyDescent="0.25">
      <c r="B135" s="256" t="s">
        <v>192</v>
      </c>
      <c r="C135" s="257">
        <v>7454</v>
      </c>
      <c r="D135" s="257">
        <v>10731</v>
      </c>
      <c r="E135" s="257">
        <v>17520</v>
      </c>
      <c r="F135" s="257">
        <v>25698</v>
      </c>
      <c r="G135" s="261">
        <f>IFERROR(F135/E135-1,"-")</f>
        <v>0.46678082191780823</v>
      </c>
      <c r="H135" s="257">
        <f t="shared" ref="H135:H138" si="16">F135-E135</f>
        <v>8178</v>
      </c>
      <c r="I135" s="259">
        <f>F135/F$134</f>
        <v>1</v>
      </c>
      <c r="J135" s="257">
        <v>23944</v>
      </c>
      <c r="K135" s="258">
        <f t="shared" ref="K135:K138" si="17">J135/J$134</f>
        <v>1</v>
      </c>
      <c r="L135" s="259">
        <f t="shared" ref="L135:L138" si="18">J135/F135-1</f>
        <v>-6.8254338859055186E-2</v>
      </c>
      <c r="M135" s="260">
        <f t="shared" ref="M135:M138" si="19">J135-F135</f>
        <v>-1754</v>
      </c>
      <c r="N135" s="258">
        <f t="shared" ref="N135:N138" si="20">J135/D135-1</f>
        <v>1.2312925170068025</v>
      </c>
      <c r="O135" s="257">
        <f t="shared" ref="O135:O138" si="21">J135-D135</f>
        <v>13213</v>
      </c>
      <c r="Q135" s="29"/>
      <c r="R135" s="81"/>
      <c r="Z135" s="1" t="s">
        <v>177</v>
      </c>
    </row>
    <row r="136" spans="1:31" s="4" customFormat="1" x14ac:dyDescent="0.25">
      <c r="B136" s="99" t="s">
        <v>64</v>
      </c>
      <c r="C136" s="263">
        <v>2731</v>
      </c>
      <c r="D136" s="263">
        <v>0</v>
      </c>
      <c r="E136" s="263">
        <v>1009</v>
      </c>
      <c r="F136" s="263">
        <v>1532</v>
      </c>
      <c r="G136" s="267">
        <f t="shared" ref="G136:G138" si="22">IFERROR(F136/E136-1,"-")</f>
        <v>0.51833498513379594</v>
      </c>
      <c r="H136" s="263">
        <f t="shared" si="16"/>
        <v>523</v>
      </c>
      <c r="I136" s="271">
        <f t="shared" ref="I136:I138" si="23">F136/F$134</f>
        <v>5.9615534282823568E-2</v>
      </c>
      <c r="J136" s="263">
        <v>1540</v>
      </c>
      <c r="K136" s="269">
        <f t="shared" si="17"/>
        <v>6.4316739057801539E-2</v>
      </c>
      <c r="L136" s="271">
        <f t="shared" si="18"/>
        <v>5.2219321148825326E-3</v>
      </c>
      <c r="M136" s="270">
        <f t="shared" si="19"/>
        <v>8</v>
      </c>
      <c r="N136" s="269" t="e">
        <f t="shared" si="20"/>
        <v>#DIV/0!</v>
      </c>
      <c r="O136" s="263">
        <f t="shared" si="21"/>
        <v>1540</v>
      </c>
      <c r="Q136" s="29"/>
      <c r="R136" s="81"/>
      <c r="Z136" s="1"/>
    </row>
    <row r="137" spans="1:31" s="4" customFormat="1" x14ac:dyDescent="0.25">
      <c r="B137" s="99" t="s">
        <v>63</v>
      </c>
      <c r="C137" s="263">
        <v>0</v>
      </c>
      <c r="D137" s="263">
        <v>0</v>
      </c>
      <c r="E137" s="263">
        <v>16511</v>
      </c>
      <c r="F137" s="263">
        <v>24166</v>
      </c>
      <c r="G137" s="265">
        <f t="shared" si="22"/>
        <v>0.46363030706801522</v>
      </c>
      <c r="H137" s="263">
        <f t="shared" si="16"/>
        <v>7655</v>
      </c>
      <c r="I137" s="275">
        <f t="shared" si="23"/>
        <v>0.94038446571717649</v>
      </c>
      <c r="J137" s="263">
        <v>22404</v>
      </c>
      <c r="K137" s="269">
        <f t="shared" si="17"/>
        <v>0.93568326094219845</v>
      </c>
      <c r="L137" s="271">
        <f t="shared" si="18"/>
        <v>-7.2912356202929685E-2</v>
      </c>
      <c r="M137" s="270">
        <f t="shared" si="19"/>
        <v>-1762</v>
      </c>
      <c r="N137" s="269" t="e">
        <f t="shared" si="20"/>
        <v>#DIV/0!</v>
      </c>
      <c r="O137" s="263">
        <f t="shared" si="21"/>
        <v>22404</v>
      </c>
      <c r="Q137" s="29"/>
      <c r="R137" s="81"/>
      <c r="Z137" s="1"/>
    </row>
    <row r="138" spans="1:31" s="4" customFormat="1" x14ac:dyDescent="0.25">
      <c r="B138" s="256" t="s">
        <v>193</v>
      </c>
      <c r="C138" s="257" t="e">
        <v>#REF!</v>
      </c>
      <c r="D138" s="257" t="e">
        <v>#REF!</v>
      </c>
      <c r="E138" s="257" t="e">
        <v>#REF!</v>
      </c>
      <c r="F138" s="257" t="e">
        <v>#REF!</v>
      </c>
      <c r="G138" s="261" t="str">
        <f t="shared" si="22"/>
        <v>-</v>
      </c>
      <c r="H138" s="257" t="e">
        <f t="shared" si="16"/>
        <v>#REF!</v>
      </c>
      <c r="I138" s="259" t="e">
        <f t="shared" si="23"/>
        <v>#REF!</v>
      </c>
      <c r="J138" s="257" t="e">
        <v>#REF!</v>
      </c>
      <c r="K138" s="258" t="e">
        <f t="shared" si="17"/>
        <v>#REF!</v>
      </c>
      <c r="L138" s="259" t="e">
        <f t="shared" si="18"/>
        <v>#REF!</v>
      </c>
      <c r="M138" s="260" t="e">
        <f t="shared" si="19"/>
        <v>#REF!</v>
      </c>
      <c r="N138" s="258" t="e">
        <f t="shared" si="20"/>
        <v>#REF!</v>
      </c>
      <c r="O138" s="257" t="e">
        <f t="shared" si="21"/>
        <v>#REF!</v>
      </c>
      <c r="Q138" s="29"/>
      <c r="R138" s="81"/>
      <c r="Z138" s="1"/>
    </row>
    <row r="139" spans="1:31" s="4" customFormat="1" ht="7.5" customHeight="1" x14ac:dyDescent="0.25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Z139" s="1" t="s">
        <v>182</v>
      </c>
    </row>
    <row r="140" spans="1:31" s="4" customFormat="1" ht="32.25" customHeight="1" x14ac:dyDescent="0.25">
      <c r="B140" s="319" t="s">
        <v>196</v>
      </c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CEA29-70AC-4DA0-AD26-C09EA69A739B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34"/>
      <c r="H1" s="234"/>
      <c r="I1" s="234"/>
      <c r="K1" s="234"/>
    </row>
    <row r="3" spans="1:31" s="4" customFormat="1" ht="25.5" customHeight="1" thickBot="1" x14ac:dyDescent="0.3">
      <c r="B3" s="66" t="s">
        <v>308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2" t="s">
        <v>260</v>
      </c>
      <c r="D5" s="252" t="s">
        <v>261</v>
      </c>
      <c r="E5" s="252" t="s">
        <v>262</v>
      </c>
      <c r="F5" s="253" t="str">
        <f>CONCATENATE("%/s total Tenerife ",RIGHT(E5,4))</f>
        <v>%/s total Tenerife 2022</v>
      </c>
      <c r="G5" s="252" t="s">
        <v>263</v>
      </c>
      <c r="H5" s="253" t="str">
        <f>CONCATENATE("var. ",RIGHT(G5,2),"/",RIGHT(E5,2))</f>
        <v>var. 23/22</v>
      </c>
      <c r="I5" s="253" t="str">
        <f>CONCATENATE("dif. ",RIGHT(G5,2),"/",RIGHT(E5,2))</f>
        <v>dif. 23/22</v>
      </c>
      <c r="J5" s="253" t="str">
        <f>CONCATENATE("%/s total Tenerife ",RIGHT(G5,4))</f>
        <v>%/s total Tenerife 2023</v>
      </c>
      <c r="K5" s="252" t="s">
        <v>264</v>
      </c>
      <c r="L5" s="253" t="str">
        <f>CONCATENATE("var. ",RIGHT(K5,2),"/",RIGHT(G5,2))</f>
        <v>var. 24/23</v>
      </c>
      <c r="M5" s="253" t="str">
        <f>CONCATENATE("dif. ",RIGHT(K5,2),"/",RIGHT(G5,2))</f>
        <v>dif. 24/23</v>
      </c>
      <c r="N5" s="253" t="str">
        <f>CONCATENATE("%/s total Tenerife ",RIGHT(K5,4))</f>
        <v>%/s total Tenerife 2024</v>
      </c>
      <c r="O5" s="252" t="s">
        <v>265</v>
      </c>
      <c r="P5" s="253" t="str">
        <f>CONCATENATE("var. ",RIGHT(O5,2),"/",RIGHT(K5,2))</f>
        <v>var. 25/24</v>
      </c>
      <c r="Q5" s="253" t="str">
        <f>CONCATENATE("dif. ",RIGHT(O5,2),"/",RIGHT(K5,2))</f>
        <v>dif. 25/24</v>
      </c>
      <c r="R5" s="253" t="str">
        <f>CONCATENATE("var. ",RIGHT(O5,2),"/",RIGHT(C5,2))</f>
        <v>var. 25/20</v>
      </c>
      <c r="S5" s="253" t="str">
        <f>CONCATENATE("dif. ",RIGHT(O5,2),"/",RIGHT(C5,2))</f>
        <v>dif. 25/20</v>
      </c>
      <c r="T5" s="253" t="str">
        <f>CONCATENATE("%/s total Tenerife ",RIGHT(O5,4))</f>
        <v>%/s total Tenerife 2025</v>
      </c>
      <c r="AE5" s="1"/>
    </row>
    <row r="6" spans="1:31" ht="18.75" x14ac:dyDescent="0.3">
      <c r="A6" s="4"/>
      <c r="B6" s="235" t="s">
        <v>197</v>
      </c>
      <c r="C6" s="254">
        <v>3215</v>
      </c>
      <c r="D6" s="254">
        <v>3165</v>
      </c>
      <c r="E6" s="254">
        <v>7883</v>
      </c>
      <c r="F6" s="255">
        <f>E6/$E$6</f>
        <v>1</v>
      </c>
      <c r="G6" s="254">
        <v>13965</v>
      </c>
      <c r="H6" s="255">
        <f>G6/E6-1</f>
        <v>0.77153368007103884</v>
      </c>
      <c r="I6" s="254">
        <f>G6-E6</f>
        <v>6082</v>
      </c>
      <c r="J6" s="255">
        <f>G6/$G$6</f>
        <v>1</v>
      </c>
      <c r="K6" s="254">
        <v>12232</v>
      </c>
      <c r="L6" s="255">
        <f t="shared" ref="L6:L12" si="0">K6/G6-1</f>
        <v>-0.12409595417114216</v>
      </c>
      <c r="M6" s="254">
        <f t="shared" ref="M6:M12" si="1">K6-G6</f>
        <v>-1733</v>
      </c>
      <c r="N6" s="255">
        <f>K6/$K$6</f>
        <v>1</v>
      </c>
      <c r="O6" s="254">
        <v>11250</v>
      </c>
      <c r="P6" s="255">
        <f t="shared" ref="P6:P11" si="2">O6/K6-1</f>
        <v>-8.0281229561805056E-2</v>
      </c>
      <c r="Q6" s="254">
        <f t="shared" ref="Q6:Q12" si="3">O6-K6</f>
        <v>-982</v>
      </c>
      <c r="R6" s="255">
        <f>O6/C6-1</f>
        <v>2.4992223950233283</v>
      </c>
      <c r="S6" s="254">
        <f>O6-C6</f>
        <v>8035</v>
      </c>
      <c r="T6" s="255">
        <f>O6/$O$6</f>
        <v>1</v>
      </c>
      <c r="V6" s="29"/>
      <c r="W6" s="81"/>
      <c r="AE6" s="1" t="s">
        <v>175</v>
      </c>
    </row>
    <row r="7" spans="1:31" s="4" customFormat="1" x14ac:dyDescent="0.25">
      <c r="B7" s="256" t="s">
        <v>192</v>
      </c>
      <c r="C7" s="257">
        <v>3215</v>
      </c>
      <c r="D7" s="257">
        <v>3165</v>
      </c>
      <c r="E7" s="257">
        <v>7883</v>
      </c>
      <c r="F7" s="258">
        <f t="shared" ref="F7:F12" si="4">E7/$E$6</f>
        <v>1</v>
      </c>
      <c r="G7" s="257">
        <v>13965</v>
      </c>
      <c r="H7" s="259">
        <f>G7/E7-1</f>
        <v>0.77153368007103884</v>
      </c>
      <c r="I7" s="260">
        <f>G7-E7</f>
        <v>6082</v>
      </c>
      <c r="J7" s="258">
        <f>G7/$G$6</f>
        <v>1</v>
      </c>
      <c r="K7" s="257">
        <v>12232</v>
      </c>
      <c r="L7" s="261">
        <f t="shared" si="0"/>
        <v>-0.12409595417114216</v>
      </c>
      <c r="M7" s="262">
        <f t="shared" si="1"/>
        <v>-1733</v>
      </c>
      <c r="N7" s="258">
        <f>K7/$K$6</f>
        <v>1</v>
      </c>
      <c r="O7" s="257">
        <v>11250</v>
      </c>
      <c r="P7" s="259">
        <f t="shared" si="2"/>
        <v>-8.0281229561805056E-2</v>
      </c>
      <c r="Q7" s="260">
        <f t="shared" si="3"/>
        <v>-982</v>
      </c>
      <c r="R7" s="259">
        <f t="shared" ref="R7:R10" si="5">O7/C7-1</f>
        <v>2.4992223950233283</v>
      </c>
      <c r="S7" s="260">
        <f t="shared" ref="S7:S10" si="6">O7-C7</f>
        <v>8035</v>
      </c>
      <c r="T7" s="258">
        <f>O7/$O$6</f>
        <v>1</v>
      </c>
      <c r="V7" s="29"/>
      <c r="W7" s="81"/>
      <c r="AE7" s="1" t="s">
        <v>177</v>
      </c>
    </row>
    <row r="8" spans="1:31" s="4" customFormat="1" x14ac:dyDescent="0.25">
      <c r="B8" s="99" t="s">
        <v>64</v>
      </c>
      <c r="C8" s="263">
        <v>668</v>
      </c>
      <c r="D8" s="263">
        <v>0</v>
      </c>
      <c r="E8" s="263">
        <v>275</v>
      </c>
      <c r="F8" s="264">
        <f t="shared" si="4"/>
        <v>3.4885195991373845E-2</v>
      </c>
      <c r="G8" s="263">
        <v>820</v>
      </c>
      <c r="H8" s="265">
        <f>IFERROR(G8/E8-1,"-")</f>
        <v>1.9818181818181819</v>
      </c>
      <c r="I8" s="266">
        <f t="shared" ref="I8:I12" si="7">G8-E8</f>
        <v>545</v>
      </c>
      <c r="J8" s="264">
        <f t="shared" ref="J8:J12" si="8">G8/$G$6</f>
        <v>5.8718224131757965E-2</v>
      </c>
      <c r="K8" s="263">
        <v>863</v>
      </c>
      <c r="L8" s="267">
        <f>IFERROR(K8/G8-1,"-")</f>
        <v>5.2439024390243949E-2</v>
      </c>
      <c r="M8" s="268">
        <f>IF(G8=0,"nd",K8-G8)</f>
        <v>43</v>
      </c>
      <c r="N8" s="269">
        <f t="shared" ref="N8:N12" si="9">K8/$K$6</f>
        <v>7.0552648790058861E-2</v>
      </c>
      <c r="O8" s="263">
        <v>875</v>
      </c>
      <c r="P8" s="267">
        <f>IFERROR(O8/K8-1,"-")</f>
        <v>1.3904982618771822E-2</v>
      </c>
      <c r="Q8" s="270">
        <f t="shared" si="3"/>
        <v>12</v>
      </c>
      <c r="R8" s="267">
        <f>IFERROR(O8/C8-1,"-")</f>
        <v>0.30988023952095811</v>
      </c>
      <c r="S8" s="270">
        <f t="shared" si="6"/>
        <v>207</v>
      </c>
      <c r="T8" s="269">
        <f t="shared" ref="T8:T12" si="10">O8/$O$6</f>
        <v>7.7777777777777779E-2</v>
      </c>
      <c r="V8" s="29"/>
      <c r="W8" s="81"/>
      <c r="AE8" s="1"/>
    </row>
    <row r="9" spans="1:31" s="4" customFormat="1" x14ac:dyDescent="0.25">
      <c r="B9" s="99" t="s">
        <v>63</v>
      </c>
      <c r="C9" s="263">
        <v>2547</v>
      </c>
      <c r="D9" s="263">
        <v>0</v>
      </c>
      <c r="E9" s="263">
        <v>4139</v>
      </c>
      <c r="F9" s="269">
        <f t="shared" si="4"/>
        <v>0.52505391348471397</v>
      </c>
      <c r="G9" s="263">
        <v>13145</v>
      </c>
      <c r="H9" s="265">
        <f>IFERROR(G9/E9-1,"-")</f>
        <v>2.1758878956269632</v>
      </c>
      <c r="I9" s="270">
        <f t="shared" si="7"/>
        <v>9006</v>
      </c>
      <c r="J9" s="269">
        <f t="shared" si="8"/>
        <v>0.94128177586824202</v>
      </c>
      <c r="K9" s="263">
        <v>11369</v>
      </c>
      <c r="L9" s="267">
        <f>IFERROR(K9/G9-1,"-")</f>
        <v>-0.13510840623811338</v>
      </c>
      <c r="M9" s="268">
        <f>IF(G9=0,"nd",K9-G9)</f>
        <v>-1776</v>
      </c>
      <c r="N9" s="269">
        <f t="shared" si="9"/>
        <v>0.92944735120994115</v>
      </c>
      <c r="O9" s="263">
        <v>10375</v>
      </c>
      <c r="P9" s="267">
        <f t="shared" si="2"/>
        <v>-8.7430732694168345E-2</v>
      </c>
      <c r="Q9" s="270">
        <f t="shared" si="3"/>
        <v>-994</v>
      </c>
      <c r="R9" s="271">
        <f t="shared" si="5"/>
        <v>3.0734197094621125</v>
      </c>
      <c r="S9" s="270">
        <f t="shared" si="6"/>
        <v>7828</v>
      </c>
      <c r="T9" s="269">
        <f t="shared" si="10"/>
        <v>0.92222222222222228</v>
      </c>
      <c r="V9" s="29"/>
      <c r="W9" s="81"/>
      <c r="AE9" s="1"/>
    </row>
    <row r="10" spans="1:31" s="4" customFormat="1" x14ac:dyDescent="0.25">
      <c r="B10" s="256" t="s">
        <v>193</v>
      </c>
      <c r="C10" s="272" t="s">
        <v>229</v>
      </c>
      <c r="D10" s="272" t="s">
        <v>229</v>
      </c>
      <c r="E10" s="272" t="s">
        <v>229</v>
      </c>
      <c r="F10" s="273" t="str">
        <f>IFERROR(E10/$E$6,"-")</f>
        <v>-</v>
      </c>
      <c r="G10" s="272" t="s">
        <v>229</v>
      </c>
      <c r="H10" s="261" t="str">
        <f>IFERROR(G10/E10-1,"-")</f>
        <v>-</v>
      </c>
      <c r="I10" s="262" t="str">
        <f>IFERROR(G10-E10,"-")</f>
        <v>-</v>
      </c>
      <c r="J10" s="273" t="str">
        <f>IFERROR(G10/$G$6,"-")</f>
        <v>-</v>
      </c>
      <c r="K10" s="272" t="s">
        <v>229</v>
      </c>
      <c r="L10" s="261" t="str">
        <f>IFERROR(K10/G10-1,"-")</f>
        <v>-</v>
      </c>
      <c r="M10" s="262" t="str">
        <f>IFERROR(K10-G10,"-")</f>
        <v>-</v>
      </c>
      <c r="N10" s="273" t="str">
        <f>IFERROR(K10/$K$6,"-")</f>
        <v>-</v>
      </c>
      <c r="O10" s="272" t="s">
        <v>229</v>
      </c>
      <c r="P10" s="261" t="str">
        <f>IFERROR(O10/K10-1,"-")</f>
        <v>-</v>
      </c>
      <c r="Q10" s="262" t="str">
        <f>IFERROR(O10-K10,"-")</f>
        <v>-</v>
      </c>
      <c r="R10" s="261" t="e">
        <f t="shared" si="5"/>
        <v>#VALUE!</v>
      </c>
      <c r="S10" s="262" t="e">
        <f t="shared" si="6"/>
        <v>#VALUE!</v>
      </c>
      <c r="T10" s="273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3" t="e">
        <v>#REF!</v>
      </c>
      <c r="D11" s="263" t="e">
        <v>#REF!</v>
      </c>
      <c r="E11" s="263" t="e">
        <v>#REF!</v>
      </c>
      <c r="F11" s="269" t="e">
        <f t="shared" si="4"/>
        <v>#REF!</v>
      </c>
      <c r="G11" s="263" t="e">
        <v>#REF!</v>
      </c>
      <c r="H11" s="271" t="e">
        <f t="shared" ref="H11:H12" si="11">G11/E11-1</f>
        <v>#REF!</v>
      </c>
      <c r="I11" s="270" t="e">
        <f t="shared" si="7"/>
        <v>#REF!</v>
      </c>
      <c r="J11" s="269" t="e">
        <f t="shared" si="8"/>
        <v>#REF!</v>
      </c>
      <c r="K11" s="263" t="e">
        <v>#REF!</v>
      </c>
      <c r="L11" s="267" t="e">
        <f>K11/G11-1</f>
        <v>#REF!</v>
      </c>
      <c r="M11" s="270" t="e">
        <f t="shared" si="1"/>
        <v>#REF!</v>
      </c>
      <c r="N11" s="269" t="e">
        <f t="shared" si="9"/>
        <v>#REF!</v>
      </c>
      <c r="O11" s="263" t="e">
        <v>#REF!</v>
      </c>
      <c r="P11" s="271" t="e">
        <f t="shared" si="2"/>
        <v>#REF!</v>
      </c>
      <c r="Q11" s="270" t="e">
        <f t="shared" si="3"/>
        <v>#REF!</v>
      </c>
      <c r="R11" s="271" t="e">
        <f t="shared" ref="R11:R12" si="12">O11/D11-1</f>
        <v>#REF!</v>
      </c>
      <c r="S11" s="270" t="e">
        <f t="shared" ref="S11:S12" si="13">O11-D11</f>
        <v>#REF!</v>
      </c>
      <c r="T11" s="269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3" t="e">
        <v>#REF!</v>
      </c>
      <c r="D12" s="263" t="e">
        <v>#REF!</v>
      </c>
      <c r="E12" s="263" t="e">
        <v>#REF!</v>
      </c>
      <c r="F12" s="269" t="e">
        <f t="shared" si="4"/>
        <v>#REF!</v>
      </c>
      <c r="G12" s="263" t="e">
        <v>#REF!</v>
      </c>
      <c r="H12" s="271" t="e">
        <f t="shared" si="11"/>
        <v>#REF!</v>
      </c>
      <c r="I12" s="270" t="e">
        <f t="shared" si="7"/>
        <v>#REF!</v>
      </c>
      <c r="J12" s="269" t="e">
        <f t="shared" si="8"/>
        <v>#REF!</v>
      </c>
      <c r="K12" s="263" t="e">
        <v>#REF!</v>
      </c>
      <c r="L12" s="267" t="e">
        <f t="shared" si="0"/>
        <v>#REF!</v>
      </c>
      <c r="M12" s="270" t="e">
        <f t="shared" si="1"/>
        <v>#REF!</v>
      </c>
      <c r="N12" s="269" t="e">
        <f t="shared" si="9"/>
        <v>#REF!</v>
      </c>
      <c r="O12" s="263" t="e">
        <v>#REF!</v>
      </c>
      <c r="P12" s="271" t="e">
        <f>O12/K12-1</f>
        <v>#REF!</v>
      </c>
      <c r="Q12" s="270" t="e">
        <f t="shared" si="3"/>
        <v>#REF!</v>
      </c>
      <c r="R12" s="271" t="e">
        <f t="shared" si="12"/>
        <v>#REF!</v>
      </c>
      <c r="S12" s="270" t="e">
        <f t="shared" si="13"/>
        <v>#REF!</v>
      </c>
      <c r="T12" s="269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74"/>
      <c r="M13" s="247"/>
      <c r="N13" s="247"/>
      <c r="O13" s="247"/>
      <c r="P13" s="247"/>
      <c r="Q13" s="247"/>
      <c r="R13" s="247"/>
      <c r="S13" s="247"/>
      <c r="T13" s="247"/>
      <c r="AE13" s="1" t="s">
        <v>182</v>
      </c>
    </row>
    <row r="14" spans="1:31" s="4" customFormat="1" x14ac:dyDescent="0.25">
      <c r="B14" s="172" t="s">
        <v>183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11.250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78" t="s">
        <v>185</v>
      </c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9"/>
      <c r="AE40" s="1"/>
    </row>
    <row r="41" spans="2:31" s="4" customFormat="1" ht="18.75" hidden="1" x14ac:dyDescent="0.3">
      <c r="B41" s="235" t="s">
        <v>173</v>
      </c>
      <c r="C41" s="236"/>
      <c r="D41" s="236"/>
      <c r="E41" s="236"/>
      <c r="F41" s="236"/>
      <c r="G41" s="236"/>
      <c r="H41" s="236"/>
      <c r="I41" s="236"/>
      <c r="J41" s="236"/>
      <c r="K41" s="236">
        <v>1824653</v>
      </c>
      <c r="L41" s="236"/>
      <c r="M41" s="236"/>
      <c r="N41" s="237"/>
      <c r="O41" s="236">
        <v>2354005</v>
      </c>
      <c r="P41" s="237"/>
      <c r="Q41" s="237">
        <v>1</v>
      </c>
      <c r="R41" s="237">
        <v>0.2901110512519367</v>
      </c>
      <c r="S41" s="236">
        <v>529352</v>
      </c>
      <c r="T41" s="248"/>
      <c r="AE41" s="1"/>
    </row>
    <row r="42" spans="2:31" ht="18.75" hidden="1" x14ac:dyDescent="0.3">
      <c r="B42" s="235" t="s">
        <v>174</v>
      </c>
      <c r="C42" s="236"/>
      <c r="D42" s="236"/>
      <c r="E42" s="236"/>
      <c r="F42" s="236"/>
      <c r="G42" s="236"/>
      <c r="H42" s="236"/>
      <c r="I42" s="236"/>
      <c r="J42" s="236"/>
      <c r="K42" s="236">
        <v>603938</v>
      </c>
      <c r="L42" s="236"/>
      <c r="M42" s="236"/>
      <c r="N42" s="237">
        <v>1</v>
      </c>
      <c r="O42" s="236">
        <v>936181</v>
      </c>
      <c r="P42" s="237">
        <v>1</v>
      </c>
      <c r="Q42" s="237">
        <v>0.39769711619134201</v>
      </c>
      <c r="R42" s="237">
        <v>0.55012766211101138</v>
      </c>
      <c r="S42" s="236">
        <v>332243</v>
      </c>
      <c r="T42" s="248"/>
      <c r="AE42" s="1" t="s">
        <v>175</v>
      </c>
    </row>
    <row r="43" spans="2:31" ht="15.75" hidden="1" x14ac:dyDescent="0.25">
      <c r="B43" s="238" t="s">
        <v>102</v>
      </c>
      <c r="C43" s="239"/>
      <c r="D43" s="239"/>
      <c r="E43" s="239"/>
      <c r="F43" s="239"/>
      <c r="G43" s="239"/>
      <c r="H43" s="239"/>
      <c r="I43" s="239"/>
      <c r="J43" s="239"/>
      <c r="K43" s="239">
        <v>276550.36166633503</v>
      </c>
      <c r="L43" s="239"/>
      <c r="M43" s="239"/>
      <c r="N43" s="240">
        <v>0.45791184139155844</v>
      </c>
      <c r="O43" s="239">
        <v>430252.45635520399</v>
      </c>
      <c r="P43" s="240">
        <v>0.4595825554622493</v>
      </c>
      <c r="Q43" s="240">
        <v>0.18277465695918402</v>
      </c>
      <c r="R43" s="240">
        <v>0.55578337978930015</v>
      </c>
      <c r="S43" s="239">
        <v>153702.09468886897</v>
      </c>
      <c r="T43" s="249"/>
      <c r="AE43" s="1" t="s">
        <v>176</v>
      </c>
    </row>
    <row r="44" spans="2:31" s="4" customFormat="1" hidden="1" x14ac:dyDescent="0.25">
      <c r="B44" s="241" t="s">
        <v>105</v>
      </c>
      <c r="C44" s="242"/>
      <c r="D44" s="242"/>
      <c r="E44" s="242"/>
      <c r="F44" s="242"/>
      <c r="G44" s="242"/>
      <c r="H44" s="242"/>
      <c r="I44" s="242"/>
      <c r="J44" s="242"/>
      <c r="K44" s="242">
        <v>327387.63833385095</v>
      </c>
      <c r="L44" s="242"/>
      <c r="M44" s="242"/>
      <c r="N44" s="245">
        <v>0.54208815860874948</v>
      </c>
      <c r="O44" s="242">
        <v>505927.5436448183</v>
      </c>
      <c r="P44" s="245">
        <v>0.54041637636826456</v>
      </c>
      <c r="Q44" s="245">
        <v>0.21492203442423372</v>
      </c>
      <c r="R44" s="243">
        <v>0.54534711884540576</v>
      </c>
      <c r="S44" s="244">
        <v>178539.90531096736</v>
      </c>
      <c r="T44" s="251"/>
      <c r="AE44" s="1" t="s">
        <v>177</v>
      </c>
    </row>
    <row r="45" spans="2:31" s="4" customFormat="1" hidden="1" x14ac:dyDescent="0.25">
      <c r="B45" s="246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46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AE47" s="1" t="s">
        <v>182</v>
      </c>
    </row>
    <row r="48" spans="2:31" s="4" customFormat="1" hidden="1" x14ac:dyDescent="0.25">
      <c r="B48" s="296" t="s">
        <v>183</v>
      </c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49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198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3" t="str">
        <f>CONCATENATE("%/s total Tenerife ",RIGHT(F133,4))</f>
        <v>%/s total Tenerife 2023</v>
      </c>
      <c r="J133" s="186">
        <v>2024</v>
      </c>
      <c r="K133" s="253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5" t="s">
        <v>197</v>
      </c>
      <c r="C134" s="239">
        <v>7339</v>
      </c>
      <c r="D134" s="239">
        <v>10731</v>
      </c>
      <c r="E134" s="239">
        <v>17520</v>
      </c>
      <c r="F134" s="239">
        <v>25698</v>
      </c>
      <c r="G134" s="240">
        <f>F134/E134-1</f>
        <v>0.46678082191780823</v>
      </c>
      <c r="H134" s="239">
        <f>F134-E134</f>
        <v>8178</v>
      </c>
      <c r="I134" s="240">
        <f>F134/F$134</f>
        <v>1</v>
      </c>
      <c r="J134" s="239">
        <v>23944</v>
      </c>
      <c r="K134" s="240">
        <f>J134/J$134</f>
        <v>1</v>
      </c>
      <c r="L134" s="240">
        <f>J134/F134-1</f>
        <v>-6.8254338859055186E-2</v>
      </c>
      <c r="M134" s="239">
        <f>J134-F134</f>
        <v>-1754</v>
      </c>
      <c r="N134" s="240">
        <f>J134/D134-1</f>
        <v>1.2312925170068025</v>
      </c>
      <c r="O134" s="239">
        <f>J134-D134</f>
        <v>13213</v>
      </c>
      <c r="Q134" s="29"/>
      <c r="R134" s="81"/>
      <c r="Z134" s="1" t="s">
        <v>175</v>
      </c>
      <c r="AE134"/>
    </row>
    <row r="135" spans="1:31" s="4" customFormat="1" x14ac:dyDescent="0.25">
      <c r="B135" s="256" t="s">
        <v>192</v>
      </c>
      <c r="C135" s="257">
        <v>7339</v>
      </c>
      <c r="D135" s="257">
        <v>10731</v>
      </c>
      <c r="E135" s="257">
        <v>17520</v>
      </c>
      <c r="F135" s="257">
        <v>25698</v>
      </c>
      <c r="G135" s="261">
        <f>IFERROR(F135/E135-1,"-")</f>
        <v>0.46678082191780823</v>
      </c>
      <c r="H135" s="257">
        <f t="shared" ref="H135:H138" si="14">F135-E135</f>
        <v>8178</v>
      </c>
      <c r="I135" s="259">
        <f>F135/F$134</f>
        <v>1</v>
      </c>
      <c r="J135" s="257">
        <v>23944</v>
      </c>
      <c r="K135" s="258">
        <f t="shared" ref="K135:K138" si="15">J135/J$134</f>
        <v>1</v>
      </c>
      <c r="L135" s="259">
        <f t="shared" ref="L135:L138" si="16">J135/F135-1</f>
        <v>-6.8254338859055186E-2</v>
      </c>
      <c r="M135" s="260">
        <f t="shared" ref="M135:M138" si="17">J135-F135</f>
        <v>-1754</v>
      </c>
      <c r="N135" s="258">
        <f t="shared" ref="N135:N138" si="18">J135/D135-1</f>
        <v>1.2312925170068025</v>
      </c>
      <c r="O135" s="257">
        <f t="shared" ref="O135:O138" si="19">J135-D135</f>
        <v>13213</v>
      </c>
      <c r="Q135" s="29"/>
      <c r="R135" s="81"/>
      <c r="Z135" s="1" t="s">
        <v>177</v>
      </c>
    </row>
    <row r="136" spans="1:31" s="4" customFormat="1" x14ac:dyDescent="0.25">
      <c r="B136" s="99" t="s">
        <v>64</v>
      </c>
      <c r="C136" s="263">
        <v>0</v>
      </c>
      <c r="D136" s="263">
        <v>0</v>
      </c>
      <c r="E136" s="263">
        <v>1009</v>
      </c>
      <c r="F136" s="263">
        <v>1532</v>
      </c>
      <c r="G136" s="267">
        <f t="shared" ref="G136:G138" si="20">IFERROR(F136/E136-1,"-")</f>
        <v>0.51833498513379594</v>
      </c>
      <c r="H136" s="263">
        <f t="shared" si="14"/>
        <v>523</v>
      </c>
      <c r="I136" s="271">
        <f t="shared" ref="I136:I138" si="21">F136/F$134</f>
        <v>5.9615534282823568E-2</v>
      </c>
      <c r="J136" s="263">
        <v>1540</v>
      </c>
      <c r="K136" s="269">
        <f t="shared" si="15"/>
        <v>6.4316739057801539E-2</v>
      </c>
      <c r="L136" s="271">
        <f t="shared" si="16"/>
        <v>5.2219321148825326E-3</v>
      </c>
      <c r="M136" s="270">
        <f t="shared" si="17"/>
        <v>8</v>
      </c>
      <c r="N136" s="269" t="e">
        <f t="shared" si="18"/>
        <v>#DIV/0!</v>
      </c>
      <c r="O136" s="263">
        <f t="shared" si="19"/>
        <v>1540</v>
      </c>
      <c r="Q136" s="29"/>
      <c r="R136" s="81"/>
      <c r="Z136" s="1"/>
    </row>
    <row r="137" spans="1:31" s="4" customFormat="1" x14ac:dyDescent="0.25">
      <c r="B137" s="99" t="s">
        <v>63</v>
      </c>
      <c r="C137" s="263">
        <v>0</v>
      </c>
      <c r="D137" s="263">
        <v>0</v>
      </c>
      <c r="E137" s="263">
        <v>16511</v>
      </c>
      <c r="F137" s="263">
        <v>24166</v>
      </c>
      <c r="G137" s="265">
        <f t="shared" si="20"/>
        <v>0.46363030706801522</v>
      </c>
      <c r="H137" s="263">
        <f t="shared" si="14"/>
        <v>7655</v>
      </c>
      <c r="I137" s="275">
        <f t="shared" si="21"/>
        <v>0.94038446571717649</v>
      </c>
      <c r="J137" s="263">
        <v>22404</v>
      </c>
      <c r="K137" s="269">
        <f t="shared" si="15"/>
        <v>0.93568326094219845</v>
      </c>
      <c r="L137" s="271">
        <f t="shared" si="16"/>
        <v>-7.2912356202929685E-2</v>
      </c>
      <c r="M137" s="270">
        <f t="shared" si="17"/>
        <v>-1762</v>
      </c>
      <c r="N137" s="269" t="e">
        <f t="shared" si="18"/>
        <v>#DIV/0!</v>
      </c>
      <c r="O137" s="263">
        <f t="shared" si="19"/>
        <v>22404</v>
      </c>
      <c r="Q137" s="29"/>
      <c r="R137" s="81"/>
      <c r="Z137" s="1"/>
    </row>
    <row r="138" spans="1:31" s="4" customFormat="1" x14ac:dyDescent="0.25">
      <c r="B138" s="256" t="s">
        <v>193</v>
      </c>
      <c r="C138" s="257" t="e">
        <v>#REF!</v>
      </c>
      <c r="D138" s="257" t="e">
        <v>#REF!</v>
      </c>
      <c r="E138" s="257" t="e">
        <v>#REF!</v>
      </c>
      <c r="F138" s="257" t="e">
        <v>#REF!</v>
      </c>
      <c r="G138" s="261" t="str">
        <f t="shared" si="20"/>
        <v>-</v>
      </c>
      <c r="H138" s="257" t="e">
        <f t="shared" si="14"/>
        <v>#REF!</v>
      </c>
      <c r="I138" s="259" t="e">
        <f t="shared" si="21"/>
        <v>#REF!</v>
      </c>
      <c r="J138" s="257" t="e">
        <v>#REF!</v>
      </c>
      <c r="K138" s="258" t="e">
        <f t="shared" si="15"/>
        <v>#REF!</v>
      </c>
      <c r="L138" s="259" t="e">
        <f t="shared" si="16"/>
        <v>#REF!</v>
      </c>
      <c r="M138" s="260" t="e">
        <f t="shared" si="17"/>
        <v>#REF!</v>
      </c>
      <c r="N138" s="258" t="e">
        <f t="shared" si="18"/>
        <v>#REF!</v>
      </c>
      <c r="O138" s="257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Z139" s="1" t="s">
        <v>182</v>
      </c>
    </row>
    <row r="140" spans="1:31" s="4" customFormat="1" ht="32.25" customHeight="1" x14ac:dyDescent="0.25">
      <c r="B140" s="319" t="s">
        <v>196</v>
      </c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7A9C7-1219-4B29-91E9-A017E87B4DA6}">
  <sheetPr>
    <tabColor theme="4" tint="0.39997558519241921"/>
  </sheetPr>
  <dimension ref="A1:AE1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20" width="12.42578125" customWidth="1"/>
    <col min="27" max="27" width="14" hidden="1" customWidth="1"/>
    <col min="31" max="31" width="11.42578125" style="1"/>
  </cols>
  <sheetData>
    <row r="1" spans="1:31" ht="30" customHeight="1" x14ac:dyDescent="0.25">
      <c r="B1" s="1" t="s">
        <v>190</v>
      </c>
      <c r="G1" s="234"/>
      <c r="H1" s="234"/>
      <c r="I1" s="234"/>
      <c r="K1" s="234"/>
    </row>
    <row r="3" spans="1:31" s="4" customFormat="1" ht="25.5" customHeight="1" thickBot="1" x14ac:dyDescent="0.3">
      <c r="B3" s="66" t="s">
        <v>309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30" x14ac:dyDescent="0.25">
      <c r="C5" s="252" t="s">
        <v>260</v>
      </c>
      <c r="D5" s="252" t="s">
        <v>261</v>
      </c>
      <c r="E5" s="252" t="s">
        <v>262</v>
      </c>
      <c r="F5" s="253" t="str">
        <f>CONCATENATE("%/s total Tenerife ",RIGHT(E5,4))</f>
        <v>%/s total Tenerife 2022</v>
      </c>
      <c r="G5" s="252" t="s">
        <v>263</v>
      </c>
      <c r="H5" s="253" t="str">
        <f>CONCATENATE("var. ",RIGHT(G5,2),"/",RIGHT(E5,2))</f>
        <v>var. 23/22</v>
      </c>
      <c r="I5" s="253" t="str">
        <f>CONCATENATE("dif. ",RIGHT(G5,2),"/",RIGHT(E5,2))</f>
        <v>dif. 23/22</v>
      </c>
      <c r="J5" s="253" t="str">
        <f>CONCATENATE("%/s total Tenerife ",RIGHT(G5,4))</f>
        <v>%/s total Tenerife 2023</v>
      </c>
      <c r="K5" s="252" t="s">
        <v>264</v>
      </c>
      <c r="L5" s="253" t="str">
        <f>CONCATENATE("var. ",RIGHT(K5,2),"/",RIGHT(G5,2))</f>
        <v>var. 24/23</v>
      </c>
      <c r="M5" s="253" t="str">
        <f>CONCATENATE("dif. ",RIGHT(K5,2),"/",RIGHT(G5,2))</f>
        <v>dif. 24/23</v>
      </c>
      <c r="N5" s="253" t="str">
        <f>CONCATENATE("%/s total Tenerife ",RIGHT(K5,4))</f>
        <v>%/s total Tenerife 2024</v>
      </c>
      <c r="O5" s="252" t="s">
        <v>265</v>
      </c>
      <c r="P5" s="253" t="str">
        <f>CONCATENATE("var. ",RIGHT(O5,2),"/",RIGHT(K5,2))</f>
        <v>var. 25/24</v>
      </c>
      <c r="Q5" s="253" t="str">
        <f>CONCATENATE("dif. ",RIGHT(O5,2),"/",RIGHT(K5,2))</f>
        <v>dif. 25/24</v>
      </c>
      <c r="R5" s="253" t="str">
        <f>CONCATENATE("var. ",RIGHT(O5,2),"/",RIGHT(C5,2))</f>
        <v>var. 25/20</v>
      </c>
      <c r="S5" s="253" t="str">
        <f>CONCATENATE("dif. ",RIGHT(O5,2),"/",RIGHT(C5,2))</f>
        <v>dif. 25/20</v>
      </c>
      <c r="T5" s="253" t="str">
        <f>CONCATENATE("%/s total Tenerife ",RIGHT(O5,4))</f>
        <v>%/s total Tenerife 2025</v>
      </c>
      <c r="AE5" s="1"/>
    </row>
    <row r="6" spans="1:31" ht="18.75" x14ac:dyDescent="0.3">
      <c r="A6" s="4"/>
      <c r="B6" s="235" t="s">
        <v>199</v>
      </c>
      <c r="C6" s="254">
        <v>4239</v>
      </c>
      <c r="D6" s="254">
        <v>4253</v>
      </c>
      <c r="E6" s="254">
        <v>7500</v>
      </c>
      <c r="F6" s="255">
        <f>E6/$E$6</f>
        <v>1</v>
      </c>
      <c r="G6" s="254">
        <v>5955</v>
      </c>
      <c r="H6" s="255">
        <f>G6/E6-1</f>
        <v>-0.20599999999999996</v>
      </c>
      <c r="I6" s="254">
        <f>G6-E6</f>
        <v>-1545</v>
      </c>
      <c r="J6" s="255">
        <f>G6/$G$6</f>
        <v>1</v>
      </c>
      <c r="K6" s="254">
        <v>4664</v>
      </c>
      <c r="L6" s="255">
        <f t="shared" ref="L6:L12" si="0">K6/G6-1</f>
        <v>-0.21679261125104954</v>
      </c>
      <c r="M6" s="254">
        <f t="shared" ref="M6:M12" si="1">K6-G6</f>
        <v>-1291</v>
      </c>
      <c r="N6" s="255">
        <f>K6/$K$6</f>
        <v>1</v>
      </c>
      <c r="O6" s="254">
        <v>5394</v>
      </c>
      <c r="P6" s="255">
        <f t="shared" ref="P6:P11" si="2">O6/K6-1</f>
        <v>0.15651801029159529</v>
      </c>
      <c r="Q6" s="254">
        <f t="shared" ref="Q6:Q12" si="3">O6-K6</f>
        <v>730</v>
      </c>
      <c r="R6" s="255">
        <f>O6/C6-1</f>
        <v>0.27246992215145083</v>
      </c>
      <c r="S6" s="254">
        <f>O6-C6</f>
        <v>1155</v>
      </c>
      <c r="T6" s="255">
        <f>O6/$O$6</f>
        <v>1</v>
      </c>
      <c r="V6" s="29"/>
      <c r="W6" s="81"/>
      <c r="AE6" s="1" t="s">
        <v>175</v>
      </c>
    </row>
    <row r="7" spans="1:31" s="4" customFormat="1" x14ac:dyDescent="0.25">
      <c r="B7" s="256" t="s">
        <v>192</v>
      </c>
      <c r="C7" s="257">
        <v>4239</v>
      </c>
      <c r="D7" s="257">
        <v>4253</v>
      </c>
      <c r="E7" s="257">
        <v>7500</v>
      </c>
      <c r="F7" s="258">
        <f t="shared" ref="F7:F12" si="4">E7/$E$6</f>
        <v>1</v>
      </c>
      <c r="G7" s="257">
        <v>5955</v>
      </c>
      <c r="H7" s="259">
        <f>G7/E7-1</f>
        <v>-0.20599999999999996</v>
      </c>
      <c r="I7" s="260">
        <f>G7-E7</f>
        <v>-1545</v>
      </c>
      <c r="J7" s="258">
        <f>G7/$G$6</f>
        <v>1</v>
      </c>
      <c r="K7" s="257">
        <v>4664</v>
      </c>
      <c r="L7" s="261">
        <f t="shared" si="0"/>
        <v>-0.21679261125104954</v>
      </c>
      <c r="M7" s="262">
        <f t="shared" si="1"/>
        <v>-1291</v>
      </c>
      <c r="N7" s="258">
        <f>K7/$K$6</f>
        <v>1</v>
      </c>
      <c r="O7" s="257">
        <v>5394</v>
      </c>
      <c r="P7" s="259">
        <f t="shared" si="2"/>
        <v>0.15651801029159529</v>
      </c>
      <c r="Q7" s="260">
        <f t="shared" si="3"/>
        <v>730</v>
      </c>
      <c r="R7" s="259">
        <f t="shared" ref="R7:R10" si="5">O7/C7-1</f>
        <v>0.27246992215145083</v>
      </c>
      <c r="S7" s="260">
        <f t="shared" ref="S7:S10" si="6">O7-C7</f>
        <v>1155</v>
      </c>
      <c r="T7" s="258">
        <f>O7/$O$6</f>
        <v>1</v>
      </c>
      <c r="V7" s="29"/>
      <c r="W7" s="81"/>
      <c r="AE7" s="1" t="s">
        <v>177</v>
      </c>
    </row>
    <row r="8" spans="1:31" s="4" customFormat="1" x14ac:dyDescent="0.25">
      <c r="B8" s="99" t="s">
        <v>64</v>
      </c>
      <c r="C8" s="263">
        <v>2063</v>
      </c>
      <c r="D8" s="263">
        <v>0</v>
      </c>
      <c r="E8" s="263">
        <v>865</v>
      </c>
      <c r="F8" s="264">
        <f t="shared" si="4"/>
        <v>0.11533333333333333</v>
      </c>
      <c r="G8" s="263">
        <v>1913</v>
      </c>
      <c r="H8" s="265">
        <f>IFERROR(G8/E8-1,"-")</f>
        <v>1.2115606936416183</v>
      </c>
      <c r="I8" s="266">
        <f t="shared" ref="I8:I12" si="7">G8-E8</f>
        <v>1048</v>
      </c>
      <c r="J8" s="264">
        <f t="shared" ref="J8:J12" si="8">G8/$G$6</f>
        <v>0.32124265323257767</v>
      </c>
      <c r="K8" s="263">
        <v>1926</v>
      </c>
      <c r="L8" s="267">
        <f>IFERROR(K8/G8-1,"-")</f>
        <v>6.7956089911134221E-3</v>
      </c>
      <c r="M8" s="268">
        <f>IF(G8=0,"nd",K8-G8)</f>
        <v>13</v>
      </c>
      <c r="N8" s="269">
        <f t="shared" ref="N8:N12" si="9">K8/$K$6</f>
        <v>0.41295025728987994</v>
      </c>
      <c r="O8" s="263">
        <v>2281</v>
      </c>
      <c r="P8" s="267">
        <f>IFERROR(O8/K8-1,"-")</f>
        <v>0.18431983385254402</v>
      </c>
      <c r="Q8" s="270">
        <f t="shared" si="3"/>
        <v>355</v>
      </c>
      <c r="R8" s="267">
        <f>IFERROR(O8/C8-1,"-")</f>
        <v>0.10567135239941838</v>
      </c>
      <c r="S8" s="270">
        <f t="shared" si="6"/>
        <v>218</v>
      </c>
      <c r="T8" s="269">
        <f t="shared" ref="T8:T12" si="10">O8/$O$6</f>
        <v>0.42287727104189843</v>
      </c>
      <c r="V8" s="29"/>
      <c r="W8" s="81"/>
      <c r="AE8" s="1"/>
    </row>
    <row r="9" spans="1:31" s="4" customFormat="1" x14ac:dyDescent="0.25">
      <c r="B9" s="99" t="s">
        <v>63</v>
      </c>
      <c r="C9" s="263">
        <v>2176</v>
      </c>
      <c r="D9" s="263">
        <v>0</v>
      </c>
      <c r="E9" s="263">
        <v>3401</v>
      </c>
      <c r="F9" s="269">
        <f t="shared" si="4"/>
        <v>0.45346666666666668</v>
      </c>
      <c r="G9" s="263">
        <v>4042</v>
      </c>
      <c r="H9" s="265">
        <f>IFERROR(G9/E9-1,"-")</f>
        <v>0.18847397824169354</v>
      </c>
      <c r="I9" s="270">
        <f t="shared" si="7"/>
        <v>641</v>
      </c>
      <c r="J9" s="269">
        <f t="shared" si="8"/>
        <v>0.67875734676742239</v>
      </c>
      <c r="K9" s="263">
        <v>2738</v>
      </c>
      <c r="L9" s="267">
        <f>IFERROR(K9/G9-1,"-")</f>
        <v>-0.32261256803562588</v>
      </c>
      <c r="M9" s="268">
        <f>IF(G9=0,"nd",K9-G9)</f>
        <v>-1304</v>
      </c>
      <c r="N9" s="269">
        <f t="shared" si="9"/>
        <v>0.58704974271012011</v>
      </c>
      <c r="O9" s="263">
        <v>3113</v>
      </c>
      <c r="P9" s="267">
        <f t="shared" si="2"/>
        <v>0.13696128560993426</v>
      </c>
      <c r="Q9" s="270">
        <f t="shared" si="3"/>
        <v>375</v>
      </c>
      <c r="R9" s="271">
        <f t="shared" si="5"/>
        <v>0.43060661764705888</v>
      </c>
      <c r="S9" s="270">
        <f t="shared" si="6"/>
        <v>937</v>
      </c>
      <c r="T9" s="269">
        <f t="shared" si="10"/>
        <v>0.57712272895810157</v>
      </c>
      <c r="V9" s="29"/>
      <c r="W9" s="81"/>
      <c r="AE9" s="1"/>
    </row>
    <row r="10" spans="1:31" s="4" customFormat="1" x14ac:dyDescent="0.25">
      <c r="B10" s="256" t="s">
        <v>193</v>
      </c>
      <c r="C10" s="272" t="s">
        <v>229</v>
      </c>
      <c r="D10" s="272" t="s">
        <v>229</v>
      </c>
      <c r="E10" s="272" t="s">
        <v>229</v>
      </c>
      <c r="F10" s="273" t="str">
        <f>IFERROR(E10/$E$6,"-")</f>
        <v>-</v>
      </c>
      <c r="G10" s="272" t="s">
        <v>229</v>
      </c>
      <c r="H10" s="261" t="str">
        <f>IFERROR(G10/E10-1,"-")</f>
        <v>-</v>
      </c>
      <c r="I10" s="262" t="str">
        <f>IFERROR(G10-E10,"-")</f>
        <v>-</v>
      </c>
      <c r="J10" s="273" t="str">
        <f>IFERROR(G10/$G$6,"-")</f>
        <v>-</v>
      </c>
      <c r="K10" s="272" t="s">
        <v>229</v>
      </c>
      <c r="L10" s="261" t="str">
        <f>IFERROR(K10/G10-1,"-")</f>
        <v>-</v>
      </c>
      <c r="M10" s="262" t="str">
        <f>IFERROR(K10-G10,"-")</f>
        <v>-</v>
      </c>
      <c r="N10" s="273" t="str">
        <f>IFERROR(K10/$K$6,"-")</f>
        <v>-</v>
      </c>
      <c r="O10" s="272" t="s">
        <v>229</v>
      </c>
      <c r="P10" s="261" t="str">
        <f>IFERROR(O10/K10-1,"-")</f>
        <v>-</v>
      </c>
      <c r="Q10" s="262" t="str">
        <f>IFERROR(O10-K10,"-")</f>
        <v>-</v>
      </c>
      <c r="R10" s="261" t="e">
        <f t="shared" si="5"/>
        <v>#VALUE!</v>
      </c>
      <c r="S10" s="262" t="e">
        <f t="shared" si="6"/>
        <v>#VALUE!</v>
      </c>
      <c r="T10" s="273" t="str">
        <f>IFERROR(O10/$O$6,"-")</f>
        <v>-</v>
      </c>
      <c r="V10" s="29"/>
      <c r="W10" s="81"/>
      <c r="AE10" s="1"/>
    </row>
    <row r="11" spans="1:31" s="4" customFormat="1" hidden="1" x14ac:dyDescent="0.25">
      <c r="B11" s="99" t="s">
        <v>64</v>
      </c>
      <c r="C11" s="263" t="e">
        <v>#REF!</v>
      </c>
      <c r="D11" s="263" t="e">
        <v>#REF!</v>
      </c>
      <c r="E11" s="263" t="e">
        <v>#REF!</v>
      </c>
      <c r="F11" s="269" t="e">
        <f t="shared" si="4"/>
        <v>#REF!</v>
      </c>
      <c r="G11" s="263" t="e">
        <v>#REF!</v>
      </c>
      <c r="H11" s="271" t="e">
        <f t="shared" ref="H11:H12" si="11">G11/E11-1</f>
        <v>#REF!</v>
      </c>
      <c r="I11" s="270" t="e">
        <f t="shared" si="7"/>
        <v>#REF!</v>
      </c>
      <c r="J11" s="269" t="e">
        <f t="shared" si="8"/>
        <v>#REF!</v>
      </c>
      <c r="K11" s="263" t="e">
        <v>#REF!</v>
      </c>
      <c r="L11" s="267" t="e">
        <f>K11/G11-1</f>
        <v>#REF!</v>
      </c>
      <c r="M11" s="270" t="e">
        <f t="shared" si="1"/>
        <v>#REF!</v>
      </c>
      <c r="N11" s="269" t="e">
        <f t="shared" si="9"/>
        <v>#REF!</v>
      </c>
      <c r="O11" s="263" t="e">
        <v>#REF!</v>
      </c>
      <c r="P11" s="271" t="e">
        <f t="shared" si="2"/>
        <v>#REF!</v>
      </c>
      <c r="Q11" s="270" t="e">
        <f t="shared" si="3"/>
        <v>#REF!</v>
      </c>
      <c r="R11" s="271" t="e">
        <f t="shared" ref="R11:R12" si="12">O11/D11-1</f>
        <v>#REF!</v>
      </c>
      <c r="S11" s="270" t="e">
        <f t="shared" ref="S11:S12" si="13">O11-D11</f>
        <v>#REF!</v>
      </c>
      <c r="T11" s="269" t="e">
        <f t="shared" si="10"/>
        <v>#REF!</v>
      </c>
      <c r="V11" s="29"/>
      <c r="W11" s="81"/>
      <c r="AE11" s="1"/>
    </row>
    <row r="12" spans="1:31" s="4" customFormat="1" hidden="1" x14ac:dyDescent="0.25">
      <c r="B12" s="99" t="s">
        <v>63</v>
      </c>
      <c r="C12" s="263" t="e">
        <v>#REF!</v>
      </c>
      <c r="D12" s="263" t="e">
        <v>#REF!</v>
      </c>
      <c r="E12" s="263" t="e">
        <v>#REF!</v>
      </c>
      <c r="F12" s="269" t="e">
        <f t="shared" si="4"/>
        <v>#REF!</v>
      </c>
      <c r="G12" s="263" t="e">
        <v>#REF!</v>
      </c>
      <c r="H12" s="271" t="e">
        <f t="shared" si="11"/>
        <v>#REF!</v>
      </c>
      <c r="I12" s="270" t="e">
        <f t="shared" si="7"/>
        <v>#REF!</v>
      </c>
      <c r="J12" s="269" t="e">
        <f t="shared" si="8"/>
        <v>#REF!</v>
      </c>
      <c r="K12" s="263" t="e">
        <v>#REF!</v>
      </c>
      <c r="L12" s="267" t="e">
        <f t="shared" si="0"/>
        <v>#REF!</v>
      </c>
      <c r="M12" s="270" t="e">
        <f t="shared" si="1"/>
        <v>#REF!</v>
      </c>
      <c r="N12" s="269" t="e">
        <f t="shared" si="9"/>
        <v>#REF!</v>
      </c>
      <c r="O12" s="263" t="e">
        <v>#REF!</v>
      </c>
      <c r="P12" s="271" t="e">
        <f>O12/K12-1</f>
        <v>#REF!</v>
      </c>
      <c r="Q12" s="270" t="e">
        <f t="shared" si="3"/>
        <v>#REF!</v>
      </c>
      <c r="R12" s="271" t="e">
        <f t="shared" si="12"/>
        <v>#REF!</v>
      </c>
      <c r="S12" s="270" t="e">
        <f t="shared" si="13"/>
        <v>#REF!</v>
      </c>
      <c r="T12" s="269" t="e">
        <f t="shared" si="10"/>
        <v>#REF!</v>
      </c>
      <c r="V12" s="29"/>
      <c r="W12" s="81"/>
      <c r="AE12" s="1"/>
    </row>
    <row r="13" spans="1:31" s="4" customFormat="1" ht="7.5" customHeight="1" x14ac:dyDescent="0.25">
      <c r="B13" s="247"/>
      <c r="C13" s="247"/>
      <c r="D13" s="247"/>
      <c r="E13" s="247"/>
      <c r="F13" s="247"/>
      <c r="G13" s="247"/>
      <c r="H13" s="247"/>
      <c r="I13" s="247"/>
      <c r="J13" s="247"/>
      <c r="K13" s="247"/>
      <c r="L13" s="274"/>
      <c r="M13" s="247"/>
      <c r="N13" s="247"/>
      <c r="O13" s="247"/>
      <c r="P13" s="247"/>
      <c r="Q13" s="247"/>
      <c r="R13" s="247"/>
      <c r="S13" s="247"/>
      <c r="T13" s="247"/>
      <c r="AE13" s="1" t="s">
        <v>182</v>
      </c>
    </row>
    <row r="14" spans="1:31" s="4" customFormat="1" x14ac:dyDescent="0.25">
      <c r="B14" s="172" t="s">
        <v>183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AE14" s="1" t="s">
        <v>184</v>
      </c>
    </row>
    <row r="15" spans="1:31" s="4" customFormat="1" x14ac:dyDescent="0.25">
      <c r="AE15" s="1"/>
    </row>
    <row r="19" spans="27:27" x14ac:dyDescent="0.25">
      <c r="AA19" t="str">
        <f>CONCATENATE("Hoteles: 
",FIXED(O7,0)," viajeros 
cuota: ",FIXED(T7*100,1),"%")</f>
        <v>Hoteles: 
5.394 viajeros 
cuota: 100,0%</v>
      </c>
    </row>
    <row r="20" spans="27:27" x14ac:dyDescent="0.25">
      <c r="AA20" t="e">
        <f>CONCATENATE("Apartamentos: 
",FIXED(O10,0)," viajeros
cuota: ",FIXED(T10*100,1),"%")</f>
        <v>#VALUE!</v>
      </c>
    </row>
    <row r="38" spans="2:31" s="4" customFormat="1" ht="15.75" hidden="1" customHeight="1" thickBot="1" x14ac:dyDescent="0.3">
      <c r="B38" s="278" t="s">
        <v>185</v>
      </c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85"/>
      <c r="AE38" s="1"/>
    </row>
    <row r="39" spans="2:31" s="4" customFormat="1" ht="6" hidden="1" customHeight="1" thickBot="1" x14ac:dyDescent="0.3">
      <c r="AE39" s="1"/>
    </row>
    <row r="40" spans="2:31" s="4" customFormat="1" ht="30" hidden="1" x14ac:dyDescent="0.25">
      <c r="C40" s="89"/>
      <c r="D40" s="89"/>
      <c r="E40" s="89"/>
      <c r="F40" s="89"/>
      <c r="G40" s="89"/>
      <c r="H40" s="89"/>
      <c r="I40" s="89"/>
      <c r="J40" s="89"/>
      <c r="K40" s="14">
        <v>2020</v>
      </c>
      <c r="L40" s="14"/>
      <c r="M40" s="14"/>
      <c r="N40" s="14" t="s">
        <v>186</v>
      </c>
      <c r="O40" s="14">
        <v>2021</v>
      </c>
      <c r="P40" s="14" t="s">
        <v>186</v>
      </c>
      <c r="Q40" s="14" t="s">
        <v>187</v>
      </c>
      <c r="R40" s="14" t="s">
        <v>188</v>
      </c>
      <c r="S40" s="14" t="s">
        <v>189</v>
      </c>
      <c r="T40" s="89"/>
      <c r="AE40" s="1"/>
    </row>
    <row r="41" spans="2:31" s="4" customFormat="1" ht="18.75" hidden="1" x14ac:dyDescent="0.3">
      <c r="B41" s="235" t="s">
        <v>173</v>
      </c>
      <c r="C41" s="236"/>
      <c r="D41" s="236"/>
      <c r="E41" s="236"/>
      <c r="F41" s="236"/>
      <c r="G41" s="236"/>
      <c r="H41" s="236"/>
      <c r="I41" s="236"/>
      <c r="J41" s="236"/>
      <c r="K41" s="236">
        <v>1824653</v>
      </c>
      <c r="L41" s="236"/>
      <c r="M41" s="236"/>
      <c r="N41" s="237"/>
      <c r="O41" s="236">
        <v>2354005</v>
      </c>
      <c r="P41" s="237"/>
      <c r="Q41" s="237">
        <v>1</v>
      </c>
      <c r="R41" s="237">
        <v>0.2901110512519367</v>
      </c>
      <c r="S41" s="236">
        <v>529352</v>
      </c>
      <c r="T41" s="248"/>
      <c r="AE41" s="1"/>
    </row>
    <row r="42" spans="2:31" ht="18.75" hidden="1" x14ac:dyDescent="0.3">
      <c r="B42" s="235" t="s">
        <v>174</v>
      </c>
      <c r="C42" s="236"/>
      <c r="D42" s="236"/>
      <c r="E42" s="236"/>
      <c r="F42" s="236"/>
      <c r="G42" s="236"/>
      <c r="H42" s="236"/>
      <c r="I42" s="236"/>
      <c r="J42" s="236"/>
      <c r="K42" s="236">
        <v>603938</v>
      </c>
      <c r="L42" s="236"/>
      <c r="M42" s="236"/>
      <c r="N42" s="237">
        <v>1</v>
      </c>
      <c r="O42" s="236">
        <v>936181</v>
      </c>
      <c r="P42" s="237">
        <v>1</v>
      </c>
      <c r="Q42" s="237">
        <v>0.39769711619134201</v>
      </c>
      <c r="R42" s="237">
        <v>0.55012766211101138</v>
      </c>
      <c r="S42" s="236">
        <v>332243</v>
      </c>
      <c r="T42" s="248"/>
      <c r="AE42" s="1" t="s">
        <v>175</v>
      </c>
    </row>
    <row r="43" spans="2:31" ht="15.75" hidden="1" x14ac:dyDescent="0.25">
      <c r="B43" s="238" t="s">
        <v>102</v>
      </c>
      <c r="C43" s="239"/>
      <c r="D43" s="239"/>
      <c r="E43" s="239"/>
      <c r="F43" s="239"/>
      <c r="G43" s="239"/>
      <c r="H43" s="239"/>
      <c r="I43" s="239"/>
      <c r="J43" s="239"/>
      <c r="K43" s="239">
        <v>276550.36166633503</v>
      </c>
      <c r="L43" s="239"/>
      <c r="M43" s="239"/>
      <c r="N43" s="240">
        <v>0.45791184139155844</v>
      </c>
      <c r="O43" s="239">
        <v>430252.45635520399</v>
      </c>
      <c r="P43" s="240">
        <v>0.4595825554622493</v>
      </c>
      <c r="Q43" s="240">
        <v>0.18277465695918402</v>
      </c>
      <c r="R43" s="240">
        <v>0.55578337978930015</v>
      </c>
      <c r="S43" s="239">
        <v>153702.09468886897</v>
      </c>
      <c r="T43" s="249"/>
      <c r="AE43" s="1" t="s">
        <v>176</v>
      </c>
    </row>
    <row r="44" spans="2:31" s="4" customFormat="1" hidden="1" x14ac:dyDescent="0.25">
      <c r="B44" s="241" t="s">
        <v>105</v>
      </c>
      <c r="C44" s="242"/>
      <c r="D44" s="242"/>
      <c r="E44" s="242"/>
      <c r="F44" s="242"/>
      <c r="G44" s="242"/>
      <c r="H44" s="242"/>
      <c r="I44" s="242"/>
      <c r="J44" s="242"/>
      <c r="K44" s="242">
        <v>327387.63833385095</v>
      </c>
      <c r="L44" s="242"/>
      <c r="M44" s="242"/>
      <c r="N44" s="245">
        <v>0.54208815860874948</v>
      </c>
      <c r="O44" s="242">
        <v>505927.5436448183</v>
      </c>
      <c r="P44" s="245">
        <v>0.54041637636826456</v>
      </c>
      <c r="Q44" s="245">
        <v>0.21492203442423372</v>
      </c>
      <c r="R44" s="243">
        <v>0.54534711884540576</v>
      </c>
      <c r="S44" s="244">
        <v>178539.90531096736</v>
      </c>
      <c r="T44" s="251"/>
      <c r="AE44" s="1" t="s">
        <v>177</v>
      </c>
    </row>
    <row r="45" spans="2:31" s="4" customFormat="1" hidden="1" x14ac:dyDescent="0.25">
      <c r="B45" s="246" t="s">
        <v>178</v>
      </c>
      <c r="C45" s="29"/>
      <c r="D45" s="29"/>
      <c r="E45" s="29"/>
      <c r="F45" s="29"/>
      <c r="G45" s="29"/>
      <c r="H45" s="29"/>
      <c r="I45" s="29"/>
      <c r="J45" s="29"/>
      <c r="K45" s="29">
        <v>242109.12821622068</v>
      </c>
      <c r="L45" s="29"/>
      <c r="M45" s="29"/>
      <c r="N45" s="31">
        <v>0.4008840778626625</v>
      </c>
      <c r="O45" s="29">
        <v>391384.01224089495</v>
      </c>
      <c r="P45" s="31">
        <v>0.41806446855992052</v>
      </c>
      <c r="Q45" s="31">
        <v>0.16626303352834634</v>
      </c>
      <c r="R45" s="22">
        <v>0.61656033014732592</v>
      </c>
      <c r="S45" s="20">
        <v>149274.88402467428</v>
      </c>
      <c r="T45" s="20"/>
      <c r="AE45" s="1" t="s">
        <v>179</v>
      </c>
    </row>
    <row r="46" spans="2:31" s="4" customFormat="1" hidden="1" x14ac:dyDescent="0.25">
      <c r="B46" s="246" t="s">
        <v>180</v>
      </c>
      <c r="C46" s="29"/>
      <c r="D46" s="29"/>
      <c r="E46" s="29"/>
      <c r="F46" s="29"/>
      <c r="G46" s="29"/>
      <c r="H46" s="29"/>
      <c r="I46" s="29"/>
      <c r="J46" s="29"/>
      <c r="K46" s="29">
        <v>85278.510117630256</v>
      </c>
      <c r="L46" s="29"/>
      <c r="M46" s="29"/>
      <c r="N46" s="31">
        <v>0.14120408074608695</v>
      </c>
      <c r="O46" s="29">
        <v>114543.53140392336</v>
      </c>
      <c r="P46" s="31">
        <v>0.12235190780834407</v>
      </c>
      <c r="Q46" s="31">
        <v>4.8659000895887379E-2</v>
      </c>
      <c r="R46" s="22">
        <v>0.34316994100771625</v>
      </c>
      <c r="S46" s="20">
        <v>29265.021286293108</v>
      </c>
      <c r="T46" s="20"/>
      <c r="AE46" s="1" t="s">
        <v>181</v>
      </c>
    </row>
    <row r="47" spans="2:31" s="4" customFormat="1" ht="7.5" hidden="1" customHeight="1" x14ac:dyDescent="0.25"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AE47" s="1" t="s">
        <v>182</v>
      </c>
    </row>
    <row r="48" spans="2:31" s="4" customFormat="1" hidden="1" x14ac:dyDescent="0.25">
      <c r="B48" s="296" t="s">
        <v>183</v>
      </c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49"/>
      <c r="AE48" s="1" t="s">
        <v>184</v>
      </c>
    </row>
    <row r="49" spans="3:31" s="4" customFormat="1" hidden="1" x14ac:dyDescent="0.25">
      <c r="AE49" s="1"/>
    </row>
    <row r="50" spans="3:31" hidden="1" x14ac:dyDescent="0.25">
      <c r="C50" s="126"/>
      <c r="D50" s="126"/>
      <c r="E50" s="126"/>
      <c r="F50" s="126"/>
      <c r="G50" s="126"/>
      <c r="H50" s="126"/>
      <c r="I50" s="126"/>
      <c r="J50" s="126"/>
      <c r="K50" s="126">
        <v>0.54208815860874948</v>
      </c>
      <c r="L50" s="126"/>
      <c r="M50" s="126"/>
    </row>
    <row r="51" spans="3:31" hidden="1" x14ac:dyDescent="0.25"/>
    <row r="52" spans="3:31" hidden="1" x14ac:dyDescent="0.25"/>
    <row r="53" spans="3:31" hidden="1" x14ac:dyDescent="0.25"/>
    <row r="54" spans="3:31" hidden="1" x14ac:dyDescent="0.25"/>
    <row r="55" spans="3:31" hidden="1" x14ac:dyDescent="0.25"/>
    <row r="56" spans="3:31" hidden="1" x14ac:dyDescent="0.25"/>
    <row r="57" spans="3:31" hidden="1" x14ac:dyDescent="0.25"/>
    <row r="58" spans="3:31" hidden="1" x14ac:dyDescent="0.25"/>
    <row r="59" spans="3:31" hidden="1" x14ac:dyDescent="0.25"/>
    <row r="60" spans="3:31" hidden="1" x14ac:dyDescent="0.25"/>
    <row r="61" spans="3:31" hidden="1" x14ac:dyDescent="0.25"/>
    <row r="62" spans="3:31" hidden="1" x14ac:dyDescent="0.25"/>
    <row r="63" spans="3:31" hidden="1" x14ac:dyDescent="0.25"/>
    <row r="64" spans="3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31" spans="1:31" s="4" customFormat="1" ht="25.5" customHeight="1" thickBot="1" x14ac:dyDescent="0.3">
      <c r="B131" s="66" t="s">
        <v>200</v>
      </c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Z131" s="1"/>
    </row>
    <row r="132" spans="1:31" s="4" customFormat="1" ht="6" customHeight="1" x14ac:dyDescent="0.25">
      <c r="Z132" s="1"/>
    </row>
    <row r="133" spans="1:31" s="4" customFormat="1" ht="30" x14ac:dyDescent="0.25">
      <c r="C133" s="186">
        <v>2020</v>
      </c>
      <c r="D133" s="186">
        <v>2021</v>
      </c>
      <c r="E133" s="186">
        <v>2022</v>
      </c>
      <c r="F133" s="186">
        <v>2023</v>
      </c>
      <c r="G133" s="174" t="str">
        <f>CONCATENATE("var. ",RIGHT(F133,2),"/",RIGHT(E133,2))</f>
        <v>var. 23/22</v>
      </c>
      <c r="H133" s="174" t="str">
        <f>CONCATENATE("dif. ",RIGHT(F133,2),"/",RIGHT(E133,2))</f>
        <v>dif. 23/22</v>
      </c>
      <c r="I133" s="253" t="str">
        <f>CONCATENATE("%/s total Tenerife ",RIGHT(F133,4))</f>
        <v>%/s total Tenerife 2023</v>
      </c>
      <c r="J133" s="186">
        <v>2024</v>
      </c>
      <c r="K133" s="253" t="str">
        <f>CONCATENATE("%/s total Tenerife ",RIGHT(J133,4))</f>
        <v>%/s total Tenerife 2024</v>
      </c>
      <c r="L133" s="174" t="str">
        <f>CONCATENATE("var. ",RIGHT(J133,2),"/",RIGHT(F133,2))</f>
        <v>var. 24/23</v>
      </c>
      <c r="M133" s="174" t="str">
        <f>CONCATENATE("dif. ",RIGHT(J133,2),"/",RIGHT(F133,2))</f>
        <v>dif. 24/23</v>
      </c>
      <c r="N133" s="174" t="str">
        <f>CONCATENATE("var. ",RIGHT(J133,2),"/",RIGHT(D133,2))</f>
        <v>var. 24/21</v>
      </c>
      <c r="O133" s="174" t="str">
        <f>CONCATENATE("dif. ",RIGHT(J133,2),"/",RIGHT(D133,2))</f>
        <v>dif. 24/21</v>
      </c>
      <c r="Z133" s="1"/>
    </row>
    <row r="134" spans="1:31" ht="18.75" x14ac:dyDescent="0.3">
      <c r="A134" s="4"/>
      <c r="B134" s="235" t="s">
        <v>199</v>
      </c>
      <c r="C134" s="239">
        <v>8684</v>
      </c>
      <c r="D134" s="239">
        <v>11001</v>
      </c>
      <c r="E134" s="239">
        <v>16289</v>
      </c>
      <c r="F134" s="239">
        <v>12024</v>
      </c>
      <c r="G134" s="240">
        <f>F134/E134-1</f>
        <v>-0.261833138928111</v>
      </c>
      <c r="H134" s="239">
        <f>F134-E134</f>
        <v>-4265</v>
      </c>
      <c r="I134" s="240">
        <f>F134/F$134</f>
        <v>1</v>
      </c>
      <c r="J134" s="239">
        <v>11877</v>
      </c>
      <c r="K134" s="240">
        <f>J134/J$134</f>
        <v>1</v>
      </c>
      <c r="L134" s="240">
        <f>J134/F134-1</f>
        <v>-1.2225548902195627E-2</v>
      </c>
      <c r="M134" s="239">
        <f>J134-F134</f>
        <v>-147</v>
      </c>
      <c r="N134" s="240">
        <f>J134/D134-1</f>
        <v>7.962912462503402E-2</v>
      </c>
      <c r="O134" s="239">
        <f>J134-D134</f>
        <v>876</v>
      </c>
      <c r="Q134" s="29"/>
      <c r="R134" s="81"/>
      <c r="Z134" s="1" t="s">
        <v>175</v>
      </c>
      <c r="AE134"/>
    </row>
    <row r="135" spans="1:31" s="4" customFormat="1" x14ac:dyDescent="0.25">
      <c r="B135" s="256" t="s">
        <v>192</v>
      </c>
      <c r="C135" s="257">
        <v>8684</v>
      </c>
      <c r="D135" s="257">
        <v>11001</v>
      </c>
      <c r="E135" s="257">
        <v>16289</v>
      </c>
      <c r="F135" s="257">
        <v>12024</v>
      </c>
      <c r="G135" s="261">
        <f>IFERROR(F135/E135-1,"-")</f>
        <v>-0.261833138928111</v>
      </c>
      <c r="H135" s="257">
        <f t="shared" ref="H135:H138" si="14">F135-E135</f>
        <v>-4265</v>
      </c>
      <c r="I135" s="259">
        <f>F135/F$134</f>
        <v>1</v>
      </c>
      <c r="J135" s="257">
        <v>11877</v>
      </c>
      <c r="K135" s="258">
        <f t="shared" ref="K135:K138" si="15">J135/J$134</f>
        <v>1</v>
      </c>
      <c r="L135" s="259">
        <f t="shared" ref="L135:L138" si="16">J135/F135-1</f>
        <v>-1.2225548902195627E-2</v>
      </c>
      <c r="M135" s="260">
        <f t="shared" ref="M135:M138" si="17">J135-F135</f>
        <v>-147</v>
      </c>
      <c r="N135" s="258">
        <f t="shared" ref="N135:N138" si="18">J135/D135-1</f>
        <v>7.962912462503402E-2</v>
      </c>
      <c r="O135" s="257">
        <f t="shared" ref="O135:O138" si="19">J135-D135</f>
        <v>876</v>
      </c>
      <c r="Q135" s="29"/>
      <c r="R135" s="81"/>
      <c r="Z135" s="1" t="s">
        <v>177</v>
      </c>
    </row>
    <row r="136" spans="1:31" s="4" customFormat="1" x14ac:dyDescent="0.25">
      <c r="B136" s="99" t="s">
        <v>64</v>
      </c>
      <c r="C136" s="263">
        <v>0</v>
      </c>
      <c r="D136" s="263">
        <v>0</v>
      </c>
      <c r="E136" s="263">
        <v>2928</v>
      </c>
      <c r="F136" s="263">
        <v>3814</v>
      </c>
      <c r="G136" s="267">
        <f t="shared" ref="G136:G138" si="20">IFERROR(F136/E136-1,"-")</f>
        <v>0.30259562841530063</v>
      </c>
      <c r="H136" s="263">
        <f t="shared" si="14"/>
        <v>886</v>
      </c>
      <c r="I136" s="271">
        <f t="shared" ref="I136:I138" si="21">F136/F$134</f>
        <v>0.31719893546240852</v>
      </c>
      <c r="J136" s="263">
        <v>4202</v>
      </c>
      <c r="K136" s="269">
        <f t="shared" si="15"/>
        <v>0.35379304538183043</v>
      </c>
      <c r="L136" s="271">
        <f t="shared" si="16"/>
        <v>0.10173046670162567</v>
      </c>
      <c r="M136" s="270">
        <f t="shared" si="17"/>
        <v>388</v>
      </c>
      <c r="N136" s="269" t="e">
        <f t="shared" si="18"/>
        <v>#DIV/0!</v>
      </c>
      <c r="O136" s="263">
        <f t="shared" si="19"/>
        <v>4202</v>
      </c>
      <c r="Q136" s="29"/>
      <c r="R136" s="81"/>
      <c r="Z136" s="1"/>
    </row>
    <row r="137" spans="1:31" s="4" customFormat="1" x14ac:dyDescent="0.25">
      <c r="B137" s="99" t="s">
        <v>63</v>
      </c>
      <c r="C137" s="263">
        <v>0</v>
      </c>
      <c r="D137" s="263">
        <v>0</v>
      </c>
      <c r="E137" s="263">
        <v>13361</v>
      </c>
      <c r="F137" s="263">
        <v>8210</v>
      </c>
      <c r="G137" s="265">
        <f t="shared" si="20"/>
        <v>-0.38552503555123119</v>
      </c>
      <c r="H137" s="263">
        <f t="shared" si="14"/>
        <v>-5151</v>
      </c>
      <c r="I137" s="275">
        <f t="shared" si="21"/>
        <v>0.68280106453759148</v>
      </c>
      <c r="J137" s="263">
        <v>7675</v>
      </c>
      <c r="K137" s="269">
        <f t="shared" si="15"/>
        <v>0.64620695461816957</v>
      </c>
      <c r="L137" s="271">
        <f t="shared" si="16"/>
        <v>-6.5164433617539541E-2</v>
      </c>
      <c r="M137" s="270">
        <f t="shared" si="17"/>
        <v>-535</v>
      </c>
      <c r="N137" s="269" t="e">
        <f t="shared" si="18"/>
        <v>#DIV/0!</v>
      </c>
      <c r="O137" s="263">
        <f t="shared" si="19"/>
        <v>7675</v>
      </c>
      <c r="Q137" s="29"/>
      <c r="R137" s="81"/>
      <c r="Z137" s="1"/>
    </row>
    <row r="138" spans="1:31" s="4" customFormat="1" x14ac:dyDescent="0.25">
      <c r="B138" s="256" t="s">
        <v>193</v>
      </c>
      <c r="C138" s="257" t="e">
        <v>#REF!</v>
      </c>
      <c r="D138" s="257" t="e">
        <v>#REF!</v>
      </c>
      <c r="E138" s="257" t="e">
        <v>#REF!</v>
      </c>
      <c r="F138" s="257" t="e">
        <v>#REF!</v>
      </c>
      <c r="G138" s="261" t="str">
        <f t="shared" si="20"/>
        <v>-</v>
      </c>
      <c r="H138" s="257" t="e">
        <f t="shared" si="14"/>
        <v>#REF!</v>
      </c>
      <c r="I138" s="259" t="e">
        <f t="shared" si="21"/>
        <v>#REF!</v>
      </c>
      <c r="J138" s="257" t="e">
        <v>#REF!</v>
      </c>
      <c r="K138" s="258" t="e">
        <f t="shared" si="15"/>
        <v>#REF!</v>
      </c>
      <c r="L138" s="259" t="e">
        <f t="shared" si="16"/>
        <v>#REF!</v>
      </c>
      <c r="M138" s="260" t="e">
        <f t="shared" si="17"/>
        <v>#REF!</v>
      </c>
      <c r="N138" s="258" t="e">
        <f t="shared" si="18"/>
        <v>#REF!</v>
      </c>
      <c r="O138" s="257" t="e">
        <f t="shared" si="19"/>
        <v>#REF!</v>
      </c>
      <c r="Q138" s="29"/>
      <c r="R138" s="81"/>
      <c r="Z138" s="1"/>
    </row>
    <row r="139" spans="1:31" s="4" customFormat="1" ht="7.5" customHeight="1" x14ac:dyDescent="0.25"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Z139" s="1" t="s">
        <v>182</v>
      </c>
    </row>
    <row r="140" spans="1:31" s="4" customFormat="1" ht="32.25" customHeight="1" x14ac:dyDescent="0.25">
      <c r="B140" s="319" t="s">
        <v>196</v>
      </c>
      <c r="C140" s="319"/>
      <c r="D140" s="319"/>
      <c r="E140" s="319"/>
      <c r="F140" s="319"/>
      <c r="G140" s="319"/>
      <c r="H140" s="319"/>
      <c r="I140" s="319"/>
      <c r="J140" s="319"/>
      <c r="K140" s="319"/>
      <c r="L140" s="319"/>
      <c r="M140" s="319"/>
      <c r="N140" s="319"/>
      <c r="O140" s="319"/>
      <c r="Z140" s="1" t="s">
        <v>184</v>
      </c>
    </row>
    <row r="141" spans="1:31" x14ac:dyDescent="0.25">
      <c r="Z141" s="1"/>
      <c r="AE141"/>
    </row>
    <row r="142" spans="1:31" x14ac:dyDescent="0.25">
      <c r="Z142" s="1"/>
      <c r="AE142"/>
    </row>
  </sheetData>
  <mergeCells count="3">
    <mergeCell ref="B38:S38"/>
    <mergeCell ref="B48:S48"/>
    <mergeCell ref="B140:O14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E2AB-2E95-4B12-8517-7FF58341B5F6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201</v>
      </c>
      <c r="G1" s="234"/>
      <c r="H1" s="234"/>
      <c r="I1" s="234"/>
      <c r="K1" s="234"/>
    </row>
    <row r="3" spans="1:31" s="4" customFormat="1" ht="25.5" customHeight="1" thickBot="1" x14ac:dyDescent="0.3">
      <c r="B3" s="66" t="s">
        <v>29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2" t="s">
        <v>260</v>
      </c>
      <c r="D5" s="252" t="s">
        <v>261</v>
      </c>
      <c r="E5" s="252" t="s">
        <v>262</v>
      </c>
      <c r="F5" s="253" t="str">
        <f>CONCATENATE("%/s total Tenerife ",RIGHT(E5,4))</f>
        <v>%/s total Tenerife 2022</v>
      </c>
      <c r="G5" s="252" t="s">
        <v>263</v>
      </c>
      <c r="H5" s="253" t="str">
        <f>CONCATENATE("var. ",RIGHT(G5,2),"/",RIGHT(E5,2))</f>
        <v>var. 23/22</v>
      </c>
      <c r="I5" s="253" t="str">
        <f>CONCATENATE("dif. ",RIGHT(G5,2),"/",RIGHT(E5,2))</f>
        <v>dif. 23/22</v>
      </c>
      <c r="J5" s="253" t="str">
        <f>CONCATENATE("%/s total Tenerife ",RIGHT(G5,4))</f>
        <v>%/s total Tenerife 2023</v>
      </c>
      <c r="K5" s="252" t="s">
        <v>264</v>
      </c>
      <c r="L5" s="253" t="str">
        <f>CONCATENATE("var. ",RIGHT(K5,2),"/",RIGHT(G5,2))</f>
        <v>var. 24/23</v>
      </c>
      <c r="M5" s="253" t="str">
        <f>CONCATENATE("dif. ",RIGHT(K5,2),"/",RIGHT(G5,2))</f>
        <v>dif. 24/23</v>
      </c>
      <c r="N5" s="253" t="str">
        <f>CONCATENATE("%/s total Tenerife ",RIGHT(K5,4))</f>
        <v>%/s total Tenerife 2024</v>
      </c>
      <c r="O5" s="252" t="s">
        <v>265</v>
      </c>
      <c r="P5" s="253" t="str">
        <f>CONCATENATE("var. ",RIGHT(O5,2),"/",RIGHT(K5,2))</f>
        <v>var. 25/24</v>
      </c>
      <c r="Q5" s="253" t="str">
        <f>CONCATENATE("dif. ",RIGHT(O5,2),"/",RIGHT(K5,2))</f>
        <v>dif. 25/24</v>
      </c>
      <c r="R5" s="253" t="str">
        <f>CONCATENATE("var. ",RIGHT(O5,2),"/",RIGHT(C5,2))</f>
        <v>var. 25/20</v>
      </c>
      <c r="S5" s="253" t="str">
        <f>CONCATENATE("dif. ",RIGHT(O5,2),"/",RIGHT(C5,2))</f>
        <v>dif. 25/20</v>
      </c>
      <c r="T5" s="253" t="str">
        <f>CONCATENATE("%/s total Tenerife ",RIGHT(O5,4))</f>
        <v>%/s total Tenerife 2025</v>
      </c>
      <c r="AE5" s="1"/>
    </row>
    <row r="6" spans="1:31" ht="18.75" x14ac:dyDescent="0.3">
      <c r="A6" s="4"/>
      <c r="B6" s="235" t="s">
        <v>202</v>
      </c>
      <c r="C6" s="254">
        <v>144600</v>
      </c>
      <c r="D6" s="254">
        <v>273158</v>
      </c>
      <c r="E6" s="254">
        <v>447228</v>
      </c>
      <c r="F6" s="255">
        <f>E6/$E$6</f>
        <v>1</v>
      </c>
      <c r="G6" s="254">
        <v>487504</v>
      </c>
      <c r="H6" s="255">
        <f>G6/E6-1</f>
        <v>9.0056973176992461E-2</v>
      </c>
      <c r="I6" s="254">
        <f>G6-E6</f>
        <v>40276</v>
      </c>
      <c r="J6" s="255">
        <f>G6/$G$6</f>
        <v>1</v>
      </c>
      <c r="K6" s="254">
        <v>481191</v>
      </c>
      <c r="L6" s="255">
        <f>K6/G6-1</f>
        <v>-1.294963733630905E-2</v>
      </c>
      <c r="M6" s="254">
        <f>K6-G6</f>
        <v>-6313</v>
      </c>
      <c r="N6" s="255">
        <f>K6/$K$6</f>
        <v>1</v>
      </c>
      <c r="O6" s="254">
        <v>480637</v>
      </c>
      <c r="P6" s="255">
        <f>O6/K6-1</f>
        <v>-1.1513099787817671E-3</v>
      </c>
      <c r="Q6" s="254">
        <f>O6-K6</f>
        <v>-554</v>
      </c>
      <c r="R6" s="255">
        <f>IFERROR(O6/C6-1,"-")</f>
        <v>2.3239073305670814</v>
      </c>
      <c r="S6" s="254">
        <f>O6-C6</f>
        <v>336037</v>
      </c>
      <c r="T6" s="255">
        <f>O6/$O$6</f>
        <v>1</v>
      </c>
      <c r="V6" s="29"/>
      <c r="W6" s="81"/>
      <c r="AE6" s="1" t="s">
        <v>175</v>
      </c>
    </row>
    <row r="7" spans="1:31" s="4" customFormat="1" x14ac:dyDescent="0.25">
      <c r="B7" s="246" t="s">
        <v>46</v>
      </c>
      <c r="C7" s="263">
        <v>20277</v>
      </c>
      <c r="D7" s="263">
        <v>95817</v>
      </c>
      <c r="E7" s="263">
        <v>88551</v>
      </c>
      <c r="F7" s="269">
        <f t="shared" ref="F7:F16" si="0">E7/$E$6</f>
        <v>0.19799967801658214</v>
      </c>
      <c r="G7" s="263">
        <v>80662</v>
      </c>
      <c r="H7" s="271">
        <f>G7/E7-1</f>
        <v>-8.9089902993754966E-2</v>
      </c>
      <c r="I7" s="270">
        <f>G7-E7</f>
        <v>-7889</v>
      </c>
      <c r="J7" s="269">
        <f>G7/$G$6</f>
        <v>0.16545915520693164</v>
      </c>
      <c r="K7" s="263">
        <v>69210</v>
      </c>
      <c r="L7" s="271">
        <f>K7/G7-1</f>
        <v>-0.14197515558751328</v>
      </c>
      <c r="M7" s="270">
        <f>K7-G7</f>
        <v>-11452</v>
      </c>
      <c r="N7" s="269">
        <f>K7/$K$6</f>
        <v>0.14383062027344651</v>
      </c>
      <c r="O7" s="263">
        <v>63041</v>
      </c>
      <c r="P7" s="271">
        <f>O7/K7-1</f>
        <v>-8.9134518133217711E-2</v>
      </c>
      <c r="Q7" s="270">
        <f>O7-K7</f>
        <v>-6169</v>
      </c>
      <c r="R7" s="271">
        <f t="shared" ref="R7:R16" si="1">IFERROR(O7/C7-1,"-")</f>
        <v>2.1089904818267002</v>
      </c>
      <c r="S7" s="270">
        <f t="shared" ref="S7:S16" si="2">O7-C7</f>
        <v>42764</v>
      </c>
      <c r="T7" s="269">
        <f>O7/$O$6</f>
        <v>0.13116135461897441</v>
      </c>
      <c r="V7" s="29"/>
      <c r="W7" s="81"/>
      <c r="AE7" s="1" t="s">
        <v>177</v>
      </c>
    </row>
    <row r="8" spans="1:31" s="4" customFormat="1" x14ac:dyDescent="0.25">
      <c r="B8" s="246" t="s">
        <v>47</v>
      </c>
      <c r="C8" s="263">
        <v>13953</v>
      </c>
      <c r="D8" s="263">
        <v>26737</v>
      </c>
      <c r="E8" s="263">
        <v>51285</v>
      </c>
      <c r="F8" s="269">
        <f t="shared" si="0"/>
        <v>0.11467305267112077</v>
      </c>
      <c r="G8" s="263">
        <v>49212</v>
      </c>
      <c r="H8" s="271">
        <f t="shared" ref="H8:H16" si="3">G8/E8-1</f>
        <v>-4.042117578239246E-2</v>
      </c>
      <c r="I8" s="270">
        <f t="shared" ref="I8:I16" si="4">G8-E8</f>
        <v>-2073</v>
      </c>
      <c r="J8" s="269">
        <f t="shared" ref="J8:J16" si="5">G8/$G$6</f>
        <v>0.10094686402573107</v>
      </c>
      <c r="K8" s="263">
        <v>46569</v>
      </c>
      <c r="L8" s="271">
        <f t="shared" ref="L8:L16" si="6">K8/G8-1</f>
        <v>-5.3706413069982917E-2</v>
      </c>
      <c r="M8" s="270">
        <f t="shared" ref="M8:M16" si="7">K8-G8</f>
        <v>-2643</v>
      </c>
      <c r="N8" s="269">
        <f t="shared" ref="N8:N16" si="8">K8/$K$6</f>
        <v>9.677861805395363E-2</v>
      </c>
      <c r="O8" s="263">
        <v>49677</v>
      </c>
      <c r="P8" s="271">
        <f t="shared" ref="P8:P16" si="9">O8/K8-1</f>
        <v>6.6739676608903009E-2</v>
      </c>
      <c r="Q8" s="270">
        <f t="shared" ref="Q8:Q16" si="10">O8-K8</f>
        <v>3108</v>
      </c>
      <c r="R8" s="271">
        <f t="shared" si="1"/>
        <v>2.5603096108363794</v>
      </c>
      <c r="S8" s="270">
        <f t="shared" si="2"/>
        <v>35724</v>
      </c>
      <c r="T8" s="269">
        <f t="shared" ref="T8:T16" si="11">O8/$O$6</f>
        <v>0.10335658719574231</v>
      </c>
      <c r="V8" s="29"/>
      <c r="W8" s="81"/>
      <c r="AE8" s="1"/>
    </row>
    <row r="9" spans="1:31" s="4" customFormat="1" x14ac:dyDescent="0.25">
      <c r="B9" s="246" t="s">
        <v>48</v>
      </c>
      <c r="C9" s="263">
        <v>1123</v>
      </c>
      <c r="D9" s="263">
        <v>1502</v>
      </c>
      <c r="E9" s="263">
        <v>2015</v>
      </c>
      <c r="F9" s="264">
        <f t="shared" si="0"/>
        <v>4.5055318539984077E-3</v>
      </c>
      <c r="G9" s="263">
        <v>12065</v>
      </c>
      <c r="H9" s="275">
        <f t="shared" si="3"/>
        <v>4.9875930521091814</v>
      </c>
      <c r="I9" s="266">
        <f t="shared" si="4"/>
        <v>10050</v>
      </c>
      <c r="J9" s="264">
        <f t="shared" si="5"/>
        <v>2.474851488398044E-2</v>
      </c>
      <c r="K9" s="263">
        <v>6319</v>
      </c>
      <c r="L9" s="271">
        <f t="shared" si="6"/>
        <v>-0.47625362619146294</v>
      </c>
      <c r="M9" s="270">
        <f t="shared" si="7"/>
        <v>-5746</v>
      </c>
      <c r="N9" s="269">
        <f t="shared" si="8"/>
        <v>1.3131999559426507E-2</v>
      </c>
      <c r="O9" s="263">
        <v>4389</v>
      </c>
      <c r="P9" s="271">
        <f t="shared" si="9"/>
        <v>-0.30542807406235162</v>
      </c>
      <c r="Q9" s="270">
        <f t="shared" si="10"/>
        <v>-1930</v>
      </c>
      <c r="R9" s="271">
        <f t="shared" si="1"/>
        <v>2.908281389136242</v>
      </c>
      <c r="S9" s="270">
        <f t="shared" si="2"/>
        <v>3266</v>
      </c>
      <c r="T9" s="269">
        <f t="shared" si="11"/>
        <v>9.1316315639453482E-3</v>
      </c>
      <c r="V9" s="29"/>
      <c r="W9" s="81"/>
      <c r="AE9" s="1"/>
    </row>
    <row r="10" spans="1:31" s="4" customFormat="1" x14ac:dyDescent="0.25">
      <c r="B10" s="246" t="s">
        <v>50</v>
      </c>
      <c r="C10" s="263">
        <v>47060</v>
      </c>
      <c r="D10" s="263">
        <v>39171</v>
      </c>
      <c r="E10" s="263">
        <v>153117</v>
      </c>
      <c r="F10" s="269">
        <f t="shared" si="0"/>
        <v>0.34236899299686069</v>
      </c>
      <c r="G10" s="263">
        <v>165380</v>
      </c>
      <c r="H10" s="271">
        <f t="shared" si="3"/>
        <v>8.0089082205111017E-2</v>
      </c>
      <c r="I10" s="270">
        <f t="shared" si="4"/>
        <v>12263</v>
      </c>
      <c r="J10" s="269">
        <f t="shared" si="5"/>
        <v>0.33923824214775672</v>
      </c>
      <c r="K10" s="263">
        <v>177175</v>
      </c>
      <c r="L10" s="271">
        <f t="shared" si="6"/>
        <v>7.1320594993348641E-2</v>
      </c>
      <c r="M10" s="270">
        <f t="shared" si="7"/>
        <v>11795</v>
      </c>
      <c r="N10" s="269">
        <f t="shared" si="8"/>
        <v>0.36820098464019485</v>
      </c>
      <c r="O10" s="263">
        <v>181105</v>
      </c>
      <c r="P10" s="271">
        <f t="shared" si="9"/>
        <v>2.2181459009454008E-2</v>
      </c>
      <c r="Q10" s="270">
        <f t="shared" si="10"/>
        <v>3930</v>
      </c>
      <c r="R10" s="271">
        <f t="shared" si="1"/>
        <v>2.8483850403739908</v>
      </c>
      <c r="S10" s="270">
        <f t="shared" si="2"/>
        <v>134045</v>
      </c>
      <c r="T10" s="269">
        <f>O10/$O$6</f>
        <v>0.37680203563188019</v>
      </c>
      <c r="V10" s="29"/>
      <c r="W10" s="81"/>
      <c r="AE10" s="1"/>
    </row>
    <row r="11" spans="1:31" s="4" customFormat="1" x14ac:dyDescent="0.25">
      <c r="B11" s="246" t="s">
        <v>52</v>
      </c>
      <c r="C11" s="263">
        <v>7208</v>
      </c>
      <c r="D11" s="263">
        <v>19665</v>
      </c>
      <c r="E11" s="263">
        <v>19181</v>
      </c>
      <c r="F11" s="264">
        <f t="shared" si="0"/>
        <v>4.2888638457341671E-2</v>
      </c>
      <c r="G11" s="263">
        <v>24592</v>
      </c>
      <c r="H11" s="275">
        <f t="shared" si="3"/>
        <v>0.28210208018351501</v>
      </c>
      <c r="I11" s="266">
        <f t="shared" si="4"/>
        <v>5411</v>
      </c>
      <c r="J11" s="264">
        <f t="shared" si="5"/>
        <v>5.0444714299780105E-2</v>
      </c>
      <c r="K11" s="263">
        <v>22839</v>
      </c>
      <c r="L11" s="271">
        <f t="shared" si="6"/>
        <v>-7.1283344176968133E-2</v>
      </c>
      <c r="M11" s="270">
        <f t="shared" si="7"/>
        <v>-1753</v>
      </c>
      <c r="N11" s="269">
        <f t="shared" si="8"/>
        <v>4.7463481237180249E-2</v>
      </c>
      <c r="O11" s="263">
        <v>25193</v>
      </c>
      <c r="P11" s="271">
        <f t="shared" si="9"/>
        <v>0.1030693112658172</v>
      </c>
      <c r="Q11" s="270">
        <f t="shared" si="10"/>
        <v>2354</v>
      </c>
      <c r="R11" s="271">
        <f t="shared" si="1"/>
        <v>2.4951442841287457</v>
      </c>
      <c r="S11" s="270">
        <f t="shared" si="2"/>
        <v>17985</v>
      </c>
      <c r="T11" s="269">
        <f t="shared" si="11"/>
        <v>5.241585645715998E-2</v>
      </c>
      <c r="V11" s="29"/>
      <c r="W11" s="81"/>
      <c r="AE11" s="1"/>
    </row>
    <row r="12" spans="1:31" s="4" customFormat="1" x14ac:dyDescent="0.25">
      <c r="B12" s="246" t="s">
        <v>53</v>
      </c>
      <c r="C12" s="263">
        <v>26940</v>
      </c>
      <c r="D12" s="263">
        <v>38654</v>
      </c>
      <c r="E12" s="263">
        <v>62976</v>
      </c>
      <c r="F12" s="269">
        <f t="shared" si="0"/>
        <v>0.14081408140814081</v>
      </c>
      <c r="G12" s="263">
        <v>76465</v>
      </c>
      <c r="H12" s="271">
        <f t="shared" si="3"/>
        <v>0.21419270833333326</v>
      </c>
      <c r="I12" s="270">
        <f t="shared" si="4"/>
        <v>13489</v>
      </c>
      <c r="J12" s="269">
        <f t="shared" si="5"/>
        <v>0.15684999507696348</v>
      </c>
      <c r="K12" s="263">
        <v>75937</v>
      </c>
      <c r="L12" s="271">
        <f t="shared" si="6"/>
        <v>-6.9051199895376891E-3</v>
      </c>
      <c r="M12" s="270">
        <f t="shared" si="7"/>
        <v>-528</v>
      </c>
      <c r="N12" s="269">
        <f t="shared" si="8"/>
        <v>0.15781051599053184</v>
      </c>
      <c r="O12" s="263">
        <v>87725</v>
      </c>
      <c r="P12" s="271">
        <f t="shared" si="9"/>
        <v>0.1552339439272028</v>
      </c>
      <c r="Q12" s="270">
        <f t="shared" si="10"/>
        <v>11788</v>
      </c>
      <c r="R12" s="271">
        <f t="shared" si="1"/>
        <v>2.2563103192279139</v>
      </c>
      <c r="S12" s="270">
        <f t="shared" si="2"/>
        <v>60785</v>
      </c>
      <c r="T12" s="269">
        <f t="shared" si="11"/>
        <v>0.18251819980567455</v>
      </c>
      <c r="V12" s="29"/>
      <c r="W12" s="81"/>
      <c r="AE12" s="1"/>
    </row>
    <row r="13" spans="1:31" s="4" customFormat="1" x14ac:dyDescent="0.25">
      <c r="B13" s="246" t="s">
        <v>51</v>
      </c>
      <c r="C13" s="263">
        <v>7454</v>
      </c>
      <c r="D13" s="263">
        <v>7418</v>
      </c>
      <c r="E13" s="263">
        <v>15383</v>
      </c>
      <c r="F13" s="264">
        <f t="shared" si="0"/>
        <v>3.4396325811442932E-2</v>
      </c>
      <c r="G13" s="263">
        <v>19920</v>
      </c>
      <c r="H13" s="275">
        <f t="shared" si="3"/>
        <v>0.29493596827666901</v>
      </c>
      <c r="I13" s="266">
        <f t="shared" si="4"/>
        <v>4537</v>
      </c>
      <c r="J13" s="264">
        <f t="shared" si="5"/>
        <v>4.0861203190127669E-2</v>
      </c>
      <c r="K13" s="263">
        <v>16896</v>
      </c>
      <c r="L13" s="271">
        <f t="shared" si="6"/>
        <v>-0.15180722891566267</v>
      </c>
      <c r="M13" s="270">
        <f t="shared" si="7"/>
        <v>-3024</v>
      </c>
      <c r="N13" s="269">
        <f t="shared" si="8"/>
        <v>3.5112876175988329E-2</v>
      </c>
      <c r="O13" s="263">
        <v>16644</v>
      </c>
      <c r="P13" s="271">
        <f t="shared" si="9"/>
        <v>-1.4914772727272707E-2</v>
      </c>
      <c r="Q13" s="270">
        <f t="shared" si="10"/>
        <v>-252</v>
      </c>
      <c r="R13" s="271">
        <f t="shared" si="1"/>
        <v>1.2328950898846256</v>
      </c>
      <c r="S13" s="270">
        <f t="shared" si="2"/>
        <v>9190</v>
      </c>
      <c r="T13" s="269">
        <f t="shared" si="11"/>
        <v>3.4629044372364172E-2</v>
      </c>
      <c r="V13" s="29"/>
      <c r="W13" s="81"/>
      <c r="AE13" s="1"/>
    </row>
    <row r="14" spans="1:31" s="4" customFormat="1" x14ac:dyDescent="0.25">
      <c r="B14" s="246" t="s">
        <v>54</v>
      </c>
      <c r="C14" s="263">
        <v>2629</v>
      </c>
      <c r="D14" s="263">
        <v>19690</v>
      </c>
      <c r="E14" s="263">
        <v>11499</v>
      </c>
      <c r="F14" s="269">
        <f t="shared" si="0"/>
        <v>2.5711717513214737E-2</v>
      </c>
      <c r="G14" s="263">
        <v>14533</v>
      </c>
      <c r="H14" s="271">
        <f t="shared" si="3"/>
        <v>0.26384903035046525</v>
      </c>
      <c r="I14" s="270">
        <f t="shared" si="4"/>
        <v>3034</v>
      </c>
      <c r="J14" s="269">
        <f t="shared" si="5"/>
        <v>2.9811037447897863E-2</v>
      </c>
      <c r="K14" s="263">
        <v>11038</v>
      </c>
      <c r="L14" s="271">
        <f t="shared" si="6"/>
        <v>-0.24048716713686091</v>
      </c>
      <c r="M14" s="270">
        <f t="shared" si="7"/>
        <v>-3495</v>
      </c>
      <c r="N14" s="269">
        <f t="shared" si="8"/>
        <v>2.2938916147641996E-2</v>
      </c>
      <c r="O14" s="263">
        <v>9469</v>
      </c>
      <c r="P14" s="271">
        <f t="shared" si="9"/>
        <v>-0.14214531618046744</v>
      </c>
      <c r="Q14" s="270">
        <f t="shared" si="10"/>
        <v>-1569</v>
      </c>
      <c r="R14" s="271">
        <f t="shared" si="1"/>
        <v>2.6017497147204258</v>
      </c>
      <c r="S14" s="270">
        <f t="shared" si="2"/>
        <v>6840</v>
      </c>
      <c r="T14" s="269">
        <f t="shared" si="11"/>
        <v>1.970093854613773E-2</v>
      </c>
      <c r="V14" s="29"/>
      <c r="W14" s="81"/>
      <c r="AE14" s="1"/>
    </row>
    <row r="15" spans="1:31" s="4" customFormat="1" x14ac:dyDescent="0.25">
      <c r="B15" s="246" t="s">
        <v>49</v>
      </c>
      <c r="C15" s="263">
        <v>5545</v>
      </c>
      <c r="D15" s="263">
        <v>8975</v>
      </c>
      <c r="E15" s="263">
        <v>15319</v>
      </c>
      <c r="F15" s="264">
        <f t="shared" si="0"/>
        <v>3.4253222070174498E-2</v>
      </c>
      <c r="G15" s="263">
        <v>15555</v>
      </c>
      <c r="H15" s="275">
        <f t="shared" si="3"/>
        <v>1.5405705333246367E-2</v>
      </c>
      <c r="I15" s="266">
        <f t="shared" si="4"/>
        <v>236</v>
      </c>
      <c r="J15" s="264">
        <f t="shared" si="5"/>
        <v>3.1907430503134333E-2</v>
      </c>
      <c r="K15" s="263">
        <v>28730</v>
      </c>
      <c r="L15" s="271">
        <f t="shared" si="6"/>
        <v>0.84699453551912574</v>
      </c>
      <c r="M15" s="270">
        <f t="shared" si="7"/>
        <v>13175</v>
      </c>
      <c r="N15" s="269">
        <f t="shared" si="8"/>
        <v>5.9706021101807803E-2</v>
      </c>
      <c r="O15" s="263">
        <v>19172</v>
      </c>
      <c r="P15" s="271">
        <f t="shared" si="9"/>
        <v>-0.33268360598677338</v>
      </c>
      <c r="Q15" s="270">
        <f t="shared" si="10"/>
        <v>-9558</v>
      </c>
      <c r="R15" s="271">
        <f t="shared" si="1"/>
        <v>2.4575293056807936</v>
      </c>
      <c r="S15" s="270">
        <f t="shared" si="2"/>
        <v>13627</v>
      </c>
      <c r="T15" s="269">
        <f t="shared" si="11"/>
        <v>3.98887309965733E-2</v>
      </c>
      <c r="V15" s="29"/>
      <c r="W15" s="81"/>
      <c r="AE15" s="1"/>
    </row>
    <row r="16" spans="1:31" s="4" customFormat="1" x14ac:dyDescent="0.25">
      <c r="B16" s="246" t="s">
        <v>203</v>
      </c>
      <c r="C16" s="263">
        <f>C6-SUM(C7:C15)</f>
        <v>12411</v>
      </c>
      <c r="D16" s="263">
        <f>D6-SUM(D7:D15)</f>
        <v>15529</v>
      </c>
      <c r="E16" s="263">
        <f>E6-SUM(E7:E15)</f>
        <v>27902</v>
      </c>
      <c r="F16" s="269">
        <f t="shared" si="0"/>
        <v>6.2388759201123363E-2</v>
      </c>
      <c r="G16" s="263">
        <f>G6-SUM(G7:G15)</f>
        <v>29120</v>
      </c>
      <c r="H16" s="271">
        <f t="shared" si="3"/>
        <v>4.3652784746613049E-2</v>
      </c>
      <c r="I16" s="270">
        <f t="shared" si="4"/>
        <v>1218</v>
      </c>
      <c r="J16" s="269">
        <f t="shared" si="5"/>
        <v>5.9732843217696674E-2</v>
      </c>
      <c r="K16" s="263">
        <f>K6-SUM(K7:K15)</f>
        <v>26478</v>
      </c>
      <c r="L16" s="271">
        <f t="shared" si="6"/>
        <v>-9.0728021978021989E-2</v>
      </c>
      <c r="M16" s="270">
        <f t="shared" si="7"/>
        <v>-2642</v>
      </c>
      <c r="N16" s="269">
        <f t="shared" si="8"/>
        <v>5.5025966819828298E-2</v>
      </c>
      <c r="O16" s="263">
        <f>O6-SUM(O7:O15)</f>
        <v>24222</v>
      </c>
      <c r="P16" s="271">
        <f t="shared" si="9"/>
        <v>-8.5202809879900254E-2</v>
      </c>
      <c r="Q16" s="270">
        <f t="shared" si="10"/>
        <v>-2256</v>
      </c>
      <c r="R16" s="271">
        <f t="shared" si="1"/>
        <v>0.95165578921924099</v>
      </c>
      <c r="S16" s="270">
        <f t="shared" si="2"/>
        <v>11811</v>
      </c>
      <c r="T16" s="269">
        <f t="shared" si="11"/>
        <v>5.0395620811548011E-2</v>
      </c>
      <c r="V16" s="29"/>
      <c r="W16" s="81"/>
      <c r="AE16" s="1"/>
    </row>
    <row r="17" spans="2:31" s="4" customFormat="1" ht="7.5" customHeight="1" x14ac:dyDescent="0.25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AE17" s="1" t="s">
        <v>182</v>
      </c>
    </row>
    <row r="18" spans="2:31" s="4" customFormat="1" x14ac:dyDescent="0.25">
      <c r="B18" s="172" t="s">
        <v>183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8" t="s">
        <v>185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9"/>
      <c r="AE44" s="1"/>
    </row>
    <row r="45" spans="2:31" s="4" customFormat="1" ht="18.75" hidden="1" x14ac:dyDescent="0.3">
      <c r="B45" s="235" t="s">
        <v>173</v>
      </c>
      <c r="C45" s="236"/>
      <c r="D45" s="236"/>
      <c r="E45" s="236"/>
      <c r="F45" s="236"/>
      <c r="G45" s="236"/>
      <c r="H45" s="236"/>
      <c r="I45" s="236"/>
      <c r="J45" s="236"/>
      <c r="K45" s="236">
        <v>1824653</v>
      </c>
      <c r="L45" s="236"/>
      <c r="M45" s="236"/>
      <c r="N45" s="237"/>
      <c r="O45" s="236">
        <v>2354005</v>
      </c>
      <c r="P45" s="237"/>
      <c r="Q45" s="237">
        <v>1</v>
      </c>
      <c r="R45" s="237">
        <v>0.2901110512519367</v>
      </c>
      <c r="S45" s="236">
        <v>529352</v>
      </c>
      <c r="T45" s="248"/>
      <c r="AE45" s="1"/>
    </row>
    <row r="46" spans="2:31" ht="18.75" hidden="1" x14ac:dyDescent="0.3">
      <c r="B46" s="235" t="s">
        <v>174</v>
      </c>
      <c r="C46" s="236"/>
      <c r="D46" s="236"/>
      <c r="E46" s="236"/>
      <c r="F46" s="236"/>
      <c r="G46" s="236"/>
      <c r="H46" s="236"/>
      <c r="I46" s="236"/>
      <c r="J46" s="236"/>
      <c r="K46" s="236">
        <v>603938</v>
      </c>
      <c r="L46" s="236"/>
      <c r="M46" s="236"/>
      <c r="N46" s="237">
        <v>1</v>
      </c>
      <c r="O46" s="236">
        <v>936181</v>
      </c>
      <c r="P46" s="237">
        <v>1</v>
      </c>
      <c r="Q46" s="237">
        <v>0.39769711619134201</v>
      </c>
      <c r="R46" s="237">
        <v>0.55012766211101138</v>
      </c>
      <c r="S46" s="236">
        <v>332243</v>
      </c>
      <c r="T46" s="248"/>
      <c r="AE46" s="1" t="s">
        <v>175</v>
      </c>
    </row>
    <row r="47" spans="2:31" ht="15.75" hidden="1" x14ac:dyDescent="0.25">
      <c r="B47" s="238" t="s">
        <v>102</v>
      </c>
      <c r="C47" s="239"/>
      <c r="D47" s="239"/>
      <c r="E47" s="239"/>
      <c r="F47" s="239"/>
      <c r="G47" s="239"/>
      <c r="H47" s="239"/>
      <c r="I47" s="239"/>
      <c r="J47" s="239"/>
      <c r="K47" s="239">
        <v>276550.36166633503</v>
      </c>
      <c r="L47" s="239"/>
      <c r="M47" s="239"/>
      <c r="N47" s="240">
        <v>0.45791184139155844</v>
      </c>
      <c r="O47" s="239">
        <v>430252.45635520399</v>
      </c>
      <c r="P47" s="240">
        <v>0.4595825554622493</v>
      </c>
      <c r="Q47" s="240">
        <v>0.18277465695918402</v>
      </c>
      <c r="R47" s="240">
        <v>0.55578337978930015</v>
      </c>
      <c r="S47" s="239">
        <v>153702.09468886897</v>
      </c>
      <c r="T47" s="249"/>
      <c r="AE47" s="1" t="s">
        <v>176</v>
      </c>
    </row>
    <row r="48" spans="2:31" s="4" customFormat="1" hidden="1" x14ac:dyDescent="0.25">
      <c r="B48" s="241" t="s">
        <v>105</v>
      </c>
      <c r="C48" s="242"/>
      <c r="D48" s="242"/>
      <c r="E48" s="242"/>
      <c r="F48" s="242"/>
      <c r="G48" s="242"/>
      <c r="H48" s="242"/>
      <c r="I48" s="242"/>
      <c r="J48" s="242"/>
      <c r="K48" s="242">
        <v>327387.63833385095</v>
      </c>
      <c r="L48" s="242"/>
      <c r="M48" s="242"/>
      <c r="N48" s="245">
        <v>0.54208815860874948</v>
      </c>
      <c r="O48" s="242">
        <v>505927.5436448183</v>
      </c>
      <c r="P48" s="245">
        <v>0.54041637636826456</v>
      </c>
      <c r="Q48" s="245">
        <v>0.21492203442423372</v>
      </c>
      <c r="R48" s="243">
        <v>0.54534711884540576</v>
      </c>
      <c r="S48" s="244">
        <v>178539.90531096736</v>
      </c>
      <c r="T48" s="251"/>
      <c r="AE48" s="1" t="s">
        <v>177</v>
      </c>
    </row>
    <row r="49" spans="2:31" s="4" customFormat="1" hidden="1" x14ac:dyDescent="0.25">
      <c r="B49" s="246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46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AE51" s="1" t="s">
        <v>182</v>
      </c>
    </row>
    <row r="52" spans="2:31" s="4" customFormat="1" hidden="1" x14ac:dyDescent="0.25">
      <c r="B52" s="296" t="s">
        <v>183</v>
      </c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49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29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5" t="s">
        <v>202</v>
      </c>
      <c r="C136" s="239">
        <v>456683</v>
      </c>
      <c r="D136" s="239">
        <v>800301</v>
      </c>
      <c r="E136" s="239">
        <v>1016781</v>
      </c>
      <c r="F136" s="239">
        <v>1041269</v>
      </c>
      <c r="G136" s="240">
        <f>F136/E136-1</f>
        <v>2.4083848931087504E-2</v>
      </c>
      <c r="H136" s="239">
        <f>F136-E136</f>
        <v>24488</v>
      </c>
      <c r="I136" s="240">
        <f>F136/F$136</f>
        <v>1</v>
      </c>
      <c r="J136" s="239">
        <v>1058434</v>
      </c>
      <c r="K136" s="240">
        <f>H136/H$136</f>
        <v>1</v>
      </c>
      <c r="L136" s="240">
        <f>J136/F136-1</f>
        <v>1.6484693196474609E-2</v>
      </c>
      <c r="M136" s="239">
        <f>J136-F136</f>
        <v>17165</v>
      </c>
      <c r="N136" s="240">
        <f>J136/C136-1</f>
        <v>1.3176557918731375</v>
      </c>
      <c r="O136" s="239">
        <f>J136-C136</f>
        <v>601751</v>
      </c>
      <c r="Q136" s="29"/>
      <c r="R136" s="81"/>
      <c r="Z136" s="1" t="s">
        <v>175</v>
      </c>
      <c r="AE136"/>
    </row>
    <row r="137" spans="1:31" s="4" customFormat="1" x14ac:dyDescent="0.25">
      <c r="B137" s="246" t="s">
        <v>46</v>
      </c>
      <c r="C137" s="263">
        <v>117997</v>
      </c>
      <c r="D137" s="263">
        <v>247584</v>
      </c>
      <c r="E137" s="263">
        <v>207208</v>
      </c>
      <c r="F137" s="263">
        <v>181512</v>
      </c>
      <c r="G137" s="269">
        <f t="shared" ref="G137:G146" si="12">F137/E137-1</f>
        <v>-0.12401065595922933</v>
      </c>
      <c r="H137" s="276">
        <f t="shared" ref="H137:H146" si="13">F137-E137</f>
        <v>-25696</v>
      </c>
      <c r="I137" s="271">
        <f t="shared" ref="I137:K146" si="14">F137/F$136</f>
        <v>0.17431806766551197</v>
      </c>
      <c r="J137" s="263">
        <v>161819</v>
      </c>
      <c r="K137" s="271">
        <f t="shared" si="14"/>
        <v>-1.049330284220843</v>
      </c>
      <c r="L137" s="271">
        <f t="shared" ref="L137:L146" si="15">J137/F137-1</f>
        <v>-0.10849420423994005</v>
      </c>
      <c r="M137" s="270">
        <f t="shared" ref="M137:M146" si="16">J137-F137</f>
        <v>-19693</v>
      </c>
      <c r="N137" s="269">
        <f t="shared" ref="N137:N146" si="17">J137/C137-1</f>
        <v>0.37138232327940535</v>
      </c>
      <c r="O137" s="263">
        <f t="shared" ref="O137:O146" si="18">J137-C137</f>
        <v>43822</v>
      </c>
      <c r="Q137" s="29"/>
      <c r="R137" s="81"/>
      <c r="Z137" s="1" t="s">
        <v>177</v>
      </c>
    </row>
    <row r="138" spans="1:31" s="4" customFormat="1" x14ac:dyDescent="0.25">
      <c r="B138" s="246" t="s">
        <v>47</v>
      </c>
      <c r="C138" s="263">
        <v>51760</v>
      </c>
      <c r="D138" s="263">
        <v>83468</v>
      </c>
      <c r="E138" s="263">
        <v>123951</v>
      </c>
      <c r="F138" s="263">
        <v>118966</v>
      </c>
      <c r="G138" s="269">
        <f t="shared" si="12"/>
        <v>-4.0217505304515511E-2</v>
      </c>
      <c r="H138" s="276">
        <f t="shared" si="13"/>
        <v>-4985</v>
      </c>
      <c r="I138" s="271">
        <f t="shared" si="14"/>
        <v>0.1142509764527706</v>
      </c>
      <c r="J138" s="263">
        <v>114660</v>
      </c>
      <c r="K138" s="271">
        <f t="shared" si="14"/>
        <v>-0.20356909506697157</v>
      </c>
      <c r="L138" s="271">
        <f t="shared" si="15"/>
        <v>-3.6195215439705497E-2</v>
      </c>
      <c r="M138" s="270">
        <f t="shared" si="16"/>
        <v>-4306</v>
      </c>
      <c r="N138" s="269">
        <f t="shared" si="17"/>
        <v>1.2152241112828439</v>
      </c>
      <c r="O138" s="263">
        <f t="shared" si="18"/>
        <v>62900</v>
      </c>
      <c r="Q138" s="29"/>
      <c r="R138" s="81"/>
      <c r="Z138" s="1"/>
    </row>
    <row r="139" spans="1:31" s="4" customFormat="1" x14ac:dyDescent="0.25">
      <c r="B139" s="246" t="s">
        <v>48</v>
      </c>
      <c r="C139" s="263">
        <v>2339</v>
      </c>
      <c r="D139" s="263">
        <v>4950</v>
      </c>
      <c r="E139" s="263">
        <v>6762</v>
      </c>
      <c r="F139" s="263">
        <v>20250</v>
      </c>
      <c r="G139" s="269">
        <f t="shared" si="12"/>
        <v>1.9946761313220942</v>
      </c>
      <c r="H139" s="276">
        <f t="shared" si="13"/>
        <v>13488</v>
      </c>
      <c r="I139" s="271">
        <f t="shared" si="14"/>
        <v>1.9447424248681178E-2</v>
      </c>
      <c r="J139" s="263">
        <v>11054</v>
      </c>
      <c r="K139" s="275">
        <f t="shared" si="14"/>
        <v>0.55080039202874875</v>
      </c>
      <c r="L139" s="271">
        <f t="shared" si="15"/>
        <v>-0.45412345679012345</v>
      </c>
      <c r="M139" s="270">
        <f t="shared" si="16"/>
        <v>-9196</v>
      </c>
      <c r="N139" s="269">
        <f t="shared" si="17"/>
        <v>3.725951261222745</v>
      </c>
      <c r="O139" s="263">
        <f t="shared" si="18"/>
        <v>8715</v>
      </c>
      <c r="Q139" s="29"/>
      <c r="R139" s="81"/>
      <c r="Z139" s="1"/>
    </row>
    <row r="140" spans="1:31" s="4" customFormat="1" x14ac:dyDescent="0.25">
      <c r="B140" s="246" t="s">
        <v>50</v>
      </c>
      <c r="C140" s="263">
        <v>103133</v>
      </c>
      <c r="D140" s="263">
        <v>181693</v>
      </c>
      <c r="E140" s="263">
        <v>342343</v>
      </c>
      <c r="F140" s="263">
        <v>341923</v>
      </c>
      <c r="G140" s="269">
        <f t="shared" si="12"/>
        <v>-1.2268397484394011E-3</v>
      </c>
      <c r="H140" s="276">
        <f t="shared" si="13"/>
        <v>-420</v>
      </c>
      <c r="I140" s="271">
        <f t="shared" si="14"/>
        <v>0.32837143908058342</v>
      </c>
      <c r="J140" s="263">
        <v>382237</v>
      </c>
      <c r="K140" s="271">
        <f t="shared" si="14"/>
        <v>-1.7151257758902319E-2</v>
      </c>
      <c r="L140" s="271">
        <f t="shared" si="15"/>
        <v>0.1179037385610211</v>
      </c>
      <c r="M140" s="270">
        <f t="shared" si="16"/>
        <v>40314</v>
      </c>
      <c r="N140" s="269">
        <f t="shared" si="17"/>
        <v>2.7062530906693301</v>
      </c>
      <c r="O140" s="263">
        <f t="shared" si="18"/>
        <v>279104</v>
      </c>
      <c r="Q140" s="29"/>
      <c r="R140" s="81"/>
      <c r="Z140" s="1"/>
    </row>
    <row r="141" spans="1:31" s="4" customFormat="1" x14ac:dyDescent="0.25">
      <c r="B141" s="246" t="s">
        <v>52</v>
      </c>
      <c r="C141" s="263">
        <v>30584</v>
      </c>
      <c r="D141" s="263">
        <v>44398</v>
      </c>
      <c r="E141" s="263">
        <v>48630</v>
      </c>
      <c r="F141" s="263">
        <v>55684</v>
      </c>
      <c r="G141" s="269">
        <f t="shared" si="12"/>
        <v>0.14505449311124829</v>
      </c>
      <c r="H141" s="276">
        <f t="shared" si="13"/>
        <v>7054</v>
      </c>
      <c r="I141" s="271">
        <f t="shared" si="14"/>
        <v>5.3477055400669757E-2</v>
      </c>
      <c r="J141" s="263">
        <v>49807</v>
      </c>
      <c r="K141" s="275">
        <f t="shared" si="14"/>
        <v>0.28805945769356417</v>
      </c>
      <c r="L141" s="271">
        <f t="shared" si="15"/>
        <v>-0.10554198692622652</v>
      </c>
      <c r="M141" s="270">
        <f t="shared" si="16"/>
        <v>-5877</v>
      </c>
      <c r="N141" s="269">
        <f t="shared" si="17"/>
        <v>0.62853125817420863</v>
      </c>
      <c r="O141" s="263">
        <f t="shared" si="18"/>
        <v>19223</v>
      </c>
      <c r="Q141" s="29"/>
      <c r="R141" s="81"/>
      <c r="Z141" s="1"/>
    </row>
    <row r="142" spans="1:31" s="4" customFormat="1" x14ac:dyDescent="0.25">
      <c r="B142" s="246" t="s">
        <v>53</v>
      </c>
      <c r="C142" s="263">
        <v>61571</v>
      </c>
      <c r="D142" s="263">
        <v>104557</v>
      </c>
      <c r="E142" s="263">
        <v>134886</v>
      </c>
      <c r="F142" s="263">
        <v>146430</v>
      </c>
      <c r="G142" s="269">
        <f t="shared" si="12"/>
        <v>8.5583381522174262E-2</v>
      </c>
      <c r="H142" s="276">
        <f t="shared" si="13"/>
        <v>11544</v>
      </c>
      <c r="I142" s="271">
        <f t="shared" si="14"/>
        <v>0.14062648556713012</v>
      </c>
      <c r="J142" s="263">
        <v>156566</v>
      </c>
      <c r="K142" s="271">
        <f t="shared" si="14"/>
        <v>0.47141457040182949</v>
      </c>
      <c r="L142" s="271">
        <f t="shared" si="15"/>
        <v>6.9220788089872309E-2</v>
      </c>
      <c r="M142" s="270">
        <f t="shared" si="16"/>
        <v>10136</v>
      </c>
      <c r="N142" s="269">
        <f t="shared" si="17"/>
        <v>1.5428529664939665</v>
      </c>
      <c r="O142" s="263">
        <f t="shared" si="18"/>
        <v>94995</v>
      </c>
      <c r="Q142" s="29"/>
      <c r="R142" s="81"/>
      <c r="Z142" s="1"/>
    </row>
    <row r="143" spans="1:31" s="4" customFormat="1" x14ac:dyDescent="0.25">
      <c r="B143" s="246" t="s">
        <v>51</v>
      </c>
      <c r="C143" s="263">
        <v>16023</v>
      </c>
      <c r="D143" s="263">
        <v>21732</v>
      </c>
      <c r="E143" s="263">
        <v>33809</v>
      </c>
      <c r="F143" s="263">
        <v>37722</v>
      </c>
      <c r="G143" s="269">
        <f t="shared" si="12"/>
        <v>0.11573841284864983</v>
      </c>
      <c r="H143" s="276">
        <f t="shared" si="13"/>
        <v>3913</v>
      </c>
      <c r="I143" s="271">
        <f t="shared" si="14"/>
        <v>3.6226950000432162E-2</v>
      </c>
      <c r="J143" s="263">
        <v>35821</v>
      </c>
      <c r="K143" s="275">
        <f t="shared" si="14"/>
        <v>0.15979255145377327</v>
      </c>
      <c r="L143" s="271">
        <f t="shared" si="15"/>
        <v>-5.0394994963151474E-2</v>
      </c>
      <c r="M143" s="270">
        <f t="shared" si="16"/>
        <v>-1901</v>
      </c>
      <c r="N143" s="269">
        <f t="shared" si="17"/>
        <v>1.2355988266866378</v>
      </c>
      <c r="O143" s="263">
        <f t="shared" si="18"/>
        <v>19798</v>
      </c>
      <c r="Q143" s="29"/>
      <c r="R143" s="81"/>
      <c r="Z143" s="1"/>
    </row>
    <row r="144" spans="1:31" s="4" customFormat="1" x14ac:dyDescent="0.25">
      <c r="B144" s="246" t="s">
        <v>54</v>
      </c>
      <c r="C144" s="263">
        <v>26839</v>
      </c>
      <c r="D144" s="263">
        <v>45216</v>
      </c>
      <c r="E144" s="263">
        <v>29061</v>
      </c>
      <c r="F144" s="263">
        <v>32018</v>
      </c>
      <c r="G144" s="269">
        <f t="shared" si="12"/>
        <v>0.10175148824885594</v>
      </c>
      <c r="H144" s="276">
        <f t="shared" si="13"/>
        <v>2957</v>
      </c>
      <c r="I144" s="271">
        <f t="shared" si="14"/>
        <v>3.0749018745396241E-2</v>
      </c>
      <c r="J144" s="263">
        <v>29188</v>
      </c>
      <c r="K144" s="271">
        <f t="shared" si="14"/>
        <v>0.12075302188827181</v>
      </c>
      <c r="L144" s="271">
        <f t="shared" si="15"/>
        <v>-8.838778187269658E-2</v>
      </c>
      <c r="M144" s="270">
        <f t="shared" si="16"/>
        <v>-2830</v>
      </c>
      <c r="N144" s="269">
        <f t="shared" si="17"/>
        <v>8.752188978724984E-2</v>
      </c>
      <c r="O144" s="263">
        <f t="shared" si="18"/>
        <v>2349</v>
      </c>
      <c r="Q144" s="29"/>
      <c r="R144" s="81"/>
      <c r="Z144" s="1"/>
    </row>
    <row r="145" spans="2:31" s="4" customFormat="1" x14ac:dyDescent="0.25">
      <c r="B145" s="246" t="s">
        <v>49</v>
      </c>
      <c r="C145" s="263">
        <v>24273</v>
      </c>
      <c r="D145" s="263">
        <v>26311</v>
      </c>
      <c r="E145" s="263">
        <v>32375</v>
      </c>
      <c r="F145" s="263">
        <v>47068</v>
      </c>
      <c r="G145" s="269">
        <f t="shared" si="12"/>
        <v>0.45383783783783782</v>
      </c>
      <c r="H145" s="276">
        <f t="shared" si="13"/>
        <v>14693</v>
      </c>
      <c r="I145" s="271">
        <f t="shared" si="14"/>
        <v>4.5202536520342007E-2</v>
      </c>
      <c r="J145" s="263">
        <v>61312</v>
      </c>
      <c r="K145" s="275">
        <f t="shared" si="14"/>
        <v>0.60000816726559947</v>
      </c>
      <c r="L145" s="271">
        <f t="shared" si="15"/>
        <v>0.30262598793235318</v>
      </c>
      <c r="M145" s="270">
        <f t="shared" si="16"/>
        <v>14244</v>
      </c>
      <c r="N145" s="269">
        <f t="shared" si="17"/>
        <v>1.5259341655337204</v>
      </c>
      <c r="O145" s="263">
        <f t="shared" si="18"/>
        <v>37039</v>
      </c>
      <c r="Q145" s="29"/>
      <c r="R145" s="81"/>
      <c r="Z145" s="1"/>
    </row>
    <row r="146" spans="2:31" s="4" customFormat="1" x14ac:dyDescent="0.25">
      <c r="B146" s="246" t="s">
        <v>203</v>
      </c>
      <c r="C146" s="263">
        <f>C136-SUM(C137:C145)</f>
        <v>22164</v>
      </c>
      <c r="D146" s="263">
        <f>D136-SUM(D137:D145)</f>
        <v>40392</v>
      </c>
      <c r="E146" s="263">
        <f>E136-SUM(E137:E145)</f>
        <v>57756</v>
      </c>
      <c r="F146" s="263">
        <f>F136-SUM(F137:F145)</f>
        <v>59696</v>
      </c>
      <c r="G146" s="269">
        <f t="shared" si="12"/>
        <v>3.3589583766188813E-2</v>
      </c>
      <c r="H146" s="276">
        <f t="shared" si="13"/>
        <v>1940</v>
      </c>
      <c r="I146" s="271">
        <f t="shared" si="14"/>
        <v>5.7330046318482542E-2</v>
      </c>
      <c r="J146" s="263">
        <f>J136-SUM(J137:J145)</f>
        <v>55970</v>
      </c>
      <c r="K146" s="271">
        <f t="shared" si="14"/>
        <v>7.9222476314929763E-2</v>
      </c>
      <c r="L146" s="271">
        <f t="shared" si="15"/>
        <v>-6.2416242294291102E-2</v>
      </c>
      <c r="M146" s="270">
        <f t="shared" si="16"/>
        <v>-3726</v>
      </c>
      <c r="N146" s="269">
        <f t="shared" si="17"/>
        <v>1.5252661974372859</v>
      </c>
      <c r="O146" s="263">
        <f t="shared" si="18"/>
        <v>33806</v>
      </c>
      <c r="Q146" s="29"/>
      <c r="R146" s="81"/>
      <c r="Z146" s="1"/>
    </row>
    <row r="147" spans="2:31" s="4" customFormat="1" ht="7.5" customHeight="1" x14ac:dyDescent="0.25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Z147" s="1" t="s">
        <v>182</v>
      </c>
    </row>
    <row r="148" spans="2:31" s="4" customFormat="1" x14ac:dyDescent="0.25">
      <c r="B148" s="172" t="s">
        <v>183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3565-12A1-4302-AC71-5D883F70AD79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204</v>
      </c>
      <c r="G1" s="234"/>
      <c r="H1" s="234"/>
      <c r="I1" s="234"/>
      <c r="K1" s="234"/>
    </row>
    <row r="3" spans="1:31" s="4" customFormat="1" ht="25.5" customHeight="1" thickBot="1" x14ac:dyDescent="0.3">
      <c r="B3" s="66" t="s">
        <v>30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2" t="s">
        <v>260</v>
      </c>
      <c r="D5" s="252" t="s">
        <v>261</v>
      </c>
      <c r="E5" s="252" t="s">
        <v>262</v>
      </c>
      <c r="F5" s="253" t="str">
        <f>CONCATENATE("%/s total Tenerife ",RIGHT(E5,4))</f>
        <v>%/s total Tenerife 2022</v>
      </c>
      <c r="G5" s="252" t="s">
        <v>263</v>
      </c>
      <c r="H5" s="253" t="str">
        <f>CONCATENATE("var. ",RIGHT(G5,2),"/",RIGHT(E5,2))</f>
        <v>var. 23/22</v>
      </c>
      <c r="I5" s="253" t="str">
        <f>CONCATENATE("dif. ",RIGHT(G5,2),"/",RIGHT(E5,2))</f>
        <v>dif. 23/22</v>
      </c>
      <c r="J5" s="253" t="str">
        <f>CONCATENATE("%/s total Tenerife ",RIGHT(G5,4))</f>
        <v>%/s total Tenerife 2023</v>
      </c>
      <c r="K5" s="252" t="s">
        <v>264</v>
      </c>
      <c r="L5" s="253" t="str">
        <f>CONCATENATE("var. ",RIGHT(K5,2),"/",RIGHT(G5,2))</f>
        <v>var. 24/23</v>
      </c>
      <c r="M5" s="253" t="str">
        <f>CONCATENATE("dif. ",RIGHT(K5,2),"/",RIGHT(G5,2))</f>
        <v>dif. 24/23</v>
      </c>
      <c r="N5" s="253" t="str">
        <f>CONCATENATE("%/s total Tenerife ",RIGHT(K5,4))</f>
        <v>%/s total Tenerife 2024</v>
      </c>
      <c r="O5" s="252" t="s">
        <v>265</v>
      </c>
      <c r="P5" s="253" t="str">
        <f>CONCATENATE("var. ",RIGHT(O5,2),"/",RIGHT(K5,2))</f>
        <v>var. 25/24</v>
      </c>
      <c r="Q5" s="253" t="str">
        <f>CONCATENATE("dif. ",RIGHT(O5,2),"/",RIGHT(K5,2))</f>
        <v>dif. 25/24</v>
      </c>
      <c r="R5" s="253" t="str">
        <f>CONCATENATE("var. ",RIGHT(O5,2),"/",RIGHT(C5,2))</f>
        <v>var. 25/20</v>
      </c>
      <c r="S5" s="253" t="str">
        <f>CONCATENATE("dif. ",RIGHT(O5,2),"/",RIGHT(C5,2))</f>
        <v>dif. 25/20</v>
      </c>
      <c r="T5" s="253" t="str">
        <f>CONCATENATE("%/s total Tenerife ",RIGHT(O5,4))</f>
        <v>%/s total Tenerife 2025</v>
      </c>
      <c r="AE5" s="1"/>
    </row>
    <row r="6" spans="1:31" ht="18.75" x14ac:dyDescent="0.3">
      <c r="A6" s="4"/>
      <c r="B6" s="235" t="s">
        <v>202</v>
      </c>
      <c r="C6" s="254">
        <v>90853</v>
      </c>
      <c r="D6" s="254">
        <v>94831</v>
      </c>
      <c r="E6" s="254">
        <v>258592</v>
      </c>
      <c r="F6" s="255">
        <f>E6/$E$6</f>
        <v>1</v>
      </c>
      <c r="G6" s="254">
        <v>288981</v>
      </c>
      <c r="H6" s="255">
        <f>G6/E6-1</f>
        <v>0.11751716990471484</v>
      </c>
      <c r="I6" s="254">
        <f>G6-E6</f>
        <v>30389</v>
      </c>
      <c r="J6" s="255">
        <f>G6/$G$6</f>
        <v>1</v>
      </c>
      <c r="K6" s="254">
        <v>292403</v>
      </c>
      <c r="L6" s="255">
        <f>K6/G6-1</f>
        <v>1.1841608963911066E-2</v>
      </c>
      <c r="M6" s="254">
        <f>K6-G6</f>
        <v>3422</v>
      </c>
      <c r="N6" s="255">
        <f>K6/$K$6</f>
        <v>1</v>
      </c>
      <c r="O6" s="254">
        <v>303843</v>
      </c>
      <c r="P6" s="255">
        <f>O6/K6-1</f>
        <v>3.9124085594197E-2</v>
      </c>
      <c r="Q6" s="254">
        <f>O6-K6</f>
        <v>11440</v>
      </c>
      <c r="R6" s="255">
        <f>IFERROR(O6/C6-1,"-")</f>
        <v>2.3443364555931008</v>
      </c>
      <c r="S6" s="254">
        <f>O6-C6</f>
        <v>212990</v>
      </c>
      <c r="T6" s="255">
        <f>O6/$O$6</f>
        <v>1</v>
      </c>
      <c r="V6" s="29"/>
      <c r="W6" s="81"/>
      <c r="AE6" s="1" t="s">
        <v>175</v>
      </c>
    </row>
    <row r="7" spans="1:31" s="4" customFormat="1" x14ac:dyDescent="0.25">
      <c r="B7" s="246" t="s">
        <v>46</v>
      </c>
      <c r="C7" s="263">
        <v>10899</v>
      </c>
      <c r="D7" s="263">
        <v>35361</v>
      </c>
      <c r="E7" s="263">
        <v>48509</v>
      </c>
      <c r="F7" s="269">
        <f t="shared" ref="F7:F16" si="0">E7/$E$6</f>
        <v>0.187588943200099</v>
      </c>
      <c r="G7" s="263">
        <v>46203</v>
      </c>
      <c r="H7" s="271">
        <f>G7/E7-1</f>
        <v>-4.7537570347770508E-2</v>
      </c>
      <c r="I7" s="270">
        <f>G7-E7</f>
        <v>-2306</v>
      </c>
      <c r="J7" s="269">
        <f>G7/$G$6</f>
        <v>0.15988248362349081</v>
      </c>
      <c r="K7" s="263">
        <v>42959</v>
      </c>
      <c r="L7" s="271">
        <f>K7/G7-1</f>
        <v>-7.0211891002748716E-2</v>
      </c>
      <c r="M7" s="270">
        <f>K7-G7</f>
        <v>-3244</v>
      </c>
      <c r="N7" s="269">
        <f>K7/$K$6</f>
        <v>0.14691709729380342</v>
      </c>
      <c r="O7" s="263">
        <v>35884</v>
      </c>
      <c r="P7" s="271">
        <f>O7/K7-1</f>
        <v>-0.16469191554738238</v>
      </c>
      <c r="Q7" s="270">
        <f>O7-K7</f>
        <v>-7075</v>
      </c>
      <c r="R7" s="271">
        <f t="shared" ref="R7:R16" si="1">IFERROR(O7/C7-1,"-")</f>
        <v>2.2924121479034776</v>
      </c>
      <c r="S7" s="270">
        <f t="shared" ref="S7:S16" si="2">O7-C7</f>
        <v>24985</v>
      </c>
      <c r="T7" s="269">
        <f>O7/$O$6</f>
        <v>0.11810046635927107</v>
      </c>
      <c r="V7" s="29"/>
      <c r="W7" s="81"/>
      <c r="AE7" s="1" t="s">
        <v>177</v>
      </c>
    </row>
    <row r="8" spans="1:31" s="4" customFormat="1" x14ac:dyDescent="0.25">
      <c r="B8" s="246" t="s">
        <v>47</v>
      </c>
      <c r="C8" s="263">
        <v>8874</v>
      </c>
      <c r="D8" s="263">
        <v>5932</v>
      </c>
      <c r="E8" s="263">
        <v>30310</v>
      </c>
      <c r="F8" s="269">
        <f t="shared" si="0"/>
        <v>0.11721166934785299</v>
      </c>
      <c r="G8" s="263">
        <v>29159</v>
      </c>
      <c r="H8" s="271">
        <f t="shared" ref="H8:H16" si="3">G8/E8-1</f>
        <v>-3.7974265918838679E-2</v>
      </c>
      <c r="I8" s="270">
        <f t="shared" ref="I8:I16" si="4">G8-E8</f>
        <v>-1151</v>
      </c>
      <c r="J8" s="269">
        <f t="shared" ref="J8:J16" si="5">G8/$G$6</f>
        <v>0.10090282752153255</v>
      </c>
      <c r="K8" s="263">
        <v>26530</v>
      </c>
      <c r="L8" s="271">
        <f t="shared" ref="L8:L16" si="6">K8/G8-1</f>
        <v>-9.016084227854182E-2</v>
      </c>
      <c r="M8" s="270">
        <f t="shared" ref="M8:M16" si="7">K8-G8</f>
        <v>-2629</v>
      </c>
      <c r="N8" s="269">
        <f t="shared" ref="N8:N16" si="8">K8/$K$6</f>
        <v>9.0730943252976204E-2</v>
      </c>
      <c r="O8" s="263">
        <v>29316</v>
      </c>
      <c r="P8" s="271">
        <f t="shared" ref="P8:P16" si="9">O8/K8-1</f>
        <v>0.10501319261213715</v>
      </c>
      <c r="Q8" s="270">
        <f t="shared" ref="Q8:Q16" si="10">O8-K8</f>
        <v>2786</v>
      </c>
      <c r="R8" s="271">
        <f t="shared" si="1"/>
        <v>2.3035835023664637</v>
      </c>
      <c r="S8" s="270">
        <f t="shared" si="2"/>
        <v>20442</v>
      </c>
      <c r="T8" s="269">
        <f t="shared" ref="T8:T16" si="11">O8/$O$6</f>
        <v>9.6484039454586737E-2</v>
      </c>
      <c r="V8" s="29"/>
      <c r="W8" s="81"/>
      <c r="AE8" s="1"/>
    </row>
    <row r="9" spans="1:31" s="4" customFormat="1" x14ac:dyDescent="0.25">
      <c r="B9" s="246" t="s">
        <v>48</v>
      </c>
      <c r="C9" s="263">
        <v>585</v>
      </c>
      <c r="D9" s="263">
        <v>817</v>
      </c>
      <c r="E9" s="263">
        <v>1241</v>
      </c>
      <c r="F9" s="264">
        <f t="shared" si="0"/>
        <v>4.7990657096893949E-3</v>
      </c>
      <c r="G9" s="263">
        <v>3098</v>
      </c>
      <c r="H9" s="275">
        <f t="shared" si="3"/>
        <v>1.4963738920225627</v>
      </c>
      <c r="I9" s="266">
        <f t="shared" si="4"/>
        <v>1857</v>
      </c>
      <c r="J9" s="264">
        <f t="shared" si="5"/>
        <v>1.0720427986615037E-2</v>
      </c>
      <c r="K9" s="263">
        <v>2077</v>
      </c>
      <c r="L9" s="271">
        <f t="shared" si="6"/>
        <v>-0.32956746287927696</v>
      </c>
      <c r="M9" s="270">
        <f t="shared" si="7"/>
        <v>-1021</v>
      </c>
      <c r="N9" s="269">
        <f t="shared" si="8"/>
        <v>7.1032102953800065E-3</v>
      </c>
      <c r="O9" s="263">
        <v>1545</v>
      </c>
      <c r="P9" s="271">
        <f t="shared" si="9"/>
        <v>-0.25613866153105436</v>
      </c>
      <c r="Q9" s="270">
        <f t="shared" si="10"/>
        <v>-532</v>
      </c>
      <c r="R9" s="271">
        <f t="shared" si="1"/>
        <v>1.641025641025641</v>
      </c>
      <c r="S9" s="270">
        <f t="shared" si="2"/>
        <v>960</v>
      </c>
      <c r="T9" s="269">
        <f t="shared" si="11"/>
        <v>5.0848629061719377E-3</v>
      </c>
      <c r="V9" s="29"/>
      <c r="W9" s="81"/>
      <c r="AE9" s="1"/>
    </row>
    <row r="10" spans="1:31" s="4" customFormat="1" x14ac:dyDescent="0.25">
      <c r="B10" s="246" t="s">
        <v>50</v>
      </c>
      <c r="C10" s="263">
        <v>38308</v>
      </c>
      <c r="D10" s="263">
        <v>21291</v>
      </c>
      <c r="E10" s="263">
        <v>111300</v>
      </c>
      <c r="F10" s="269">
        <f t="shared" si="0"/>
        <v>0.43040774656601904</v>
      </c>
      <c r="G10" s="263">
        <v>122647</v>
      </c>
      <c r="H10" s="271">
        <f t="shared" si="3"/>
        <v>0.10194968553459116</v>
      </c>
      <c r="I10" s="270">
        <f t="shared" si="4"/>
        <v>11347</v>
      </c>
      <c r="J10" s="269">
        <f t="shared" si="5"/>
        <v>0.4244119855630647</v>
      </c>
      <c r="K10" s="263">
        <v>127002</v>
      </c>
      <c r="L10" s="271">
        <f t="shared" si="6"/>
        <v>3.5508410315784333E-2</v>
      </c>
      <c r="M10" s="270">
        <f t="shared" si="7"/>
        <v>4355</v>
      </c>
      <c r="N10" s="269">
        <f t="shared" si="8"/>
        <v>0.43433890897152216</v>
      </c>
      <c r="O10" s="263">
        <v>140084</v>
      </c>
      <c r="P10" s="271">
        <f t="shared" si="9"/>
        <v>0.10300625187004919</v>
      </c>
      <c r="Q10" s="270">
        <f t="shared" si="10"/>
        <v>13082</v>
      </c>
      <c r="R10" s="271">
        <f t="shared" si="1"/>
        <v>2.656781873237966</v>
      </c>
      <c r="S10" s="270">
        <f t="shared" si="2"/>
        <v>101776</v>
      </c>
      <c r="T10" s="269">
        <f>O10/$O$6</f>
        <v>0.46104073485319719</v>
      </c>
      <c r="V10" s="29"/>
      <c r="W10" s="81"/>
      <c r="AE10" s="1"/>
    </row>
    <row r="11" spans="1:31" s="4" customFormat="1" x14ac:dyDescent="0.25">
      <c r="B11" s="246" t="s">
        <v>52</v>
      </c>
      <c r="C11" s="263">
        <v>5757</v>
      </c>
      <c r="D11" s="263">
        <v>5105</v>
      </c>
      <c r="E11" s="263">
        <v>11645</v>
      </c>
      <c r="F11" s="264">
        <f t="shared" si="0"/>
        <v>4.5032328919688155E-2</v>
      </c>
      <c r="G11" s="263">
        <v>14610</v>
      </c>
      <c r="H11" s="275">
        <f t="shared" si="3"/>
        <v>0.2546157148990984</v>
      </c>
      <c r="I11" s="266">
        <f t="shared" si="4"/>
        <v>2965</v>
      </c>
      <c r="J11" s="264">
        <f t="shared" si="5"/>
        <v>5.0556957031777178E-2</v>
      </c>
      <c r="K11" s="263">
        <v>16063</v>
      </c>
      <c r="L11" s="271">
        <f t="shared" si="6"/>
        <v>9.9452429842573631E-2</v>
      </c>
      <c r="M11" s="270">
        <f t="shared" si="7"/>
        <v>1453</v>
      </c>
      <c r="N11" s="269">
        <f t="shared" si="8"/>
        <v>5.4934456896817065E-2</v>
      </c>
      <c r="O11" s="263">
        <v>16553</v>
      </c>
      <c r="P11" s="271">
        <f t="shared" si="9"/>
        <v>3.0504887007408277E-2</v>
      </c>
      <c r="Q11" s="270">
        <f t="shared" si="10"/>
        <v>490</v>
      </c>
      <c r="R11" s="271">
        <f t="shared" si="1"/>
        <v>1.8752822650686123</v>
      </c>
      <c r="S11" s="270">
        <f t="shared" si="2"/>
        <v>10796</v>
      </c>
      <c r="T11" s="269">
        <f t="shared" si="11"/>
        <v>5.4478793324183872E-2</v>
      </c>
      <c r="V11" s="29"/>
      <c r="W11" s="81"/>
      <c r="AE11" s="1"/>
    </row>
    <row r="12" spans="1:31" s="4" customFormat="1" x14ac:dyDescent="0.25">
      <c r="B12" s="246" t="s">
        <v>53</v>
      </c>
      <c r="C12" s="263">
        <v>13225</v>
      </c>
      <c r="D12" s="263">
        <v>17793</v>
      </c>
      <c r="E12" s="263">
        <v>31462</v>
      </c>
      <c r="F12" s="269">
        <f t="shared" si="0"/>
        <v>0.12166656354411583</v>
      </c>
      <c r="G12" s="263">
        <v>40904</v>
      </c>
      <c r="H12" s="271">
        <f t="shared" si="3"/>
        <v>0.30010806687432456</v>
      </c>
      <c r="I12" s="270">
        <f t="shared" si="4"/>
        <v>9442</v>
      </c>
      <c r="J12" s="269">
        <f t="shared" si="5"/>
        <v>0.14154563794851566</v>
      </c>
      <c r="K12" s="263">
        <v>41828</v>
      </c>
      <c r="L12" s="271">
        <f t="shared" si="6"/>
        <v>2.2589477801681968E-2</v>
      </c>
      <c r="M12" s="270">
        <f t="shared" si="7"/>
        <v>924</v>
      </c>
      <c r="N12" s="269">
        <f t="shared" si="8"/>
        <v>0.14304914792255893</v>
      </c>
      <c r="O12" s="263">
        <v>43681</v>
      </c>
      <c r="P12" s="271">
        <f t="shared" si="9"/>
        <v>4.4300468585636521E-2</v>
      </c>
      <c r="Q12" s="270">
        <f t="shared" si="10"/>
        <v>1853</v>
      </c>
      <c r="R12" s="271">
        <f t="shared" si="1"/>
        <v>2.3029111531190924</v>
      </c>
      <c r="S12" s="270">
        <f t="shared" si="2"/>
        <v>30456</v>
      </c>
      <c r="T12" s="269">
        <f t="shared" si="11"/>
        <v>0.14376174537507858</v>
      </c>
      <c r="V12" s="29"/>
      <c r="W12" s="81"/>
      <c r="AE12" s="1"/>
    </row>
    <row r="13" spans="1:31" s="4" customFormat="1" x14ac:dyDescent="0.25">
      <c r="B13" s="246" t="s">
        <v>51</v>
      </c>
      <c r="C13" s="263">
        <v>3215</v>
      </c>
      <c r="D13" s="263">
        <v>3165</v>
      </c>
      <c r="E13" s="263">
        <v>7883</v>
      </c>
      <c r="F13" s="264">
        <f t="shared" si="0"/>
        <v>3.0484315060017326E-2</v>
      </c>
      <c r="G13" s="263">
        <v>13965</v>
      </c>
      <c r="H13" s="275">
        <f t="shared" si="3"/>
        <v>0.77153368007103884</v>
      </c>
      <c r="I13" s="266">
        <f t="shared" si="4"/>
        <v>6082</v>
      </c>
      <c r="J13" s="264">
        <f t="shared" si="5"/>
        <v>4.8324976382530339E-2</v>
      </c>
      <c r="K13" s="263">
        <v>12232</v>
      </c>
      <c r="L13" s="271">
        <f t="shared" si="6"/>
        <v>-0.12409595417114216</v>
      </c>
      <c r="M13" s="270">
        <f t="shared" si="7"/>
        <v>-1733</v>
      </c>
      <c r="N13" s="269">
        <f t="shared" si="8"/>
        <v>4.1832676135333771E-2</v>
      </c>
      <c r="O13" s="263">
        <v>11250</v>
      </c>
      <c r="P13" s="271">
        <f t="shared" si="9"/>
        <v>-8.0281229561805056E-2</v>
      </c>
      <c r="Q13" s="270">
        <f t="shared" si="10"/>
        <v>-982</v>
      </c>
      <c r="R13" s="271">
        <f t="shared" si="1"/>
        <v>2.4992223950233283</v>
      </c>
      <c r="S13" s="270">
        <f t="shared" si="2"/>
        <v>8035</v>
      </c>
      <c r="T13" s="269">
        <f t="shared" si="11"/>
        <v>3.702570077309663E-2</v>
      </c>
      <c r="V13" s="29"/>
      <c r="W13" s="81"/>
      <c r="AE13" s="1"/>
    </row>
    <row r="14" spans="1:31" s="4" customFormat="1" x14ac:dyDescent="0.25">
      <c r="B14" s="246" t="s">
        <v>54</v>
      </c>
      <c r="C14" s="263">
        <v>866</v>
      </c>
      <c r="D14" s="263">
        <v>3058</v>
      </c>
      <c r="E14" s="263">
        <v>3624</v>
      </c>
      <c r="F14" s="269">
        <f t="shared" si="0"/>
        <v>1.4014354659076847E-2</v>
      </c>
      <c r="G14" s="263">
        <v>4946</v>
      </c>
      <c r="H14" s="271">
        <f t="shared" si="3"/>
        <v>0.36479028697571736</v>
      </c>
      <c r="I14" s="270">
        <f t="shared" si="4"/>
        <v>1322</v>
      </c>
      <c r="J14" s="269">
        <f t="shared" si="5"/>
        <v>1.7115312079340857E-2</v>
      </c>
      <c r="K14" s="263">
        <v>3910</v>
      </c>
      <c r="L14" s="271">
        <f t="shared" si="6"/>
        <v>-0.20946219167003644</v>
      </c>
      <c r="M14" s="270">
        <f t="shared" si="7"/>
        <v>-1036</v>
      </c>
      <c r="N14" s="269">
        <f t="shared" si="8"/>
        <v>1.337195582808658E-2</v>
      </c>
      <c r="O14" s="263">
        <v>4788</v>
      </c>
      <c r="P14" s="271">
        <f t="shared" si="9"/>
        <v>0.2245524296675192</v>
      </c>
      <c r="Q14" s="270">
        <f t="shared" si="10"/>
        <v>878</v>
      </c>
      <c r="R14" s="271">
        <f t="shared" si="1"/>
        <v>4.5288683602771362</v>
      </c>
      <c r="S14" s="270">
        <f t="shared" si="2"/>
        <v>3922</v>
      </c>
      <c r="T14" s="269">
        <f t="shared" si="11"/>
        <v>1.5758138249029927E-2</v>
      </c>
      <c r="V14" s="29"/>
      <c r="W14" s="81"/>
      <c r="AE14" s="1"/>
    </row>
    <row r="15" spans="1:31" s="4" customFormat="1" x14ac:dyDescent="0.25">
      <c r="B15" s="246" t="s">
        <v>49</v>
      </c>
      <c r="C15" s="263">
        <v>3282</v>
      </c>
      <c r="D15" s="263">
        <v>365</v>
      </c>
      <c r="E15" s="263">
        <v>4062</v>
      </c>
      <c r="F15" s="264">
        <f t="shared" si="0"/>
        <v>1.570814255661428E-2</v>
      </c>
      <c r="G15" s="263">
        <v>4261</v>
      </c>
      <c r="H15" s="275">
        <f t="shared" si="3"/>
        <v>4.8990645002461752E-2</v>
      </c>
      <c r="I15" s="266">
        <f t="shared" si="4"/>
        <v>199</v>
      </c>
      <c r="J15" s="264">
        <f t="shared" si="5"/>
        <v>1.4744914025489565E-2</v>
      </c>
      <c r="K15" s="263">
        <v>10922</v>
      </c>
      <c r="L15" s="271">
        <f t="shared" si="6"/>
        <v>1.5632480638347808</v>
      </c>
      <c r="M15" s="270">
        <f t="shared" si="7"/>
        <v>6661</v>
      </c>
      <c r="N15" s="269">
        <f t="shared" si="8"/>
        <v>3.7352557942291975E-2</v>
      </c>
      <c r="O15" s="263">
        <v>11731</v>
      </c>
      <c r="P15" s="271">
        <f t="shared" si="9"/>
        <v>7.4070683025087014E-2</v>
      </c>
      <c r="Q15" s="270">
        <f t="shared" si="10"/>
        <v>809</v>
      </c>
      <c r="R15" s="271">
        <f t="shared" si="1"/>
        <v>2.5743449116392445</v>
      </c>
      <c r="S15" s="270">
        <f t="shared" si="2"/>
        <v>8449</v>
      </c>
      <c r="T15" s="269">
        <f t="shared" si="11"/>
        <v>3.8608755179484144E-2</v>
      </c>
      <c r="V15" s="29"/>
      <c r="W15" s="81"/>
      <c r="AE15" s="1"/>
    </row>
    <row r="16" spans="1:31" s="4" customFormat="1" x14ac:dyDescent="0.25">
      <c r="B16" s="246" t="s">
        <v>203</v>
      </c>
      <c r="C16" s="263">
        <f>C6-SUM(C7:C15)</f>
        <v>5842</v>
      </c>
      <c r="D16" s="263">
        <f>D6-SUM(D7:D15)</f>
        <v>1944</v>
      </c>
      <c r="E16" s="263">
        <f>E6-SUM(E7:E15)</f>
        <v>8556</v>
      </c>
      <c r="F16" s="269">
        <f t="shared" si="0"/>
        <v>3.3086870436827127E-2</v>
      </c>
      <c r="G16" s="263">
        <f>G6-SUM(G7:G15)</f>
        <v>9188</v>
      </c>
      <c r="H16" s="271">
        <f t="shared" si="3"/>
        <v>7.3866292660121458E-2</v>
      </c>
      <c r="I16" s="270">
        <f t="shared" si="4"/>
        <v>632</v>
      </c>
      <c r="J16" s="269">
        <f t="shared" si="5"/>
        <v>3.1794477837643303E-2</v>
      </c>
      <c r="K16" s="263">
        <f>K6-SUM(K7:K15)</f>
        <v>8880</v>
      </c>
      <c r="L16" s="271">
        <f t="shared" si="6"/>
        <v>-3.352198519808447E-2</v>
      </c>
      <c r="M16" s="270">
        <f t="shared" si="7"/>
        <v>-308</v>
      </c>
      <c r="N16" s="269">
        <f t="shared" si="8"/>
        <v>3.0369045461229878E-2</v>
      </c>
      <c r="O16" s="263">
        <f>O6-SUM(O7:O15)</f>
        <v>9011</v>
      </c>
      <c r="P16" s="271">
        <f t="shared" si="9"/>
        <v>1.4752252252252296E-2</v>
      </c>
      <c r="Q16" s="270">
        <f t="shared" si="10"/>
        <v>131</v>
      </c>
      <c r="R16" s="271">
        <f t="shared" si="1"/>
        <v>0.54245121533721319</v>
      </c>
      <c r="S16" s="270">
        <f t="shared" si="2"/>
        <v>3169</v>
      </c>
      <c r="T16" s="269">
        <f t="shared" si="11"/>
        <v>2.9656763525899889E-2</v>
      </c>
      <c r="V16" s="29"/>
      <c r="W16" s="81"/>
      <c r="AE16" s="1"/>
    </row>
    <row r="17" spans="2:31" s="4" customFormat="1" ht="7.5" customHeight="1" x14ac:dyDescent="0.25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AE17" s="1" t="s">
        <v>182</v>
      </c>
    </row>
    <row r="18" spans="2:31" s="4" customFormat="1" x14ac:dyDescent="0.25">
      <c r="B18" s="172" t="s">
        <v>183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8" t="s">
        <v>185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9"/>
      <c r="AE44" s="1"/>
    </row>
    <row r="45" spans="2:31" s="4" customFormat="1" ht="18.75" hidden="1" x14ac:dyDescent="0.3">
      <c r="B45" s="235" t="s">
        <v>173</v>
      </c>
      <c r="C45" s="236"/>
      <c r="D45" s="236"/>
      <c r="E45" s="236"/>
      <c r="F45" s="236"/>
      <c r="G45" s="236"/>
      <c r="H45" s="236"/>
      <c r="I45" s="236"/>
      <c r="J45" s="236"/>
      <c r="K45" s="236">
        <v>1824653</v>
      </c>
      <c r="L45" s="236"/>
      <c r="M45" s="236"/>
      <c r="N45" s="237"/>
      <c r="O45" s="236">
        <v>2354005</v>
      </c>
      <c r="P45" s="237"/>
      <c r="Q45" s="237">
        <v>1</v>
      </c>
      <c r="R45" s="237">
        <v>0.2901110512519367</v>
      </c>
      <c r="S45" s="236">
        <v>529352</v>
      </c>
      <c r="T45" s="248"/>
      <c r="AE45" s="1"/>
    </row>
    <row r="46" spans="2:31" ht="18.75" hidden="1" x14ac:dyDescent="0.3">
      <c r="B46" s="235" t="s">
        <v>174</v>
      </c>
      <c r="C46" s="236"/>
      <c r="D46" s="236"/>
      <c r="E46" s="236"/>
      <c r="F46" s="236"/>
      <c r="G46" s="236"/>
      <c r="H46" s="236"/>
      <c r="I46" s="236"/>
      <c r="J46" s="236"/>
      <c r="K46" s="236">
        <v>603938</v>
      </c>
      <c r="L46" s="236"/>
      <c r="M46" s="236"/>
      <c r="N46" s="237">
        <v>1</v>
      </c>
      <c r="O46" s="236">
        <v>936181</v>
      </c>
      <c r="P46" s="237">
        <v>1</v>
      </c>
      <c r="Q46" s="237">
        <v>0.39769711619134201</v>
      </c>
      <c r="R46" s="237">
        <v>0.55012766211101138</v>
      </c>
      <c r="S46" s="236">
        <v>332243</v>
      </c>
      <c r="T46" s="248"/>
      <c r="AE46" s="1" t="s">
        <v>175</v>
      </c>
    </row>
    <row r="47" spans="2:31" ht="15.75" hidden="1" x14ac:dyDescent="0.25">
      <c r="B47" s="238" t="s">
        <v>102</v>
      </c>
      <c r="C47" s="239"/>
      <c r="D47" s="239"/>
      <c r="E47" s="239"/>
      <c r="F47" s="239"/>
      <c r="G47" s="239"/>
      <c r="H47" s="239"/>
      <c r="I47" s="239"/>
      <c r="J47" s="239"/>
      <c r="K47" s="239">
        <v>276550.36166633503</v>
      </c>
      <c r="L47" s="239"/>
      <c r="M47" s="239"/>
      <c r="N47" s="240">
        <v>0.45791184139155844</v>
      </c>
      <c r="O47" s="239">
        <v>430252.45635520399</v>
      </c>
      <c r="P47" s="240">
        <v>0.4595825554622493</v>
      </c>
      <c r="Q47" s="240">
        <v>0.18277465695918402</v>
      </c>
      <c r="R47" s="240">
        <v>0.55578337978930015</v>
      </c>
      <c r="S47" s="239">
        <v>153702.09468886897</v>
      </c>
      <c r="T47" s="249"/>
      <c r="AE47" s="1" t="s">
        <v>176</v>
      </c>
    </row>
    <row r="48" spans="2:31" s="4" customFormat="1" hidden="1" x14ac:dyDescent="0.25">
      <c r="B48" s="241" t="s">
        <v>105</v>
      </c>
      <c r="C48" s="242"/>
      <c r="D48" s="242"/>
      <c r="E48" s="242"/>
      <c r="F48" s="242"/>
      <c r="G48" s="242"/>
      <c r="H48" s="242"/>
      <c r="I48" s="242"/>
      <c r="J48" s="242"/>
      <c r="K48" s="242">
        <v>327387.63833385095</v>
      </c>
      <c r="L48" s="242"/>
      <c r="M48" s="242"/>
      <c r="N48" s="245">
        <v>0.54208815860874948</v>
      </c>
      <c r="O48" s="242">
        <v>505927.5436448183</v>
      </c>
      <c r="P48" s="245">
        <v>0.54041637636826456</v>
      </c>
      <c r="Q48" s="245">
        <v>0.21492203442423372</v>
      </c>
      <c r="R48" s="243">
        <v>0.54534711884540576</v>
      </c>
      <c r="S48" s="244">
        <v>178539.90531096736</v>
      </c>
      <c r="T48" s="251"/>
      <c r="AE48" s="1" t="s">
        <v>177</v>
      </c>
    </row>
    <row r="49" spans="2:31" s="4" customFormat="1" hidden="1" x14ac:dyDescent="0.25">
      <c r="B49" s="246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46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AE51" s="1" t="s">
        <v>182</v>
      </c>
    </row>
    <row r="52" spans="2:31" s="4" customFormat="1" hidden="1" x14ac:dyDescent="0.25">
      <c r="B52" s="296" t="s">
        <v>183</v>
      </c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49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30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5" t="s">
        <v>202</v>
      </c>
      <c r="C136" s="239">
        <v>248294</v>
      </c>
      <c r="D136" s="239">
        <v>384253</v>
      </c>
      <c r="E136" s="239">
        <v>593573</v>
      </c>
      <c r="F136" s="239">
        <v>612478</v>
      </c>
      <c r="G136" s="240">
        <f>F136/E136-1</f>
        <v>3.1849494501939857E-2</v>
      </c>
      <c r="H136" s="239">
        <f>F136-E136</f>
        <v>18905</v>
      </c>
      <c r="I136" s="240">
        <f>F136/F$136</f>
        <v>1</v>
      </c>
      <c r="J136" s="239">
        <v>636461</v>
      </c>
      <c r="K136" s="240">
        <f>H136/H$136</f>
        <v>1</v>
      </c>
      <c r="L136" s="240">
        <f>J136/F136-1</f>
        <v>3.915732483452472E-2</v>
      </c>
      <c r="M136" s="239">
        <f>J136-F136</f>
        <v>23983</v>
      </c>
      <c r="N136" s="240">
        <f>J136/C136-1</f>
        <v>1.5633362062715972</v>
      </c>
      <c r="O136" s="239">
        <f>J136-C136</f>
        <v>388167</v>
      </c>
      <c r="Q136" s="29"/>
      <c r="R136" s="81"/>
      <c r="Z136" s="1" t="s">
        <v>175</v>
      </c>
      <c r="AE136"/>
    </row>
    <row r="137" spans="1:31" s="4" customFormat="1" x14ac:dyDescent="0.25">
      <c r="B137" s="246" t="s">
        <v>46</v>
      </c>
      <c r="C137" s="263">
        <v>49521</v>
      </c>
      <c r="D137" s="263">
        <v>120918</v>
      </c>
      <c r="E137" s="263">
        <v>120397</v>
      </c>
      <c r="F137" s="263">
        <v>106138</v>
      </c>
      <c r="G137" s="269">
        <f t="shared" ref="G137:G146" si="12">F137/E137-1</f>
        <v>-0.11843318355108512</v>
      </c>
      <c r="H137" s="276">
        <f t="shared" ref="H137:H146" si="13">F137-E137</f>
        <v>-14259</v>
      </c>
      <c r="I137" s="271">
        <f t="shared" ref="I137:K146" si="14">F137/F$136</f>
        <v>0.17329275500507774</v>
      </c>
      <c r="J137" s="263">
        <v>101169</v>
      </c>
      <c r="K137" s="271">
        <f t="shared" si="14"/>
        <v>-0.75424490875429784</v>
      </c>
      <c r="L137" s="271">
        <f t="shared" ref="L137:L146" si="15">J137/F137-1</f>
        <v>-4.6816408826245048E-2</v>
      </c>
      <c r="M137" s="270">
        <f t="shared" ref="M137:M146" si="16">J137-F137</f>
        <v>-4969</v>
      </c>
      <c r="N137" s="269">
        <f t="shared" ref="N137:N145" si="17">J137/C137-1</f>
        <v>1.0429514751317623</v>
      </c>
      <c r="O137" s="263">
        <f t="shared" ref="O137:O146" si="18">J137-C137</f>
        <v>51648</v>
      </c>
      <c r="Q137" s="29"/>
      <c r="R137" s="81"/>
      <c r="Z137" s="1" t="s">
        <v>177</v>
      </c>
    </row>
    <row r="138" spans="1:31" s="4" customFormat="1" x14ac:dyDescent="0.25">
      <c r="B138" s="246" t="s">
        <v>47</v>
      </c>
      <c r="C138" s="263">
        <v>26848</v>
      </c>
      <c r="D138" s="263">
        <v>39986</v>
      </c>
      <c r="E138" s="263">
        <v>75857</v>
      </c>
      <c r="F138" s="263">
        <v>67064</v>
      </c>
      <c r="G138" s="269">
        <f t="shared" si="12"/>
        <v>-0.1159154725338466</v>
      </c>
      <c r="H138" s="276">
        <f t="shared" si="13"/>
        <v>-8793</v>
      </c>
      <c r="I138" s="271">
        <f t="shared" si="14"/>
        <v>0.10949617782189727</v>
      </c>
      <c r="J138" s="263">
        <v>64415</v>
      </c>
      <c r="K138" s="271">
        <f t="shared" si="14"/>
        <v>-0.4651150489288548</v>
      </c>
      <c r="L138" s="271">
        <f t="shared" si="15"/>
        <v>-3.9499582488369267E-2</v>
      </c>
      <c r="M138" s="270">
        <f t="shared" si="16"/>
        <v>-2649</v>
      </c>
      <c r="N138" s="269">
        <f t="shared" si="17"/>
        <v>1.3992476162097733</v>
      </c>
      <c r="O138" s="263">
        <f t="shared" si="18"/>
        <v>37567</v>
      </c>
      <c r="Q138" s="29"/>
      <c r="R138" s="81"/>
      <c r="Z138" s="1"/>
    </row>
    <row r="139" spans="1:31" s="4" customFormat="1" x14ac:dyDescent="0.25">
      <c r="B139" s="246" t="s">
        <v>48</v>
      </c>
      <c r="C139" s="263">
        <v>681</v>
      </c>
      <c r="D139" s="263">
        <v>2535</v>
      </c>
      <c r="E139" s="263">
        <v>3247</v>
      </c>
      <c r="F139" s="263">
        <v>5439</v>
      </c>
      <c r="G139" s="269">
        <f t="shared" si="12"/>
        <v>0.67508469356328926</v>
      </c>
      <c r="H139" s="277">
        <f t="shared" si="13"/>
        <v>2192</v>
      </c>
      <c r="I139" s="275">
        <f t="shared" si="14"/>
        <v>8.8803189665587982E-3</v>
      </c>
      <c r="J139" s="263">
        <v>3803</v>
      </c>
      <c r="K139" s="275">
        <f t="shared" si="14"/>
        <v>0.11594816186194129</v>
      </c>
      <c r="L139" s="271">
        <f t="shared" si="15"/>
        <v>-0.30079058650487223</v>
      </c>
      <c r="M139" s="270">
        <f t="shared" si="16"/>
        <v>-1636</v>
      </c>
      <c r="N139" s="269">
        <f t="shared" si="17"/>
        <v>4.5844346549192361</v>
      </c>
      <c r="O139" s="263">
        <f t="shared" si="18"/>
        <v>3122</v>
      </c>
      <c r="Q139" s="29"/>
      <c r="R139" s="81"/>
      <c r="Z139" s="1"/>
    </row>
    <row r="140" spans="1:31" s="4" customFormat="1" x14ac:dyDescent="0.25">
      <c r="B140" s="246" t="s">
        <v>50</v>
      </c>
      <c r="C140" s="263">
        <v>74813</v>
      </c>
      <c r="D140" s="263">
        <v>114704</v>
      </c>
      <c r="E140" s="263">
        <v>244952</v>
      </c>
      <c r="F140" s="263">
        <v>249820</v>
      </c>
      <c r="G140" s="269">
        <f t="shared" si="12"/>
        <v>1.987328129592747E-2</v>
      </c>
      <c r="H140" s="276">
        <f t="shared" si="13"/>
        <v>4868</v>
      </c>
      <c r="I140" s="271">
        <f t="shared" si="14"/>
        <v>0.40788403828382408</v>
      </c>
      <c r="J140" s="263">
        <v>275953</v>
      </c>
      <c r="K140" s="271">
        <f t="shared" si="14"/>
        <v>0.25749801639777836</v>
      </c>
      <c r="L140" s="271">
        <f t="shared" si="15"/>
        <v>0.1046073172684332</v>
      </c>
      <c r="M140" s="270">
        <f t="shared" si="16"/>
        <v>26133</v>
      </c>
      <c r="N140" s="269">
        <f t="shared" si="17"/>
        <v>2.6885701682862604</v>
      </c>
      <c r="O140" s="263">
        <f t="shared" si="18"/>
        <v>201140</v>
      </c>
      <c r="Q140" s="29"/>
      <c r="R140" s="81"/>
      <c r="Z140" s="1"/>
    </row>
    <row r="141" spans="1:31" s="4" customFormat="1" x14ac:dyDescent="0.25">
      <c r="B141" s="246" t="s">
        <v>52</v>
      </c>
      <c r="C141" s="263">
        <v>25621</v>
      </c>
      <c r="D141" s="263">
        <v>20278</v>
      </c>
      <c r="E141" s="263">
        <v>32271</v>
      </c>
      <c r="F141" s="263">
        <v>36164</v>
      </c>
      <c r="G141" s="269">
        <f t="shared" si="12"/>
        <v>0.12063462551516846</v>
      </c>
      <c r="H141" s="277">
        <f t="shared" si="13"/>
        <v>3893</v>
      </c>
      <c r="I141" s="275">
        <f t="shared" si="14"/>
        <v>5.9045386119991251E-2</v>
      </c>
      <c r="J141" s="263">
        <v>33708</v>
      </c>
      <c r="K141" s="275">
        <f t="shared" si="14"/>
        <v>0.20592435863528166</v>
      </c>
      <c r="L141" s="271">
        <f t="shared" si="15"/>
        <v>-6.791284149983412E-2</v>
      </c>
      <c r="M141" s="270">
        <f t="shared" si="16"/>
        <v>-2456</v>
      </c>
      <c r="N141" s="269">
        <f t="shared" si="17"/>
        <v>0.31563951446079397</v>
      </c>
      <c r="O141" s="263">
        <f t="shared" si="18"/>
        <v>8087</v>
      </c>
      <c r="Q141" s="29"/>
      <c r="R141" s="81"/>
      <c r="Z141" s="1"/>
    </row>
    <row r="142" spans="1:31" s="4" customFormat="1" x14ac:dyDescent="0.25">
      <c r="B142" s="246" t="s">
        <v>53</v>
      </c>
      <c r="C142" s="263">
        <v>33780</v>
      </c>
      <c r="D142" s="263">
        <v>51310</v>
      </c>
      <c r="E142" s="263">
        <v>65021</v>
      </c>
      <c r="F142" s="263">
        <v>80309</v>
      </c>
      <c r="G142" s="269">
        <f t="shared" si="12"/>
        <v>0.23512403684963323</v>
      </c>
      <c r="H142" s="276">
        <f t="shared" si="13"/>
        <v>15288</v>
      </c>
      <c r="I142" s="271">
        <f t="shared" si="14"/>
        <v>0.1311214443620832</v>
      </c>
      <c r="J142" s="263">
        <v>80773</v>
      </c>
      <c r="K142" s="271">
        <f t="shared" si="14"/>
        <v>0.80867495371594811</v>
      </c>
      <c r="L142" s="271">
        <f t="shared" si="15"/>
        <v>5.7776836967213807E-3</v>
      </c>
      <c r="M142" s="270">
        <f t="shared" si="16"/>
        <v>464</v>
      </c>
      <c r="N142" s="269">
        <f t="shared" si="17"/>
        <v>1.3911486086441682</v>
      </c>
      <c r="O142" s="263">
        <f t="shared" si="18"/>
        <v>46993</v>
      </c>
      <c r="Q142" s="29"/>
      <c r="R142" s="81"/>
      <c r="Z142" s="1"/>
    </row>
    <row r="143" spans="1:31" s="4" customFormat="1" x14ac:dyDescent="0.25">
      <c r="B143" s="246" t="s">
        <v>51</v>
      </c>
      <c r="C143" s="263">
        <v>7339</v>
      </c>
      <c r="D143" s="263">
        <v>10731</v>
      </c>
      <c r="E143" s="263">
        <v>17520</v>
      </c>
      <c r="F143" s="263">
        <v>25698</v>
      </c>
      <c r="G143" s="269">
        <f t="shared" si="12"/>
        <v>0.46678082191780823</v>
      </c>
      <c r="H143" s="277">
        <f t="shared" si="13"/>
        <v>8178</v>
      </c>
      <c r="I143" s="275">
        <f t="shared" si="14"/>
        <v>4.1957425409565728E-2</v>
      </c>
      <c r="J143" s="263">
        <v>23944</v>
      </c>
      <c r="K143" s="275">
        <f t="shared" si="14"/>
        <v>0.43258397249404917</v>
      </c>
      <c r="L143" s="271">
        <f t="shared" si="15"/>
        <v>-6.8254338859055186E-2</v>
      </c>
      <c r="M143" s="270">
        <f t="shared" si="16"/>
        <v>-1754</v>
      </c>
      <c r="N143" s="269">
        <f t="shared" si="17"/>
        <v>2.2625698324022347</v>
      </c>
      <c r="O143" s="263">
        <f t="shared" si="18"/>
        <v>16605</v>
      </c>
      <c r="Q143" s="29"/>
      <c r="R143" s="81"/>
      <c r="Z143" s="1"/>
    </row>
    <row r="144" spans="1:31" s="4" customFormat="1" x14ac:dyDescent="0.25">
      <c r="B144" s="246" t="s">
        <v>54</v>
      </c>
      <c r="C144" s="263">
        <v>6781</v>
      </c>
      <c r="D144" s="263">
        <v>11021</v>
      </c>
      <c r="E144" s="263">
        <v>9118</v>
      </c>
      <c r="F144" s="263">
        <v>11280</v>
      </c>
      <c r="G144" s="269">
        <f t="shared" si="12"/>
        <v>0.23711340206185572</v>
      </c>
      <c r="H144" s="276">
        <f t="shared" si="13"/>
        <v>2162</v>
      </c>
      <c r="I144" s="271">
        <f t="shared" si="14"/>
        <v>1.8416988038754044E-2</v>
      </c>
      <c r="J144" s="263">
        <v>10812</v>
      </c>
      <c r="K144" s="271">
        <f t="shared" si="14"/>
        <v>0.1143612800846337</v>
      </c>
      <c r="L144" s="271">
        <f t="shared" si="15"/>
        <v>-4.1489361702127692E-2</v>
      </c>
      <c r="M144" s="270">
        <f t="shared" si="16"/>
        <v>-468</v>
      </c>
      <c r="N144" s="269">
        <f t="shared" si="17"/>
        <v>0.59445509511871397</v>
      </c>
      <c r="O144" s="263">
        <f t="shared" si="18"/>
        <v>4031</v>
      </c>
      <c r="Q144" s="29"/>
      <c r="R144" s="81"/>
      <c r="Z144" s="1"/>
    </row>
    <row r="145" spans="2:31" s="4" customFormat="1" x14ac:dyDescent="0.25">
      <c r="B145" s="246" t="s">
        <v>49</v>
      </c>
      <c r="C145" s="263">
        <v>15343</v>
      </c>
      <c r="D145" s="263">
        <v>4744</v>
      </c>
      <c r="E145" s="263">
        <v>9037</v>
      </c>
      <c r="F145" s="263">
        <v>15069</v>
      </c>
      <c r="G145" s="269">
        <f t="shared" si="12"/>
        <v>0.66747814540223516</v>
      </c>
      <c r="H145" s="277">
        <f t="shared" si="13"/>
        <v>6032</v>
      </c>
      <c r="I145" s="275">
        <f t="shared" si="14"/>
        <v>2.4603332691133396E-2</v>
      </c>
      <c r="J145" s="263">
        <v>23750</v>
      </c>
      <c r="K145" s="275">
        <f t="shared" si="14"/>
        <v>0.31906902935731291</v>
      </c>
      <c r="L145" s="271">
        <f t="shared" si="15"/>
        <v>0.57608334992368437</v>
      </c>
      <c r="M145" s="270">
        <f t="shared" si="16"/>
        <v>8681</v>
      </c>
      <c r="N145" s="269">
        <f t="shared" si="17"/>
        <v>0.54793717004497156</v>
      </c>
      <c r="O145" s="263">
        <f t="shared" si="18"/>
        <v>8407</v>
      </c>
      <c r="Q145" s="29"/>
      <c r="R145" s="81"/>
      <c r="Z145" s="1"/>
    </row>
    <row r="146" spans="2:31" s="4" customFormat="1" x14ac:dyDescent="0.25">
      <c r="B146" s="246" t="s">
        <v>203</v>
      </c>
      <c r="C146" s="263">
        <f>C136-SUM(C137:C145)</f>
        <v>7567</v>
      </c>
      <c r="D146" s="263">
        <f>D136-SUM(D137:D145)</f>
        <v>8026</v>
      </c>
      <c r="E146" s="263">
        <f>E136-SUM(E137:E145)</f>
        <v>16153</v>
      </c>
      <c r="F146" s="263">
        <f>F136-SUM(F137:F145)</f>
        <v>15497</v>
      </c>
      <c r="G146" s="269">
        <f t="shared" si="12"/>
        <v>-4.0611651086485456E-2</v>
      </c>
      <c r="H146" s="276">
        <f t="shared" si="13"/>
        <v>-656</v>
      </c>
      <c r="I146" s="271">
        <f t="shared" si="14"/>
        <v>2.5302133301114488E-2</v>
      </c>
      <c r="J146" s="263">
        <f>J136-SUM(J137:J145)</f>
        <v>18134</v>
      </c>
      <c r="K146" s="271">
        <f t="shared" si="14"/>
        <v>-3.4699814863792644E-2</v>
      </c>
      <c r="L146" s="271">
        <f t="shared" si="15"/>
        <v>0.17016196683229001</v>
      </c>
      <c r="M146" s="270">
        <f t="shared" si="16"/>
        <v>2637</v>
      </c>
      <c r="N146" s="269">
        <f>J146/C146-1</f>
        <v>1.3964583058015068</v>
      </c>
      <c r="O146" s="263">
        <f t="shared" si="18"/>
        <v>10567</v>
      </c>
      <c r="Q146" s="29"/>
      <c r="R146" s="81"/>
      <c r="Z146" s="1"/>
    </row>
    <row r="147" spans="2:31" s="4" customFormat="1" ht="7.5" customHeight="1" x14ac:dyDescent="0.25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Z147" s="1" t="s">
        <v>182</v>
      </c>
    </row>
    <row r="148" spans="2:31" s="4" customFormat="1" x14ac:dyDescent="0.25">
      <c r="B148" s="172" t="s">
        <v>183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8D9F9-D6DA-490F-A991-7B4CAB3FBF91}">
  <sheetPr>
    <tabColor theme="4" tint="0.39997558519241921"/>
  </sheetPr>
  <dimension ref="A1:AE14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5703125" customWidth="1"/>
    <col min="3" max="13" width="14.7109375" customWidth="1"/>
    <col min="14" max="14" width="11.42578125" customWidth="1"/>
    <col min="15" max="15" width="14.7109375" customWidth="1"/>
    <col min="27" max="27" width="14" customWidth="1"/>
    <col min="31" max="31" width="11.42578125" style="1"/>
  </cols>
  <sheetData>
    <row r="1" spans="1:31" ht="30" customHeight="1" x14ac:dyDescent="0.25">
      <c r="B1" s="1" t="s">
        <v>205</v>
      </c>
      <c r="G1" s="234"/>
      <c r="H1" s="234"/>
      <c r="I1" s="234"/>
      <c r="K1" s="234"/>
    </row>
    <row r="3" spans="1:31" s="4" customFormat="1" ht="25.5" customHeight="1" thickBot="1" x14ac:dyDescent="0.3">
      <c r="B3" s="66" t="s">
        <v>31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E3" s="1"/>
    </row>
    <row r="4" spans="1:31" s="4" customFormat="1" ht="6" customHeight="1" x14ac:dyDescent="0.25">
      <c r="AE4" s="1"/>
    </row>
    <row r="5" spans="1:31" s="4" customFormat="1" ht="45" x14ac:dyDescent="0.25">
      <c r="C5" s="252" t="s">
        <v>260</v>
      </c>
      <c r="D5" s="252" t="s">
        <v>261</v>
      </c>
      <c r="E5" s="252" t="s">
        <v>262</v>
      </c>
      <c r="F5" s="253" t="str">
        <f>CONCATENATE("%/s total Tenerife ",RIGHT(E5,4))</f>
        <v>%/s total Tenerife 2022</v>
      </c>
      <c r="G5" s="252" t="s">
        <v>263</v>
      </c>
      <c r="H5" s="253" t="str">
        <f>CONCATENATE("var. ",RIGHT(G5,2),"/",RIGHT(E5,2))</f>
        <v>var. 23/22</v>
      </c>
      <c r="I5" s="253" t="str">
        <f>CONCATENATE("dif. ",RIGHT(G5,2),"/",RIGHT(E5,2))</f>
        <v>dif. 23/22</v>
      </c>
      <c r="J5" s="253" t="str">
        <f>CONCATENATE("%/s total Tenerife ",RIGHT(G5,4))</f>
        <v>%/s total Tenerife 2023</v>
      </c>
      <c r="K5" s="252" t="s">
        <v>264</v>
      </c>
      <c r="L5" s="253" t="str">
        <f>CONCATENATE("var. ",RIGHT(K5,2),"/",RIGHT(G5,2))</f>
        <v>var. 24/23</v>
      </c>
      <c r="M5" s="253" t="str">
        <f>CONCATENATE("dif. ",RIGHT(K5,2),"/",RIGHT(G5,2))</f>
        <v>dif. 24/23</v>
      </c>
      <c r="N5" s="253" t="str">
        <f>CONCATENATE("%/s total Tenerife ",RIGHT(K5,4))</f>
        <v>%/s total Tenerife 2024</v>
      </c>
      <c r="O5" s="252" t="s">
        <v>265</v>
      </c>
      <c r="P5" s="253" t="str">
        <f>CONCATENATE("var. ",RIGHT(O5,2),"/",RIGHT(K5,2))</f>
        <v>var. 25/24</v>
      </c>
      <c r="Q5" s="253" t="str">
        <f>CONCATENATE("dif. ",RIGHT(O5,2),"/",RIGHT(K5,2))</f>
        <v>dif. 25/24</v>
      </c>
      <c r="R5" s="253" t="str">
        <f>CONCATENATE("var. ",RIGHT(O5,2),"/",RIGHT(C5,2))</f>
        <v>var. 25/20</v>
      </c>
      <c r="S5" s="253" t="str">
        <f>CONCATENATE("dif. ",RIGHT(O5,2),"/",RIGHT(C5,2))</f>
        <v>dif. 25/20</v>
      </c>
      <c r="T5" s="253" t="str">
        <f>CONCATENATE("%/s total Tenerife ",RIGHT(O5,4))</f>
        <v>%/s total Tenerife 2025</v>
      </c>
      <c r="AE5" s="1"/>
    </row>
    <row r="6" spans="1:31" ht="18.75" x14ac:dyDescent="0.3">
      <c r="A6" s="4"/>
      <c r="B6" s="235" t="s">
        <v>202</v>
      </c>
      <c r="C6" s="254">
        <v>53747</v>
      </c>
      <c r="D6" s="254">
        <v>178327</v>
      </c>
      <c r="E6" s="254">
        <v>188636</v>
      </c>
      <c r="F6" s="255">
        <f>E6/$E$6</f>
        <v>1</v>
      </c>
      <c r="G6" s="254">
        <v>198523</v>
      </c>
      <c r="H6" s="255">
        <f>G6/E6-1</f>
        <v>5.2413113085519214E-2</v>
      </c>
      <c r="I6" s="254">
        <f>G6-E6</f>
        <v>9887</v>
      </c>
      <c r="J6" s="255">
        <f>G6/$G$6</f>
        <v>1</v>
      </c>
      <c r="K6" s="254">
        <v>188788</v>
      </c>
      <c r="L6" s="255">
        <f>K6/G6-1</f>
        <v>-4.9037139273535035E-2</v>
      </c>
      <c r="M6" s="254">
        <f>K6-G6</f>
        <v>-9735</v>
      </c>
      <c r="N6" s="255">
        <f>K6/$K$6</f>
        <v>1</v>
      </c>
      <c r="O6" s="254">
        <v>176794</v>
      </c>
      <c r="P6" s="255">
        <f>O6/K6-1</f>
        <v>-6.3531580397059084E-2</v>
      </c>
      <c r="Q6" s="254">
        <f>O6-K6</f>
        <v>-11994</v>
      </c>
      <c r="R6" s="255">
        <f>IFERROR(O6/C6-1,"-")</f>
        <v>2.2893742906580834</v>
      </c>
      <c r="S6" s="254">
        <f>O6-C6</f>
        <v>123047</v>
      </c>
      <c r="T6" s="255">
        <f>O6/$O$6</f>
        <v>1</v>
      </c>
      <c r="V6" s="29"/>
      <c r="W6" s="81"/>
      <c r="AE6" s="1" t="s">
        <v>175</v>
      </c>
    </row>
    <row r="7" spans="1:31" s="4" customFormat="1" x14ac:dyDescent="0.25">
      <c r="B7" s="246" t="s">
        <v>46</v>
      </c>
      <c r="C7" s="263">
        <v>9378</v>
      </c>
      <c r="D7" s="263">
        <v>60456</v>
      </c>
      <c r="E7" s="263">
        <v>40042</v>
      </c>
      <c r="F7" s="269">
        <f t="shared" ref="F7:F16" si="0">E7/$E$6</f>
        <v>0.21227125257108928</v>
      </c>
      <c r="G7" s="263">
        <v>34459</v>
      </c>
      <c r="H7" s="271">
        <f>G7/E7-1</f>
        <v>-0.13942859997003143</v>
      </c>
      <c r="I7" s="270">
        <f>G7-E7</f>
        <v>-5583</v>
      </c>
      <c r="J7" s="269">
        <f>G7/$G$6</f>
        <v>0.17357686514912629</v>
      </c>
      <c r="K7" s="263">
        <v>26251</v>
      </c>
      <c r="L7" s="271">
        <f>K7/G7-1</f>
        <v>-0.2381961171246989</v>
      </c>
      <c r="M7" s="270">
        <f>K7-G7</f>
        <v>-8208</v>
      </c>
      <c r="N7" s="269">
        <f>K7/$K$6</f>
        <v>0.13905015149267963</v>
      </c>
      <c r="O7" s="263">
        <v>27157</v>
      </c>
      <c r="P7" s="271">
        <f>O7/K7-1</f>
        <v>3.4512970934440501E-2</v>
      </c>
      <c r="Q7" s="270">
        <f>O7-K7</f>
        <v>906</v>
      </c>
      <c r="R7" s="271">
        <f t="shared" ref="R7:R16" si="1">IFERROR(O7/C7-1,"-")</f>
        <v>1.895820004265302</v>
      </c>
      <c r="S7" s="270">
        <f t="shared" ref="S7:S16" si="2">O7-C7</f>
        <v>17779</v>
      </c>
      <c r="T7" s="269">
        <f>O7/$O$6</f>
        <v>0.15360815412287748</v>
      </c>
      <c r="V7" s="29"/>
      <c r="W7" s="81"/>
      <c r="AE7" s="1" t="s">
        <v>177</v>
      </c>
    </row>
    <row r="8" spans="1:31" s="4" customFormat="1" x14ac:dyDescent="0.25">
      <c r="B8" s="246" t="s">
        <v>47</v>
      </c>
      <c r="C8" s="263">
        <v>5079</v>
      </c>
      <c r="D8" s="263">
        <v>20805</v>
      </c>
      <c r="E8" s="263">
        <v>20975</v>
      </c>
      <c r="F8" s="269">
        <f t="shared" si="0"/>
        <v>0.11119298543226107</v>
      </c>
      <c r="G8" s="263">
        <v>20053</v>
      </c>
      <c r="H8" s="271">
        <f t="shared" ref="H8:H16" si="3">G8/E8-1</f>
        <v>-4.3957091775923773E-2</v>
      </c>
      <c r="I8" s="270">
        <f t="shared" ref="I8:I16" si="4">G8-E8</f>
        <v>-922</v>
      </c>
      <c r="J8" s="269">
        <f t="shared" ref="J8:J16" si="5">G8/$G$6</f>
        <v>0.10101096598379029</v>
      </c>
      <c r="K8" s="263">
        <v>20039</v>
      </c>
      <c r="L8" s="271">
        <f t="shared" ref="L8:L16" si="6">K8/G8-1</f>
        <v>-6.9814990275773869E-4</v>
      </c>
      <c r="M8" s="270">
        <f t="shared" ref="M8:M16" si="7">K8-G8</f>
        <v>-14</v>
      </c>
      <c r="N8" s="269">
        <f t="shared" ref="N8:N16" si="8">K8/$K$6</f>
        <v>0.10614551772358413</v>
      </c>
      <c r="O8" s="263">
        <v>20361</v>
      </c>
      <c r="P8" s="271">
        <f t="shared" ref="P8:P16" si="9">O8/K8-1</f>
        <v>1.6068666101102913E-2</v>
      </c>
      <c r="Q8" s="270">
        <f t="shared" ref="Q8:Q16" si="10">O8-K8</f>
        <v>322</v>
      </c>
      <c r="R8" s="271">
        <f t="shared" si="1"/>
        <v>3.0088600118133488</v>
      </c>
      <c r="S8" s="270">
        <f t="shared" si="2"/>
        <v>15282</v>
      </c>
      <c r="T8" s="269">
        <f t="shared" ref="T8:T16" si="11">O8/$O$6</f>
        <v>0.1151679355634241</v>
      </c>
      <c r="V8" s="29"/>
      <c r="W8" s="81"/>
      <c r="AE8" s="1"/>
    </row>
    <row r="9" spans="1:31" s="4" customFormat="1" x14ac:dyDescent="0.25">
      <c r="B9" s="246" t="s">
        <v>48</v>
      </c>
      <c r="C9" s="263">
        <v>538</v>
      </c>
      <c r="D9" s="263">
        <v>685</v>
      </c>
      <c r="E9" s="263">
        <v>774</v>
      </c>
      <c r="F9" s="264">
        <f t="shared" si="0"/>
        <v>4.1031404397887999E-3</v>
      </c>
      <c r="G9" s="263">
        <v>8967</v>
      </c>
      <c r="H9" s="275">
        <f t="shared" si="3"/>
        <v>10.585271317829458</v>
      </c>
      <c r="I9" s="266">
        <f t="shared" si="4"/>
        <v>8193</v>
      </c>
      <c r="J9" s="264">
        <f t="shared" si="5"/>
        <v>4.5168569888627517E-2</v>
      </c>
      <c r="K9" s="263">
        <v>4242</v>
      </c>
      <c r="L9" s="271">
        <f t="shared" si="6"/>
        <v>-0.52693208430913341</v>
      </c>
      <c r="M9" s="270">
        <f t="shared" si="7"/>
        <v>-4725</v>
      </c>
      <c r="N9" s="269">
        <f t="shared" si="8"/>
        <v>2.2469648494607707E-2</v>
      </c>
      <c r="O9" s="263">
        <v>2844</v>
      </c>
      <c r="P9" s="271">
        <f t="shared" si="9"/>
        <v>-0.32956152758132962</v>
      </c>
      <c r="Q9" s="270">
        <f t="shared" si="10"/>
        <v>-1398</v>
      </c>
      <c r="R9" s="271">
        <f t="shared" si="1"/>
        <v>4.2862453531598517</v>
      </c>
      <c r="S9" s="270">
        <f t="shared" si="2"/>
        <v>2306</v>
      </c>
      <c r="T9" s="269">
        <f t="shared" si="11"/>
        <v>1.6086518773261536E-2</v>
      </c>
      <c r="V9" s="29"/>
      <c r="W9" s="81"/>
      <c r="AE9" s="1"/>
    </row>
    <row r="10" spans="1:31" s="4" customFormat="1" x14ac:dyDescent="0.25">
      <c r="B10" s="246" t="s">
        <v>50</v>
      </c>
      <c r="C10" s="263">
        <v>8752</v>
      </c>
      <c r="D10" s="263">
        <v>17880</v>
      </c>
      <c r="E10" s="263">
        <v>41817</v>
      </c>
      <c r="F10" s="269">
        <f t="shared" si="0"/>
        <v>0.2216809092644034</v>
      </c>
      <c r="G10" s="263">
        <v>42733</v>
      </c>
      <c r="H10" s="271">
        <f t="shared" si="3"/>
        <v>2.1904966879498833E-2</v>
      </c>
      <c r="I10" s="270">
        <f t="shared" si="4"/>
        <v>916</v>
      </c>
      <c r="J10" s="269">
        <f t="shared" si="5"/>
        <v>0.21525465563184115</v>
      </c>
      <c r="K10" s="263">
        <v>50173</v>
      </c>
      <c r="L10" s="271">
        <f t="shared" si="6"/>
        <v>0.17410432218660055</v>
      </c>
      <c r="M10" s="270">
        <f t="shared" si="7"/>
        <v>7440</v>
      </c>
      <c r="N10" s="269">
        <f t="shared" si="8"/>
        <v>0.26576371379536834</v>
      </c>
      <c r="O10" s="263">
        <v>41021</v>
      </c>
      <c r="P10" s="271">
        <f t="shared" si="9"/>
        <v>-0.18240886532597211</v>
      </c>
      <c r="Q10" s="270">
        <f t="shared" si="10"/>
        <v>-9152</v>
      </c>
      <c r="R10" s="271">
        <f t="shared" si="1"/>
        <v>3.6870429616087748</v>
      </c>
      <c r="S10" s="270">
        <f t="shared" si="2"/>
        <v>32269</v>
      </c>
      <c r="T10" s="269">
        <f>O10/$O$6</f>
        <v>0.23202710499225088</v>
      </c>
      <c r="V10" s="29"/>
      <c r="W10" s="81"/>
      <c r="AE10" s="1"/>
    </row>
    <row r="11" spans="1:31" s="4" customFormat="1" x14ac:dyDescent="0.25">
      <c r="B11" s="246" t="s">
        <v>52</v>
      </c>
      <c r="C11" s="263">
        <v>1451</v>
      </c>
      <c r="D11" s="263">
        <v>14560</v>
      </c>
      <c r="E11" s="263">
        <v>7536</v>
      </c>
      <c r="F11" s="264">
        <f t="shared" si="0"/>
        <v>3.9949956530036683E-2</v>
      </c>
      <c r="G11" s="263">
        <v>9982</v>
      </c>
      <c r="H11" s="275">
        <f t="shared" si="3"/>
        <v>0.3245753715498938</v>
      </c>
      <c r="I11" s="266">
        <f t="shared" si="4"/>
        <v>2446</v>
      </c>
      <c r="J11" s="264">
        <f t="shared" si="5"/>
        <v>5.0281327604358182E-2</v>
      </c>
      <c r="K11" s="263">
        <v>6776</v>
      </c>
      <c r="L11" s="271">
        <f t="shared" si="6"/>
        <v>-0.32117812061711082</v>
      </c>
      <c r="M11" s="270">
        <f t="shared" si="7"/>
        <v>-3206</v>
      </c>
      <c r="N11" s="269">
        <f t="shared" si="8"/>
        <v>3.5892111786766108E-2</v>
      </c>
      <c r="O11" s="263">
        <v>8640</v>
      </c>
      <c r="P11" s="271">
        <f t="shared" si="9"/>
        <v>0.27508854781582048</v>
      </c>
      <c r="Q11" s="270">
        <f t="shared" si="10"/>
        <v>1864</v>
      </c>
      <c r="R11" s="271">
        <f t="shared" si="1"/>
        <v>4.9545141281874567</v>
      </c>
      <c r="S11" s="270">
        <f t="shared" si="2"/>
        <v>7189</v>
      </c>
      <c r="T11" s="269">
        <f t="shared" si="11"/>
        <v>4.8870436779528716E-2</v>
      </c>
      <c r="V11" s="29"/>
      <c r="W11" s="81"/>
      <c r="AE11" s="1"/>
    </row>
    <row r="12" spans="1:31" s="4" customFormat="1" x14ac:dyDescent="0.25">
      <c r="B12" s="246" t="s">
        <v>53</v>
      </c>
      <c r="C12" s="263">
        <v>13715</v>
      </c>
      <c r="D12" s="263">
        <v>20861</v>
      </c>
      <c r="E12" s="263">
        <v>31514</v>
      </c>
      <c r="F12" s="269">
        <f t="shared" si="0"/>
        <v>0.16706249072287369</v>
      </c>
      <c r="G12" s="263">
        <v>35561</v>
      </c>
      <c r="H12" s="271">
        <f t="shared" si="3"/>
        <v>0.12841911531382877</v>
      </c>
      <c r="I12" s="270">
        <f t="shared" si="4"/>
        <v>4047</v>
      </c>
      <c r="J12" s="269">
        <f t="shared" si="5"/>
        <v>0.17912785924049102</v>
      </c>
      <c r="K12" s="263">
        <v>34109</v>
      </c>
      <c r="L12" s="271">
        <f t="shared" si="6"/>
        <v>-4.0831247715193641E-2</v>
      </c>
      <c r="M12" s="270">
        <f t="shared" si="7"/>
        <v>-1452</v>
      </c>
      <c r="N12" s="269">
        <f t="shared" si="8"/>
        <v>0.18067355976015426</v>
      </c>
      <c r="O12" s="263">
        <v>44044</v>
      </c>
      <c r="P12" s="271">
        <f t="shared" si="9"/>
        <v>0.29127209827318312</v>
      </c>
      <c r="Q12" s="270">
        <f t="shared" si="10"/>
        <v>9935</v>
      </c>
      <c r="R12" s="271">
        <f t="shared" si="1"/>
        <v>2.2113744075829382</v>
      </c>
      <c r="S12" s="270">
        <f t="shared" si="2"/>
        <v>30329</v>
      </c>
      <c r="T12" s="269">
        <f t="shared" si="11"/>
        <v>0.24912610156453274</v>
      </c>
      <c r="V12" s="29"/>
      <c r="W12" s="81"/>
      <c r="AE12" s="1"/>
    </row>
    <row r="13" spans="1:31" s="4" customFormat="1" x14ac:dyDescent="0.25">
      <c r="B13" s="246" t="s">
        <v>51</v>
      </c>
      <c r="C13" s="263">
        <v>4239</v>
      </c>
      <c r="D13" s="263">
        <v>4253</v>
      </c>
      <c r="E13" s="263">
        <v>7500</v>
      </c>
      <c r="F13" s="264">
        <f t="shared" si="0"/>
        <v>3.9759112788651157E-2</v>
      </c>
      <c r="G13" s="263">
        <v>5955</v>
      </c>
      <c r="H13" s="275">
        <f t="shared" si="3"/>
        <v>-0.20599999999999996</v>
      </c>
      <c r="I13" s="266">
        <f t="shared" si="4"/>
        <v>-1545</v>
      </c>
      <c r="J13" s="264">
        <f t="shared" si="5"/>
        <v>2.9996524332193249E-2</v>
      </c>
      <c r="K13" s="263">
        <v>4664</v>
      </c>
      <c r="L13" s="271">
        <f t="shared" si="6"/>
        <v>-0.21679261125104954</v>
      </c>
      <c r="M13" s="270">
        <f t="shared" si="7"/>
        <v>-1291</v>
      </c>
      <c r="N13" s="269">
        <f t="shared" si="8"/>
        <v>2.4704960061020829E-2</v>
      </c>
      <c r="O13" s="263">
        <v>5394</v>
      </c>
      <c r="P13" s="271">
        <f t="shared" si="9"/>
        <v>0.15651801029159529</v>
      </c>
      <c r="Q13" s="270">
        <f t="shared" si="10"/>
        <v>730</v>
      </c>
      <c r="R13" s="271">
        <f t="shared" si="1"/>
        <v>0.27246992215145083</v>
      </c>
      <c r="S13" s="270">
        <f t="shared" si="2"/>
        <v>1155</v>
      </c>
      <c r="T13" s="269">
        <f t="shared" si="11"/>
        <v>3.0510085183886333E-2</v>
      </c>
      <c r="V13" s="29"/>
      <c r="W13" s="81"/>
      <c r="AE13" s="1"/>
    </row>
    <row r="14" spans="1:31" s="4" customFormat="1" x14ac:dyDescent="0.25">
      <c r="B14" s="246" t="s">
        <v>54</v>
      </c>
      <c r="C14" s="263">
        <v>1763</v>
      </c>
      <c r="D14" s="263">
        <v>16632</v>
      </c>
      <c r="E14" s="263">
        <v>7875</v>
      </c>
      <c r="F14" s="269">
        <f t="shared" si="0"/>
        <v>4.174706842808372E-2</v>
      </c>
      <c r="G14" s="263">
        <v>9587</v>
      </c>
      <c r="H14" s="271">
        <f t="shared" si="3"/>
        <v>0.21739682539682548</v>
      </c>
      <c r="I14" s="270">
        <f t="shared" si="4"/>
        <v>1712</v>
      </c>
      <c r="J14" s="269">
        <f t="shared" si="5"/>
        <v>4.8291633714985169E-2</v>
      </c>
      <c r="K14" s="263">
        <v>7128</v>
      </c>
      <c r="L14" s="271">
        <f t="shared" si="6"/>
        <v>-0.25649316783143838</v>
      </c>
      <c r="M14" s="270">
        <f t="shared" si="7"/>
        <v>-2459</v>
      </c>
      <c r="N14" s="269">
        <f t="shared" si="8"/>
        <v>3.7756637074390323E-2</v>
      </c>
      <c r="O14" s="263">
        <v>4681</v>
      </c>
      <c r="P14" s="271">
        <f t="shared" si="9"/>
        <v>-0.34329405162738491</v>
      </c>
      <c r="Q14" s="270">
        <f t="shared" si="10"/>
        <v>-2447</v>
      </c>
      <c r="R14" s="271">
        <f t="shared" si="1"/>
        <v>1.6551332955190019</v>
      </c>
      <c r="S14" s="270">
        <f t="shared" si="2"/>
        <v>2918</v>
      </c>
      <c r="T14" s="269">
        <f t="shared" si="11"/>
        <v>2.6477142889464574E-2</v>
      </c>
      <c r="V14" s="29"/>
      <c r="W14" s="81"/>
      <c r="AE14" s="1"/>
    </row>
    <row r="15" spans="1:31" s="4" customFormat="1" x14ac:dyDescent="0.25">
      <c r="B15" s="246" t="s">
        <v>49</v>
      </c>
      <c r="C15" s="263">
        <v>2263</v>
      </c>
      <c r="D15" s="263">
        <v>8610</v>
      </c>
      <c r="E15" s="263">
        <v>11257</v>
      </c>
      <c r="F15" s="264">
        <f t="shared" si="0"/>
        <v>5.9675777688246147E-2</v>
      </c>
      <c r="G15" s="263">
        <v>11294</v>
      </c>
      <c r="H15" s="275">
        <f t="shared" si="3"/>
        <v>3.2868437416717633E-3</v>
      </c>
      <c r="I15" s="266">
        <f t="shared" si="4"/>
        <v>37</v>
      </c>
      <c r="J15" s="264">
        <f t="shared" si="5"/>
        <v>5.689013363690857E-2</v>
      </c>
      <c r="K15" s="263">
        <v>17808</v>
      </c>
      <c r="L15" s="271">
        <f t="shared" si="6"/>
        <v>0.57676642465025685</v>
      </c>
      <c r="M15" s="270">
        <f t="shared" si="7"/>
        <v>6514</v>
      </c>
      <c r="N15" s="269">
        <f t="shared" si="8"/>
        <v>9.4328029323897708E-2</v>
      </c>
      <c r="O15" s="263">
        <v>7441</v>
      </c>
      <c r="P15" s="271">
        <f t="shared" si="9"/>
        <v>-0.58215408805031443</v>
      </c>
      <c r="Q15" s="270">
        <f t="shared" si="10"/>
        <v>-10367</v>
      </c>
      <c r="R15" s="271">
        <f t="shared" si="1"/>
        <v>2.2881131241714536</v>
      </c>
      <c r="S15" s="270">
        <f t="shared" si="2"/>
        <v>5178</v>
      </c>
      <c r="T15" s="269">
        <f t="shared" si="11"/>
        <v>4.208853241625847E-2</v>
      </c>
      <c r="V15" s="29"/>
      <c r="W15" s="81"/>
      <c r="AE15" s="1"/>
    </row>
    <row r="16" spans="1:31" s="4" customFormat="1" x14ac:dyDescent="0.25">
      <c r="B16" s="246" t="s">
        <v>203</v>
      </c>
      <c r="C16" s="263">
        <f>C6-SUM(C7:C15)</f>
        <v>6569</v>
      </c>
      <c r="D16" s="263">
        <f>D6-SUM(D7:D15)</f>
        <v>13585</v>
      </c>
      <c r="E16" s="263">
        <f>E6-SUM(E7:E15)</f>
        <v>19346</v>
      </c>
      <c r="F16" s="269">
        <f t="shared" si="0"/>
        <v>0.10255730613456604</v>
      </c>
      <c r="G16" s="263">
        <f>G6-SUM(G7:G15)</f>
        <v>19932</v>
      </c>
      <c r="H16" s="271">
        <f t="shared" si="3"/>
        <v>3.029049932802641E-2</v>
      </c>
      <c r="I16" s="270">
        <f t="shared" si="4"/>
        <v>586</v>
      </c>
      <c r="J16" s="269">
        <f t="shared" si="5"/>
        <v>0.10040146481767856</v>
      </c>
      <c r="K16" s="263">
        <f>K6-SUM(K7:K15)</f>
        <v>17598</v>
      </c>
      <c r="L16" s="271">
        <f t="shared" si="6"/>
        <v>-0.11709813365442501</v>
      </c>
      <c r="M16" s="270">
        <f t="shared" si="7"/>
        <v>-2334</v>
      </c>
      <c r="N16" s="269">
        <f t="shared" si="8"/>
        <v>9.3215670487530988E-2</v>
      </c>
      <c r="O16" s="263">
        <f>O6-SUM(O7:O15)</f>
        <v>15211</v>
      </c>
      <c r="P16" s="271">
        <f t="shared" si="9"/>
        <v>-0.1356404136833731</v>
      </c>
      <c r="Q16" s="270">
        <f t="shared" si="10"/>
        <v>-2387</v>
      </c>
      <c r="R16" s="271">
        <f t="shared" si="1"/>
        <v>1.3155731465976555</v>
      </c>
      <c r="S16" s="270">
        <f t="shared" si="2"/>
        <v>8642</v>
      </c>
      <c r="T16" s="269">
        <f t="shared" si="11"/>
        <v>8.6037987714515193E-2</v>
      </c>
      <c r="V16" s="29"/>
      <c r="W16" s="81"/>
      <c r="AE16" s="1"/>
    </row>
    <row r="17" spans="2:31" s="4" customFormat="1" ht="7.5" customHeight="1" x14ac:dyDescent="0.25">
      <c r="B17" s="247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AE17" s="1" t="s">
        <v>182</v>
      </c>
    </row>
    <row r="18" spans="2:31" s="4" customFormat="1" x14ac:dyDescent="0.25">
      <c r="B18" s="172" t="s">
        <v>183</v>
      </c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AE18" s="1" t="s">
        <v>184</v>
      </c>
    </row>
    <row r="19" spans="2:31" s="4" customFormat="1" x14ac:dyDescent="0.25">
      <c r="AE19" s="1"/>
    </row>
    <row r="42" spans="2:31" s="4" customFormat="1" ht="15.75" hidden="1" customHeight="1" thickBot="1" x14ac:dyDescent="0.3">
      <c r="B42" s="278" t="s">
        <v>185</v>
      </c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85"/>
      <c r="AE42" s="1"/>
    </row>
    <row r="43" spans="2:31" s="4" customFormat="1" ht="6" hidden="1" customHeight="1" thickBot="1" x14ac:dyDescent="0.3">
      <c r="AE43" s="1"/>
    </row>
    <row r="44" spans="2:31" s="4" customFormat="1" ht="30" hidden="1" x14ac:dyDescent="0.25">
      <c r="C44" s="89"/>
      <c r="D44" s="89"/>
      <c r="E44" s="89"/>
      <c r="F44" s="89"/>
      <c r="G44" s="89"/>
      <c r="H44" s="89"/>
      <c r="I44" s="89"/>
      <c r="J44" s="89"/>
      <c r="K44" s="14">
        <v>2020</v>
      </c>
      <c r="L44" s="14"/>
      <c r="M44" s="14"/>
      <c r="N44" s="14" t="s">
        <v>186</v>
      </c>
      <c r="O44" s="14">
        <v>2021</v>
      </c>
      <c r="P44" s="14" t="s">
        <v>186</v>
      </c>
      <c r="Q44" s="14" t="s">
        <v>187</v>
      </c>
      <c r="R44" s="14" t="s">
        <v>188</v>
      </c>
      <c r="S44" s="14" t="s">
        <v>189</v>
      </c>
      <c r="T44" s="89"/>
      <c r="AE44" s="1"/>
    </row>
    <row r="45" spans="2:31" s="4" customFormat="1" ht="18.75" hidden="1" x14ac:dyDescent="0.3">
      <c r="B45" s="235" t="s">
        <v>173</v>
      </c>
      <c r="C45" s="236"/>
      <c r="D45" s="236"/>
      <c r="E45" s="236"/>
      <c r="F45" s="236"/>
      <c r="G45" s="236"/>
      <c r="H45" s="236"/>
      <c r="I45" s="236"/>
      <c r="J45" s="236"/>
      <c r="K45" s="236">
        <v>1824653</v>
      </c>
      <c r="L45" s="236"/>
      <c r="M45" s="236"/>
      <c r="N45" s="237"/>
      <c r="O45" s="236">
        <v>2354005</v>
      </c>
      <c r="P45" s="237"/>
      <c r="Q45" s="237">
        <v>1</v>
      </c>
      <c r="R45" s="237">
        <v>0.2901110512519367</v>
      </c>
      <c r="S45" s="236">
        <v>529352</v>
      </c>
      <c r="T45" s="248"/>
      <c r="AE45" s="1"/>
    </row>
    <row r="46" spans="2:31" ht="18.75" hidden="1" x14ac:dyDescent="0.3">
      <c r="B46" s="235" t="s">
        <v>174</v>
      </c>
      <c r="C46" s="236"/>
      <c r="D46" s="236"/>
      <c r="E46" s="236"/>
      <c r="F46" s="236"/>
      <c r="G46" s="236"/>
      <c r="H46" s="236"/>
      <c r="I46" s="236"/>
      <c r="J46" s="236"/>
      <c r="K46" s="236">
        <v>603938</v>
      </c>
      <c r="L46" s="236"/>
      <c r="M46" s="236"/>
      <c r="N46" s="237">
        <v>1</v>
      </c>
      <c r="O46" s="236">
        <v>936181</v>
      </c>
      <c r="P46" s="237">
        <v>1</v>
      </c>
      <c r="Q46" s="237">
        <v>0.39769711619134201</v>
      </c>
      <c r="R46" s="237">
        <v>0.55012766211101138</v>
      </c>
      <c r="S46" s="236">
        <v>332243</v>
      </c>
      <c r="T46" s="248"/>
      <c r="AE46" s="1" t="s">
        <v>175</v>
      </c>
    </row>
    <row r="47" spans="2:31" ht="15.75" hidden="1" x14ac:dyDescent="0.25">
      <c r="B47" s="238" t="s">
        <v>102</v>
      </c>
      <c r="C47" s="239"/>
      <c r="D47" s="239"/>
      <c r="E47" s="239"/>
      <c r="F47" s="239"/>
      <c r="G47" s="239"/>
      <c r="H47" s="239"/>
      <c r="I47" s="239"/>
      <c r="J47" s="239"/>
      <c r="K47" s="239">
        <v>276550.36166633503</v>
      </c>
      <c r="L47" s="239"/>
      <c r="M47" s="239"/>
      <c r="N47" s="240">
        <v>0.45791184139155844</v>
      </c>
      <c r="O47" s="239">
        <v>430252.45635520399</v>
      </c>
      <c r="P47" s="240">
        <v>0.4595825554622493</v>
      </c>
      <c r="Q47" s="240">
        <v>0.18277465695918402</v>
      </c>
      <c r="R47" s="240">
        <v>0.55578337978930015</v>
      </c>
      <c r="S47" s="239">
        <v>153702.09468886897</v>
      </c>
      <c r="T47" s="249"/>
      <c r="AE47" s="1" t="s">
        <v>176</v>
      </c>
    </row>
    <row r="48" spans="2:31" s="4" customFormat="1" hidden="1" x14ac:dyDescent="0.25">
      <c r="B48" s="241" t="s">
        <v>105</v>
      </c>
      <c r="C48" s="242"/>
      <c r="D48" s="242"/>
      <c r="E48" s="242"/>
      <c r="F48" s="242"/>
      <c r="G48" s="242"/>
      <c r="H48" s="242"/>
      <c r="I48" s="242"/>
      <c r="J48" s="242"/>
      <c r="K48" s="242">
        <v>327387.63833385095</v>
      </c>
      <c r="L48" s="242"/>
      <c r="M48" s="242"/>
      <c r="N48" s="245">
        <v>0.54208815860874948</v>
      </c>
      <c r="O48" s="242">
        <v>505927.5436448183</v>
      </c>
      <c r="P48" s="245">
        <v>0.54041637636826456</v>
      </c>
      <c r="Q48" s="245">
        <v>0.21492203442423372</v>
      </c>
      <c r="R48" s="243">
        <v>0.54534711884540576</v>
      </c>
      <c r="S48" s="244">
        <v>178539.90531096736</v>
      </c>
      <c r="T48" s="251"/>
      <c r="AE48" s="1" t="s">
        <v>177</v>
      </c>
    </row>
    <row r="49" spans="2:31" s="4" customFormat="1" hidden="1" x14ac:dyDescent="0.25">
      <c r="B49" s="246" t="s">
        <v>178</v>
      </c>
      <c r="C49" s="29"/>
      <c r="D49" s="29"/>
      <c r="E49" s="29"/>
      <c r="F49" s="29"/>
      <c r="G49" s="29"/>
      <c r="H49" s="29"/>
      <c r="I49" s="29"/>
      <c r="J49" s="29"/>
      <c r="K49" s="29">
        <v>242109.12821622068</v>
      </c>
      <c r="L49" s="29"/>
      <c r="M49" s="29"/>
      <c r="N49" s="31">
        <v>0.4008840778626625</v>
      </c>
      <c r="O49" s="29">
        <v>391384.01224089495</v>
      </c>
      <c r="P49" s="31">
        <v>0.41806446855992052</v>
      </c>
      <c r="Q49" s="31">
        <v>0.16626303352834634</v>
      </c>
      <c r="R49" s="22">
        <v>0.61656033014732592</v>
      </c>
      <c r="S49" s="20">
        <v>149274.88402467428</v>
      </c>
      <c r="T49" s="20"/>
      <c r="AE49" s="1" t="s">
        <v>179</v>
      </c>
    </row>
    <row r="50" spans="2:31" s="4" customFormat="1" hidden="1" x14ac:dyDescent="0.25">
      <c r="B50" s="246" t="s">
        <v>180</v>
      </c>
      <c r="C50" s="29"/>
      <c r="D50" s="29"/>
      <c r="E50" s="29"/>
      <c r="F50" s="29"/>
      <c r="G50" s="29"/>
      <c r="H50" s="29"/>
      <c r="I50" s="29"/>
      <c r="J50" s="29"/>
      <c r="K50" s="29">
        <v>85278.510117630256</v>
      </c>
      <c r="L50" s="29"/>
      <c r="M50" s="29"/>
      <c r="N50" s="31">
        <v>0.14120408074608695</v>
      </c>
      <c r="O50" s="29">
        <v>114543.53140392336</v>
      </c>
      <c r="P50" s="31">
        <v>0.12235190780834407</v>
      </c>
      <c r="Q50" s="31">
        <v>4.8659000895887379E-2</v>
      </c>
      <c r="R50" s="22">
        <v>0.34316994100771625</v>
      </c>
      <c r="S50" s="20">
        <v>29265.021286293108</v>
      </c>
      <c r="T50" s="20"/>
      <c r="AE50" s="1" t="s">
        <v>181</v>
      </c>
    </row>
    <row r="51" spans="2:31" s="4" customFormat="1" ht="7.5" hidden="1" customHeight="1" x14ac:dyDescent="0.25"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AE51" s="1" t="s">
        <v>182</v>
      </c>
    </row>
    <row r="52" spans="2:31" s="4" customFormat="1" hidden="1" x14ac:dyDescent="0.25">
      <c r="B52" s="296" t="s">
        <v>183</v>
      </c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49"/>
      <c r="AE52" s="1" t="s">
        <v>184</v>
      </c>
    </row>
    <row r="53" spans="2:31" s="4" customFormat="1" hidden="1" x14ac:dyDescent="0.25">
      <c r="AE53" s="1"/>
    </row>
    <row r="54" spans="2:31" hidden="1" x14ac:dyDescent="0.25">
      <c r="C54" s="126"/>
      <c r="D54" s="126"/>
      <c r="E54" s="126"/>
      <c r="F54" s="126"/>
      <c r="G54" s="126"/>
      <c r="H54" s="126"/>
      <c r="I54" s="126"/>
      <c r="J54" s="126"/>
      <c r="K54" s="126">
        <v>0.54208815860874948</v>
      </c>
      <c r="L54" s="126"/>
      <c r="M54" s="126"/>
    </row>
    <row r="55" spans="2:31" hidden="1" x14ac:dyDescent="0.25"/>
    <row r="56" spans="2:31" hidden="1" x14ac:dyDescent="0.25"/>
    <row r="57" spans="2:31" hidden="1" x14ac:dyDescent="0.25"/>
    <row r="58" spans="2:31" hidden="1" x14ac:dyDescent="0.25"/>
    <row r="59" spans="2:31" hidden="1" x14ac:dyDescent="0.25"/>
    <row r="60" spans="2:31" hidden="1" x14ac:dyDescent="0.25"/>
    <row r="61" spans="2:31" hidden="1" x14ac:dyDescent="0.25"/>
    <row r="62" spans="2:31" hidden="1" x14ac:dyDescent="0.25"/>
    <row r="63" spans="2:31" hidden="1" x14ac:dyDescent="0.25"/>
    <row r="64" spans="2:31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33" spans="1:31" s="4" customFormat="1" ht="25.5" customHeight="1" thickBot="1" x14ac:dyDescent="0.3">
      <c r="B133" s="66" t="s">
        <v>31</v>
      </c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Z133" s="1"/>
    </row>
    <row r="134" spans="1:31" s="4" customFormat="1" ht="6" customHeight="1" x14ac:dyDescent="0.25">
      <c r="Z134" s="1"/>
    </row>
    <row r="135" spans="1:31" s="4" customFormat="1" ht="30" x14ac:dyDescent="0.25">
      <c r="C135" s="186">
        <v>2020</v>
      </c>
      <c r="D135" s="186">
        <v>2021</v>
      </c>
      <c r="E135" s="186">
        <v>2022</v>
      </c>
      <c r="F135" s="186">
        <v>2023</v>
      </c>
      <c r="G135" s="174" t="str">
        <f>CONCATENATE("var. ",RIGHT(F135,2),"/",RIGHT(E135,2))</f>
        <v>var. 23/22</v>
      </c>
      <c r="H135" s="174" t="str">
        <f>CONCATENATE("dif. ",RIGHT(F135,2),"/",RIGHT(E135,2))</f>
        <v>dif. 23/22</v>
      </c>
      <c r="I135" s="174" t="str">
        <f>CONCATENATE("%/s total Península ",RIGHT(F135,4))</f>
        <v>%/s total Península 2023</v>
      </c>
      <c r="J135" s="186">
        <v>2024</v>
      </c>
      <c r="K135" s="174" t="str">
        <f>CONCATENATE("%/s total España ",RIGHT(J135,4))</f>
        <v>%/s total España 2024</v>
      </c>
      <c r="L135" s="174" t="str">
        <f>CONCATENATE("var. ",RIGHT(J135,2),"/",RIGHT(F135,2))</f>
        <v>var. 24/23</v>
      </c>
      <c r="M135" s="174" t="str">
        <f>CONCATENATE("dif. ",RIGHT(J135,2),"/",RIGHT(F135,2))</f>
        <v>dif. 24/23</v>
      </c>
      <c r="N135" s="174" t="str">
        <f>CONCATENATE("var. ",RIGHT(J135,2),"/",RIGHT(C135,2))</f>
        <v>var. 24/20</v>
      </c>
      <c r="O135" s="174" t="str">
        <f>CONCATENATE("dif. ",RIGHT(J135,2),"/",RIGHT(C135,2))</f>
        <v>dif. 24/20</v>
      </c>
      <c r="Z135" s="1"/>
    </row>
    <row r="136" spans="1:31" ht="18.75" x14ac:dyDescent="0.3">
      <c r="A136" s="4"/>
      <c r="B136" s="235" t="s">
        <v>202</v>
      </c>
      <c r="C136" s="239">
        <v>208389</v>
      </c>
      <c r="D136" s="239">
        <v>416048</v>
      </c>
      <c r="E136" s="239">
        <v>423208</v>
      </c>
      <c r="F136" s="239">
        <v>428791</v>
      </c>
      <c r="G136" s="240">
        <f>F136/E136-1</f>
        <v>1.3192094667397569E-2</v>
      </c>
      <c r="H136" s="239">
        <f>F136-E136</f>
        <v>5583</v>
      </c>
      <c r="I136" s="240">
        <f>F136/F$136</f>
        <v>1</v>
      </c>
      <c r="J136" s="239">
        <v>421973</v>
      </c>
      <c r="K136" s="240">
        <f>H136/H$136</f>
        <v>1</v>
      </c>
      <c r="L136" s="240">
        <f>J136/F136-1</f>
        <v>-1.5900520300099585E-2</v>
      </c>
      <c r="M136" s="239">
        <f>J136-F136</f>
        <v>-6818</v>
      </c>
      <c r="N136" s="240">
        <f>J136/C136-1</f>
        <v>1.0249293388806513</v>
      </c>
      <c r="O136" s="239">
        <f>J136-C136</f>
        <v>213584</v>
      </c>
      <c r="Q136" s="29"/>
      <c r="R136" s="81"/>
      <c r="Z136" s="1" t="s">
        <v>175</v>
      </c>
      <c r="AE136"/>
    </row>
    <row r="137" spans="1:31" s="4" customFormat="1" x14ac:dyDescent="0.25">
      <c r="B137" s="246" t="s">
        <v>46</v>
      </c>
      <c r="C137" s="263">
        <v>68476</v>
      </c>
      <c r="D137" s="263">
        <v>126666</v>
      </c>
      <c r="E137" s="263">
        <v>86811</v>
      </c>
      <c r="F137" s="263">
        <v>75374</v>
      </c>
      <c r="G137" s="269">
        <f t="shared" ref="G137:G146" si="12">F137/E137-1</f>
        <v>-0.13174597689232936</v>
      </c>
      <c r="H137" s="276">
        <f t="shared" ref="H137:H146" si="13">F137-E137</f>
        <v>-11437</v>
      </c>
      <c r="I137" s="271">
        <f t="shared" ref="I137:K146" si="14">F137/F$136</f>
        <v>0.17578260737748694</v>
      </c>
      <c r="J137" s="263">
        <v>60650</v>
      </c>
      <c r="K137" s="271">
        <f t="shared" si="14"/>
        <v>-2.0485402113559017</v>
      </c>
      <c r="L137" s="271">
        <f t="shared" ref="L137:L146" si="15">J137/F137-1</f>
        <v>-0.19534587523549229</v>
      </c>
      <c r="M137" s="270">
        <f t="shared" ref="M137:M146" si="16">J137-F137</f>
        <v>-14724</v>
      </c>
      <c r="N137" s="269">
        <f t="shared" ref="N137:N146" si="17">J137/C137-1</f>
        <v>-0.11428821776972953</v>
      </c>
      <c r="O137" s="263">
        <f t="shared" ref="O137:O146" si="18">J137-C137</f>
        <v>-7826</v>
      </c>
      <c r="Q137" s="29"/>
      <c r="R137" s="81"/>
      <c r="Z137" s="1" t="s">
        <v>177</v>
      </c>
    </row>
    <row r="138" spans="1:31" s="4" customFormat="1" x14ac:dyDescent="0.25">
      <c r="B138" s="246" t="s">
        <v>47</v>
      </c>
      <c r="C138" s="263">
        <v>24912</v>
      </c>
      <c r="D138" s="263">
        <v>43482</v>
      </c>
      <c r="E138" s="263">
        <v>48094</v>
      </c>
      <c r="F138" s="263">
        <v>51902</v>
      </c>
      <c r="G138" s="269">
        <f t="shared" si="12"/>
        <v>7.9178275876408799E-2</v>
      </c>
      <c r="H138" s="276">
        <f t="shared" si="13"/>
        <v>3808</v>
      </c>
      <c r="I138" s="271">
        <f t="shared" si="14"/>
        <v>0.12104265248104555</v>
      </c>
      <c r="J138" s="263">
        <v>50245</v>
      </c>
      <c r="K138" s="271">
        <f t="shared" si="14"/>
        <v>0.68207057137739568</v>
      </c>
      <c r="L138" s="271">
        <f t="shared" si="15"/>
        <v>-3.1925552001849655E-2</v>
      </c>
      <c r="M138" s="270">
        <f t="shared" si="16"/>
        <v>-1657</v>
      </c>
      <c r="N138" s="269">
        <f t="shared" si="17"/>
        <v>1.0168994861913938</v>
      </c>
      <c r="O138" s="263">
        <f t="shared" si="18"/>
        <v>25333</v>
      </c>
      <c r="Q138" s="29"/>
      <c r="R138" s="81"/>
      <c r="Z138" s="1"/>
    </row>
    <row r="139" spans="1:31" s="4" customFormat="1" x14ac:dyDescent="0.25">
      <c r="B139" s="246" t="s">
        <v>48</v>
      </c>
      <c r="C139" s="263">
        <v>1658</v>
      </c>
      <c r="D139" s="263">
        <v>2415</v>
      </c>
      <c r="E139" s="263">
        <v>3515</v>
      </c>
      <c r="F139" s="263">
        <v>14811</v>
      </c>
      <c r="G139" s="269">
        <f t="shared" si="12"/>
        <v>3.2136557610241825</v>
      </c>
      <c r="H139" s="277">
        <f t="shared" si="13"/>
        <v>11296</v>
      </c>
      <c r="I139" s="275">
        <f t="shared" si="14"/>
        <v>3.4541303338922691E-2</v>
      </c>
      <c r="J139" s="263">
        <v>7251</v>
      </c>
      <c r="K139" s="275">
        <f t="shared" si="14"/>
        <v>2.0232849722371484</v>
      </c>
      <c r="L139" s="271">
        <f t="shared" si="15"/>
        <v>-0.51043143609479436</v>
      </c>
      <c r="M139" s="270">
        <f t="shared" si="16"/>
        <v>-7560</v>
      </c>
      <c r="N139" s="269">
        <f t="shared" si="17"/>
        <v>3.3733413751507841</v>
      </c>
      <c r="O139" s="263">
        <f t="shared" si="18"/>
        <v>5593</v>
      </c>
      <c r="Q139" s="29"/>
      <c r="R139" s="81"/>
      <c r="Z139" s="1"/>
    </row>
    <row r="140" spans="1:31" s="4" customFormat="1" x14ac:dyDescent="0.25">
      <c r="B140" s="246" t="s">
        <v>50</v>
      </c>
      <c r="C140" s="263">
        <v>28320</v>
      </c>
      <c r="D140" s="263">
        <v>66989</v>
      </c>
      <c r="E140" s="263">
        <v>97391</v>
      </c>
      <c r="F140" s="263">
        <v>92103</v>
      </c>
      <c r="G140" s="269">
        <f t="shared" si="12"/>
        <v>-5.4296598248298134E-2</v>
      </c>
      <c r="H140" s="276">
        <f t="shared" si="13"/>
        <v>-5288</v>
      </c>
      <c r="I140" s="271">
        <f t="shared" si="14"/>
        <v>0.21479695236140683</v>
      </c>
      <c r="J140" s="263">
        <v>106284</v>
      </c>
      <c r="K140" s="271">
        <f t="shared" si="14"/>
        <v>-0.94716102453877848</v>
      </c>
      <c r="L140" s="271">
        <f t="shared" si="15"/>
        <v>0.15396892609361257</v>
      </c>
      <c r="M140" s="270">
        <f t="shared" si="16"/>
        <v>14181</v>
      </c>
      <c r="N140" s="269">
        <f t="shared" si="17"/>
        <v>2.7529661016949154</v>
      </c>
      <c r="O140" s="263">
        <f t="shared" si="18"/>
        <v>77964</v>
      </c>
      <c r="Q140" s="29"/>
      <c r="R140" s="81"/>
      <c r="Z140" s="1"/>
    </row>
    <row r="141" spans="1:31" s="4" customFormat="1" x14ac:dyDescent="0.25">
      <c r="B141" s="246" t="s">
        <v>52</v>
      </c>
      <c r="C141" s="263">
        <v>4963</v>
      </c>
      <c r="D141" s="263">
        <v>24120</v>
      </c>
      <c r="E141" s="263">
        <v>16359</v>
      </c>
      <c r="F141" s="263">
        <v>19520</v>
      </c>
      <c r="G141" s="269">
        <f t="shared" si="12"/>
        <v>0.19322696986368371</v>
      </c>
      <c r="H141" s="277">
        <f t="shared" si="13"/>
        <v>3161</v>
      </c>
      <c r="I141" s="275">
        <f t="shared" si="14"/>
        <v>4.5523343540326174E-2</v>
      </c>
      <c r="J141" s="263">
        <v>16099</v>
      </c>
      <c r="K141" s="275">
        <f t="shared" si="14"/>
        <v>0.56618305570481819</v>
      </c>
      <c r="L141" s="271">
        <f t="shared" si="15"/>
        <v>-0.17525614754098362</v>
      </c>
      <c r="M141" s="270">
        <f t="shared" si="16"/>
        <v>-3421</v>
      </c>
      <c r="N141" s="269">
        <f t="shared" si="17"/>
        <v>2.243804150715293</v>
      </c>
      <c r="O141" s="263">
        <f t="shared" si="18"/>
        <v>11136</v>
      </c>
      <c r="Q141" s="29"/>
      <c r="R141" s="81"/>
      <c r="Z141" s="1"/>
    </row>
    <row r="142" spans="1:31" s="4" customFormat="1" x14ac:dyDescent="0.25">
      <c r="B142" s="246" t="s">
        <v>53</v>
      </c>
      <c r="C142" s="263">
        <v>27791</v>
      </c>
      <c r="D142" s="263">
        <v>53247</v>
      </c>
      <c r="E142" s="263">
        <v>69865</v>
      </c>
      <c r="F142" s="263">
        <v>66121</v>
      </c>
      <c r="G142" s="269">
        <f t="shared" si="12"/>
        <v>-5.3589064624633198E-2</v>
      </c>
      <c r="H142" s="276">
        <f t="shared" si="13"/>
        <v>-3744</v>
      </c>
      <c r="I142" s="271">
        <f t="shared" si="14"/>
        <v>0.1542033298273518</v>
      </c>
      <c r="J142" s="263">
        <v>75793</v>
      </c>
      <c r="K142" s="271">
        <f t="shared" si="14"/>
        <v>-0.67060720042987643</v>
      </c>
      <c r="L142" s="271">
        <f t="shared" si="15"/>
        <v>0.14627727953297742</v>
      </c>
      <c r="M142" s="270">
        <f t="shared" si="16"/>
        <v>9672</v>
      </c>
      <c r="N142" s="269">
        <f t="shared" si="17"/>
        <v>1.7272498290813574</v>
      </c>
      <c r="O142" s="263">
        <f t="shared" si="18"/>
        <v>48002</v>
      </c>
      <c r="Q142" s="29"/>
      <c r="R142" s="81"/>
      <c r="Z142" s="1"/>
    </row>
    <row r="143" spans="1:31" s="4" customFormat="1" x14ac:dyDescent="0.25">
      <c r="B143" s="246" t="s">
        <v>51</v>
      </c>
      <c r="C143" s="263">
        <v>8684</v>
      </c>
      <c r="D143" s="263">
        <v>11001</v>
      </c>
      <c r="E143" s="263">
        <v>16289</v>
      </c>
      <c r="F143" s="263">
        <v>12024</v>
      </c>
      <c r="G143" s="269">
        <f t="shared" si="12"/>
        <v>-0.261833138928111</v>
      </c>
      <c r="H143" s="277">
        <f t="shared" si="13"/>
        <v>-4265</v>
      </c>
      <c r="I143" s="275">
        <f t="shared" si="14"/>
        <v>2.8041633336520589E-2</v>
      </c>
      <c r="J143" s="263">
        <v>11877</v>
      </c>
      <c r="K143" s="275">
        <f t="shared" si="14"/>
        <v>-0.76392620454952531</v>
      </c>
      <c r="L143" s="271">
        <f t="shared" si="15"/>
        <v>-1.2225548902195627E-2</v>
      </c>
      <c r="M143" s="270">
        <f t="shared" si="16"/>
        <v>-147</v>
      </c>
      <c r="N143" s="269">
        <f t="shared" si="17"/>
        <v>0.36768770152003682</v>
      </c>
      <c r="O143" s="263">
        <f t="shared" si="18"/>
        <v>3193</v>
      </c>
      <c r="Q143" s="29"/>
      <c r="R143" s="81"/>
      <c r="Z143" s="1"/>
    </row>
    <row r="144" spans="1:31" s="4" customFormat="1" x14ac:dyDescent="0.25">
      <c r="B144" s="246" t="s">
        <v>54</v>
      </c>
      <c r="C144" s="263">
        <v>20058</v>
      </c>
      <c r="D144" s="263">
        <v>34195</v>
      </c>
      <c r="E144" s="263">
        <v>19943</v>
      </c>
      <c r="F144" s="263">
        <v>20738</v>
      </c>
      <c r="G144" s="269">
        <f t="shared" si="12"/>
        <v>3.9863611292182632E-2</v>
      </c>
      <c r="H144" s="276">
        <f t="shared" si="13"/>
        <v>795</v>
      </c>
      <c r="I144" s="271">
        <f t="shared" si="14"/>
        <v>4.8363888234594477E-2</v>
      </c>
      <c r="J144" s="263">
        <v>18376</v>
      </c>
      <c r="K144" s="271">
        <f t="shared" si="14"/>
        <v>0.14239656098871575</v>
      </c>
      <c r="L144" s="271">
        <f t="shared" si="15"/>
        <v>-0.1138971935577201</v>
      </c>
      <c r="M144" s="270">
        <f t="shared" si="16"/>
        <v>-2362</v>
      </c>
      <c r="N144" s="269">
        <f t="shared" si="17"/>
        <v>-8.3856815235816118E-2</v>
      </c>
      <c r="O144" s="263">
        <f t="shared" si="18"/>
        <v>-1682</v>
      </c>
      <c r="Q144" s="29"/>
      <c r="R144" s="81"/>
      <c r="Z144" s="1"/>
    </row>
    <row r="145" spans="2:31" s="4" customFormat="1" x14ac:dyDescent="0.25">
      <c r="B145" s="246" t="s">
        <v>49</v>
      </c>
      <c r="C145" s="263">
        <v>8930</v>
      </c>
      <c r="D145" s="263">
        <v>21567</v>
      </c>
      <c r="E145" s="263">
        <v>23338</v>
      </c>
      <c r="F145" s="263">
        <v>31999</v>
      </c>
      <c r="G145" s="269">
        <f t="shared" si="12"/>
        <v>0.37111149198731685</v>
      </c>
      <c r="H145" s="277">
        <f t="shared" si="13"/>
        <v>8661</v>
      </c>
      <c r="I145" s="275">
        <f t="shared" si="14"/>
        <v>7.4626099894820552E-2</v>
      </c>
      <c r="J145" s="263">
        <v>37562</v>
      </c>
      <c r="K145" s="275">
        <f t="shared" si="14"/>
        <v>1.5513164965072541</v>
      </c>
      <c r="L145" s="271">
        <f t="shared" si="15"/>
        <v>0.17384918278696215</v>
      </c>
      <c r="M145" s="270">
        <f t="shared" si="16"/>
        <v>5563</v>
      </c>
      <c r="N145" s="269">
        <f t="shared" si="17"/>
        <v>3.2062709966405372</v>
      </c>
      <c r="O145" s="263">
        <f t="shared" si="18"/>
        <v>28632</v>
      </c>
      <c r="Q145" s="29"/>
      <c r="R145" s="81"/>
      <c r="Z145" s="1"/>
    </row>
    <row r="146" spans="2:31" s="4" customFormat="1" x14ac:dyDescent="0.25">
      <c r="B146" s="246" t="s">
        <v>203</v>
      </c>
      <c r="C146" s="263">
        <f>C136-SUM(C137:C145)</f>
        <v>14597</v>
      </c>
      <c r="D146" s="263">
        <f>D136-SUM(D137:D145)</f>
        <v>32366</v>
      </c>
      <c r="E146" s="263">
        <f>E136-SUM(E137:E145)</f>
        <v>41603</v>
      </c>
      <c r="F146" s="263">
        <f>F136-SUM(F137:F145)</f>
        <v>44199</v>
      </c>
      <c r="G146" s="269">
        <f t="shared" si="12"/>
        <v>6.2399346200995076E-2</v>
      </c>
      <c r="H146" s="276">
        <f t="shared" si="13"/>
        <v>2596</v>
      </c>
      <c r="I146" s="271">
        <f t="shared" si="14"/>
        <v>0.10307818960752441</v>
      </c>
      <c r="J146" s="263">
        <f>J136-SUM(J137:J145)</f>
        <v>37836</v>
      </c>
      <c r="K146" s="271">
        <f t="shared" si="14"/>
        <v>0.46498298405874977</v>
      </c>
      <c r="L146" s="271">
        <f t="shared" si="15"/>
        <v>-0.14396253308898388</v>
      </c>
      <c r="M146" s="270">
        <f t="shared" si="16"/>
        <v>-6363</v>
      </c>
      <c r="N146" s="269">
        <f t="shared" si="17"/>
        <v>1.592039460163047</v>
      </c>
      <c r="O146" s="263">
        <f t="shared" si="18"/>
        <v>23239</v>
      </c>
      <c r="Q146" s="29"/>
      <c r="R146" s="81"/>
      <c r="Z146" s="1"/>
    </row>
    <row r="147" spans="2:31" s="4" customFormat="1" ht="7.5" customHeight="1" x14ac:dyDescent="0.25"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Z147" s="1" t="s">
        <v>182</v>
      </c>
    </row>
    <row r="148" spans="2:31" s="4" customFormat="1" x14ac:dyDescent="0.25">
      <c r="B148" s="172" t="s">
        <v>183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Z148" s="1" t="s">
        <v>184</v>
      </c>
    </row>
    <row r="149" spans="2:31" x14ac:dyDescent="0.25">
      <c r="Z149" s="1"/>
      <c r="AE149"/>
    </row>
  </sheetData>
  <mergeCells count="2">
    <mergeCell ref="B42:S42"/>
    <mergeCell ref="B52:S5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8393A-1066-4C50-A81D-0D313E691439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8" t="s">
        <v>310</v>
      </c>
      <c r="C4" s="278"/>
      <c r="D4" s="278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3" t="s">
        <v>206</v>
      </c>
      <c r="D6" s="304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35821</v>
      </c>
      <c r="D8" s="120">
        <f t="shared" ref="D8:D21" si="0">C8/C9-1</f>
        <v>-5.0394994963151474E-2</v>
      </c>
    </row>
    <row r="9" spans="1:5" x14ac:dyDescent="0.25">
      <c r="A9" s="1"/>
      <c r="B9" s="118">
        <v>2023</v>
      </c>
      <c r="C9" s="119">
        <v>37722</v>
      </c>
      <c r="D9" s="120">
        <f t="shared" si="0"/>
        <v>0.11573841284864983</v>
      </c>
    </row>
    <row r="10" spans="1:5" x14ac:dyDescent="0.25">
      <c r="A10" s="1"/>
      <c r="B10" s="118">
        <v>2022</v>
      </c>
      <c r="C10" s="119">
        <v>33809</v>
      </c>
      <c r="D10" s="120">
        <f t="shared" si="0"/>
        <v>0.55572427756304066</v>
      </c>
    </row>
    <row r="11" spans="1:5" x14ac:dyDescent="0.25">
      <c r="A11" s="1"/>
      <c r="B11" s="118">
        <v>2021</v>
      </c>
      <c r="C11" s="119">
        <v>21732</v>
      </c>
      <c r="D11" s="120">
        <f t="shared" si="0"/>
        <v>0.35630031829245468</v>
      </c>
    </row>
    <row r="12" spans="1:5" x14ac:dyDescent="0.25">
      <c r="A12" s="1" t="s">
        <v>74</v>
      </c>
      <c r="B12" s="118">
        <v>2020</v>
      </c>
      <c r="C12" s="119">
        <v>16023</v>
      </c>
      <c r="D12" s="120">
        <f t="shared" si="0"/>
        <v>-0.5683342762466661</v>
      </c>
    </row>
    <row r="13" spans="1:5" x14ac:dyDescent="0.25">
      <c r="A13" s="1" t="s">
        <v>76</v>
      </c>
      <c r="B13" s="118">
        <v>2019</v>
      </c>
      <c r="C13" s="119">
        <v>37119</v>
      </c>
      <c r="D13" s="120">
        <f t="shared" si="0"/>
        <v>8.2754798436497357E-2</v>
      </c>
    </row>
    <row r="14" spans="1:5" x14ac:dyDescent="0.25">
      <c r="A14" s="1" t="s">
        <v>78</v>
      </c>
      <c r="B14" s="118">
        <v>2018</v>
      </c>
      <c r="C14" s="119">
        <v>34282</v>
      </c>
      <c r="D14" s="120">
        <f t="shared" si="0"/>
        <v>-8.1059347021926742E-2</v>
      </c>
    </row>
    <row r="15" spans="1:5" x14ac:dyDescent="0.25">
      <c r="A15" s="1" t="s">
        <v>80</v>
      </c>
      <c r="B15" s="118">
        <v>2017</v>
      </c>
      <c r="C15" s="119">
        <v>37306</v>
      </c>
      <c r="D15" s="120">
        <f t="shared" si="0"/>
        <v>5.2533574088703405E-2</v>
      </c>
    </row>
    <row r="16" spans="1:5" x14ac:dyDescent="0.25">
      <c r="A16" s="1" t="s">
        <v>82</v>
      </c>
      <c r="B16" s="118">
        <v>2016</v>
      </c>
      <c r="C16" s="119">
        <v>35444</v>
      </c>
      <c r="D16" s="120">
        <f>C16/C17-1</f>
        <v>0.40885602989108838</v>
      </c>
    </row>
    <row r="17" spans="1:4" x14ac:dyDescent="0.25">
      <c r="A17" s="1" t="s">
        <v>84</v>
      </c>
      <c r="B17" s="118">
        <v>2015</v>
      </c>
      <c r="C17" s="119">
        <v>25158</v>
      </c>
      <c r="D17" s="120">
        <f t="shared" si="0"/>
        <v>0.3101077956569287</v>
      </c>
    </row>
    <row r="18" spans="1:4" x14ac:dyDescent="0.25">
      <c r="A18" s="1" t="s">
        <v>86</v>
      </c>
      <c r="B18" s="118">
        <v>2014</v>
      </c>
      <c r="C18" s="119">
        <v>19203</v>
      </c>
      <c r="D18" s="120">
        <f t="shared" si="0"/>
        <v>0.14726968574501131</v>
      </c>
    </row>
    <row r="19" spans="1:4" x14ac:dyDescent="0.25">
      <c r="A19" s="1" t="s">
        <v>88</v>
      </c>
      <c r="B19" s="118">
        <v>2013</v>
      </c>
      <c r="C19" s="119">
        <v>16738</v>
      </c>
      <c r="D19" s="120">
        <f t="shared" si="0"/>
        <v>-0.17757468553459121</v>
      </c>
    </row>
    <row r="20" spans="1:4" x14ac:dyDescent="0.25">
      <c r="A20" s="1" t="s">
        <v>90</v>
      </c>
      <c r="B20" s="118">
        <v>2012</v>
      </c>
      <c r="C20" s="119">
        <v>20352</v>
      </c>
      <c r="D20" s="120">
        <f>C20/C21-1</f>
        <v>2.5806451612903292E-2</v>
      </c>
    </row>
    <row r="21" spans="1:4" x14ac:dyDescent="0.25">
      <c r="A21" s="1" t="s">
        <v>92</v>
      </c>
      <c r="B21" s="118">
        <v>2011</v>
      </c>
      <c r="C21" s="119">
        <v>19840</v>
      </c>
      <c r="D21" s="120">
        <f t="shared" si="0"/>
        <v>-0.258234568362807</v>
      </c>
    </row>
    <row r="22" spans="1:4" x14ac:dyDescent="0.25">
      <c r="A22" s="1" t="s">
        <v>94</v>
      </c>
      <c r="B22" s="118">
        <v>2010</v>
      </c>
      <c r="C22" s="119">
        <v>26747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52602-1F1D-4047-BBE2-BD873F7020BB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8" t="s">
        <v>311</v>
      </c>
      <c r="C4" s="278"/>
      <c r="D4" s="278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3" t="s">
        <v>207</v>
      </c>
      <c r="D6" s="304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23944</v>
      </c>
      <c r="D8" s="120">
        <f t="shared" ref="D8:D21" si="0">C8/C9-1</f>
        <v>-6.8254338859055186E-2</v>
      </c>
    </row>
    <row r="9" spans="1:5" x14ac:dyDescent="0.25">
      <c r="A9" s="1"/>
      <c r="B9" s="118">
        <v>2023</v>
      </c>
      <c r="C9" s="119">
        <v>25698</v>
      </c>
      <c r="D9" s="120">
        <f t="shared" si="0"/>
        <v>0.46678082191780823</v>
      </c>
    </row>
    <row r="10" spans="1:5" x14ac:dyDescent="0.25">
      <c r="A10" s="1"/>
      <c r="B10" s="118">
        <v>2022</v>
      </c>
      <c r="C10" s="119">
        <v>17520</v>
      </c>
      <c r="D10" s="120">
        <f t="shared" si="0"/>
        <v>0.63265306122448983</v>
      </c>
    </row>
    <row r="11" spans="1:5" x14ac:dyDescent="0.25">
      <c r="A11" s="1"/>
      <c r="B11" s="118">
        <v>2021</v>
      </c>
      <c r="C11" s="119">
        <v>10731</v>
      </c>
      <c r="D11" s="120">
        <f t="shared" si="0"/>
        <v>0.46218830903392827</v>
      </c>
    </row>
    <row r="12" spans="1:5" x14ac:dyDescent="0.25">
      <c r="A12" s="1" t="s">
        <v>74</v>
      </c>
      <c r="B12" s="118">
        <v>2020</v>
      </c>
      <c r="C12" s="119">
        <v>7339</v>
      </c>
      <c r="D12" s="120">
        <f t="shared" si="0"/>
        <v>-0.59150617833685848</v>
      </c>
    </row>
    <row r="13" spans="1:5" x14ac:dyDescent="0.25">
      <c r="A13" s="1" t="s">
        <v>76</v>
      </c>
      <c r="B13" s="118">
        <v>2019</v>
      </c>
      <c r="C13" s="119">
        <v>17966</v>
      </c>
      <c r="D13" s="120">
        <f t="shared" si="0"/>
        <v>2.5573695627354676E-2</v>
      </c>
    </row>
    <row r="14" spans="1:5" x14ac:dyDescent="0.25">
      <c r="A14" s="1" t="s">
        <v>78</v>
      </c>
      <c r="B14" s="118">
        <v>2018</v>
      </c>
      <c r="C14" s="119">
        <v>17518</v>
      </c>
      <c r="D14" s="120">
        <f t="shared" si="0"/>
        <v>-0.20861944344054928</v>
      </c>
    </row>
    <row r="15" spans="1:5" x14ac:dyDescent="0.25">
      <c r="A15" s="1" t="s">
        <v>80</v>
      </c>
      <c r="B15" s="118">
        <v>2017</v>
      </c>
      <c r="C15" s="119">
        <v>22136</v>
      </c>
      <c r="D15" s="120">
        <f>C15/C16-1</f>
        <v>1.1700182815356452E-2</v>
      </c>
    </row>
    <row r="16" spans="1:5" x14ac:dyDescent="0.25">
      <c r="A16" s="1" t="s">
        <v>82</v>
      </c>
      <c r="B16" s="118">
        <v>2016</v>
      </c>
      <c r="C16" s="119">
        <v>21880</v>
      </c>
      <c r="D16" s="120">
        <f>C16/C17-1</f>
        <v>1.9014719533218405</v>
      </c>
    </row>
    <row r="17" spans="1:4" x14ac:dyDescent="0.25">
      <c r="A17" s="1" t="s">
        <v>84</v>
      </c>
      <c r="B17" s="118">
        <v>2015</v>
      </c>
      <c r="C17" s="119">
        <v>7541</v>
      </c>
      <c r="D17" s="120">
        <f t="shared" si="0"/>
        <v>-0.12537694270470889</v>
      </c>
    </row>
    <row r="18" spans="1:4" x14ac:dyDescent="0.25">
      <c r="A18" s="1" t="s">
        <v>86</v>
      </c>
      <c r="B18" s="118">
        <v>2014</v>
      </c>
      <c r="C18" s="119">
        <v>8622</v>
      </c>
      <c r="D18" s="120">
        <f t="shared" si="0"/>
        <v>0.41972665898238093</v>
      </c>
    </row>
    <row r="19" spans="1:4" x14ac:dyDescent="0.25">
      <c r="A19" s="1" t="s">
        <v>88</v>
      </c>
      <c r="B19" s="118">
        <v>2013</v>
      </c>
      <c r="C19" s="119">
        <v>6073</v>
      </c>
      <c r="D19" s="120">
        <f t="shared" si="0"/>
        <v>-0.50992575855390576</v>
      </c>
    </row>
    <row r="20" spans="1:4" x14ac:dyDescent="0.25">
      <c r="A20" s="1" t="s">
        <v>90</v>
      </c>
      <c r="B20" s="118">
        <v>2012</v>
      </c>
      <c r="C20" s="119">
        <v>12392</v>
      </c>
      <c r="D20" s="120">
        <f>C20/C21-1</f>
        <v>2.8688729316266</v>
      </c>
    </row>
    <row r="21" spans="1:4" x14ac:dyDescent="0.25">
      <c r="A21" s="1" t="s">
        <v>92</v>
      </c>
      <c r="B21" s="118">
        <v>2011</v>
      </c>
      <c r="C21" s="119">
        <v>3203</v>
      </c>
      <c r="D21" s="120">
        <f t="shared" si="0"/>
        <v>-0.25250875145857643</v>
      </c>
    </row>
    <row r="22" spans="1:4" x14ac:dyDescent="0.25">
      <c r="A22" s="1" t="s">
        <v>94</v>
      </c>
      <c r="B22" s="118">
        <v>2010</v>
      </c>
      <c r="C22" s="119">
        <v>4285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A7FC0-595A-4435-9510-D427B54280DE}">
  <sheetPr>
    <tabColor theme="4" tint="0.39997558519241921"/>
  </sheetPr>
  <dimension ref="A4:E24"/>
  <sheetViews>
    <sheetView showGridLines="0" zoomScaleNormal="100" workbookViewId="0"/>
  </sheetViews>
  <sheetFormatPr baseColWidth="10" defaultColWidth="11.42578125" defaultRowHeight="15" x14ac:dyDescent="0.25"/>
  <cols>
    <col min="1" max="2" width="15.28515625" customWidth="1"/>
    <col min="3" max="3" width="30.140625" customWidth="1"/>
    <col min="4" max="4" width="21.85546875" customWidth="1"/>
  </cols>
  <sheetData>
    <row r="4" spans="1:5" ht="63" customHeight="1" thickBot="1" x14ac:dyDescent="0.3">
      <c r="B4" s="278" t="s">
        <v>312</v>
      </c>
      <c r="C4" s="278"/>
      <c r="D4" s="278"/>
      <c r="E4" s="1" t="s">
        <v>68</v>
      </c>
    </row>
    <row r="5" spans="1:5" ht="10.5" customHeight="1" thickBot="1" x14ac:dyDescent="0.3">
      <c r="B5" s="108"/>
      <c r="C5" s="109"/>
      <c r="D5" s="108"/>
      <c r="E5" s="1" t="s">
        <v>69</v>
      </c>
    </row>
    <row r="6" spans="1:5" ht="22.5" thickTop="1" thickBot="1" x14ac:dyDescent="0.3">
      <c r="B6" s="110" t="s">
        <v>32</v>
      </c>
      <c r="C6" s="303" t="s">
        <v>208</v>
      </c>
      <c r="D6" s="304"/>
    </row>
    <row r="7" spans="1:5" ht="16.5" thickTop="1" thickBot="1" x14ac:dyDescent="0.3">
      <c r="B7" s="87"/>
      <c r="C7" s="115" t="s">
        <v>140</v>
      </c>
      <c r="D7" s="116" t="s">
        <v>141</v>
      </c>
    </row>
    <row r="8" spans="1:5" x14ac:dyDescent="0.25">
      <c r="A8" s="1" t="s">
        <v>72</v>
      </c>
      <c r="B8" s="118">
        <v>2024</v>
      </c>
      <c r="C8" s="119">
        <v>11877</v>
      </c>
      <c r="D8" s="120">
        <f t="shared" ref="D8:D21" si="0">C8/C9-1</f>
        <v>-1.2225548902195627E-2</v>
      </c>
    </row>
    <row r="9" spans="1:5" x14ac:dyDescent="0.25">
      <c r="A9" s="1"/>
      <c r="B9" s="118">
        <v>2023</v>
      </c>
      <c r="C9" s="119">
        <v>12024</v>
      </c>
      <c r="D9" s="120">
        <f t="shared" si="0"/>
        <v>-0.261833138928111</v>
      </c>
    </row>
    <row r="10" spans="1:5" x14ac:dyDescent="0.25">
      <c r="A10" s="1"/>
      <c r="B10" s="118">
        <v>2022</v>
      </c>
      <c r="C10" s="119">
        <v>16289</v>
      </c>
      <c r="D10" s="120">
        <f t="shared" si="0"/>
        <v>0.48068357422052532</v>
      </c>
    </row>
    <row r="11" spans="1:5" x14ac:dyDescent="0.25">
      <c r="A11" s="1"/>
      <c r="B11" s="118">
        <v>2021</v>
      </c>
      <c r="C11" s="119">
        <v>11001</v>
      </c>
      <c r="D11" s="120">
        <f t="shared" si="0"/>
        <v>0.26681252878857675</v>
      </c>
    </row>
    <row r="12" spans="1:5" x14ac:dyDescent="0.25">
      <c r="A12" s="1" t="s">
        <v>74</v>
      </c>
      <c r="B12" s="118">
        <v>2020</v>
      </c>
      <c r="C12" s="119">
        <v>8684</v>
      </c>
      <c r="D12" s="120">
        <f t="shared" si="0"/>
        <v>-0.54659844410797265</v>
      </c>
    </row>
    <row r="13" spans="1:5" x14ac:dyDescent="0.25">
      <c r="A13" s="1" t="s">
        <v>76</v>
      </c>
      <c r="B13" s="118">
        <v>2019</v>
      </c>
      <c r="C13" s="119">
        <v>19153</v>
      </c>
      <c r="D13" s="120">
        <f t="shared" si="0"/>
        <v>0.14250775471247912</v>
      </c>
    </row>
    <row r="14" spans="1:5" x14ac:dyDescent="0.25">
      <c r="A14" s="1" t="s">
        <v>78</v>
      </c>
      <c r="B14" s="118">
        <v>2018</v>
      </c>
      <c r="C14" s="119">
        <v>16764</v>
      </c>
      <c r="D14" s="120">
        <f t="shared" si="0"/>
        <v>0.10507580751483192</v>
      </c>
    </row>
    <row r="15" spans="1:5" x14ac:dyDescent="0.25">
      <c r="A15" s="1" t="s">
        <v>80</v>
      </c>
      <c r="B15" s="118">
        <v>2017</v>
      </c>
      <c r="C15" s="119">
        <v>15170</v>
      </c>
      <c r="D15" s="120">
        <f>C15/C16-1</f>
        <v>0.1184016514302566</v>
      </c>
    </row>
    <row r="16" spans="1:5" x14ac:dyDescent="0.25">
      <c r="A16" s="1" t="s">
        <v>82</v>
      </c>
      <c r="B16" s="118">
        <v>2016</v>
      </c>
      <c r="C16" s="119">
        <v>13564</v>
      </c>
      <c r="D16" s="120">
        <f>C16/C17-1</f>
        <v>-0.23006187205540107</v>
      </c>
    </row>
    <row r="17" spans="1:4" x14ac:dyDescent="0.25">
      <c r="A17" s="1" t="s">
        <v>84</v>
      </c>
      <c r="B17" s="118">
        <v>2015</v>
      </c>
      <c r="C17" s="119">
        <v>17617</v>
      </c>
      <c r="D17" s="120">
        <f t="shared" si="0"/>
        <v>0.6649655042056517</v>
      </c>
    </row>
    <row r="18" spans="1:4" x14ac:dyDescent="0.25">
      <c r="A18" s="1" t="s">
        <v>86</v>
      </c>
      <c r="B18" s="118">
        <v>2014</v>
      </c>
      <c r="C18" s="119">
        <v>10581</v>
      </c>
      <c r="D18" s="120">
        <f t="shared" si="0"/>
        <v>-7.8762306610408173E-3</v>
      </c>
    </row>
    <row r="19" spans="1:4" x14ac:dyDescent="0.25">
      <c r="A19" s="1" t="s">
        <v>88</v>
      </c>
      <c r="B19" s="118">
        <v>2013</v>
      </c>
      <c r="C19" s="119">
        <v>10665</v>
      </c>
      <c r="D19" s="120">
        <f t="shared" si="0"/>
        <v>0.33982412060301503</v>
      </c>
    </row>
    <row r="20" spans="1:4" x14ac:dyDescent="0.25">
      <c r="A20" s="1" t="s">
        <v>90</v>
      </c>
      <c r="B20" s="118">
        <v>2012</v>
      </c>
      <c r="C20" s="119">
        <v>7960</v>
      </c>
      <c r="D20" s="120">
        <f>C20/C21-1</f>
        <v>-0.52154835607381145</v>
      </c>
    </row>
    <row r="21" spans="1:4" x14ac:dyDescent="0.25">
      <c r="A21" s="1" t="s">
        <v>92</v>
      </c>
      <c r="B21" s="118">
        <v>2011</v>
      </c>
      <c r="C21" s="119">
        <v>16637</v>
      </c>
      <c r="D21" s="120">
        <f t="shared" si="0"/>
        <v>-0.25932686314664766</v>
      </c>
    </row>
    <row r="22" spans="1:4" x14ac:dyDescent="0.25">
      <c r="A22" s="1" t="s">
        <v>94</v>
      </c>
      <c r="B22" s="118">
        <v>2010</v>
      </c>
      <c r="C22" s="119">
        <v>22462</v>
      </c>
      <c r="D22" s="120"/>
    </row>
    <row r="23" spans="1:4" ht="6" customHeight="1" x14ac:dyDescent="0.25"/>
    <row r="24" spans="1:4" x14ac:dyDescent="0.25">
      <c r="B24" s="107" t="s">
        <v>57</v>
      </c>
      <c r="C24" s="107"/>
      <c r="D24" s="107"/>
    </row>
  </sheetData>
  <mergeCells count="2">
    <mergeCell ref="B4:D4"/>
    <mergeCell ref="C6:D6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372CD924-14EC-4B04-B55F-46F3ED622E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E447D8-B576-4ABF-8671-3FCC48093E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E78F9A-7BA3-48F6-B99D-D5C43BB3E5EF}">
  <ds:schemaRefs>
    <ds:schemaRef ds:uri="http://schemas.microsoft.com/office/2006/metadata/properties"/>
    <ds:schemaRef ds:uri="http://schemas.microsoft.com/office/infopath/2007/PartnerControls"/>
    <ds:schemaRef ds:uri="9b82f571-e864-4b98-84bd-930f661ed42a"/>
    <ds:schemaRef ds:uri="8c9163ab-4d1c-46a7-8d61-b5cee27b74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17</vt:i4>
      </vt:variant>
    </vt:vector>
  </HeadingPairs>
  <TitlesOfParts>
    <vt:vector size="66" baseType="lpstr">
      <vt:lpstr>Menú principal</vt:lpstr>
      <vt:lpstr>Resumen indicadores (aloj)</vt:lpstr>
      <vt:lpstr>Resumen indicadores municipios </vt:lpstr>
      <vt:lpstr>Oferta alojativa</vt:lpstr>
      <vt:lpstr>Plazas aloj islas cat y tipolog</vt:lpstr>
      <vt:lpstr>Establecim aloj islas cat y tip</vt:lpstr>
      <vt:lpstr>viajeros entrados</vt:lpstr>
      <vt:lpstr>Viajeros entr evol mensu TF</vt:lpstr>
      <vt:lpstr>Viajeros entr evol mensu TF15-2</vt:lpstr>
      <vt:lpstr>Viajeros entr evol mensu TF </vt:lpstr>
      <vt:lpstr>Viajeros entr evol mensu TF cat</vt:lpstr>
      <vt:lpstr>Viajeros entr evol anual TF cat</vt:lpstr>
      <vt:lpstr>Viajeros entr ti-cat ultimo mes</vt:lpstr>
      <vt:lpstr>viaj entrados lugar resid años </vt:lpstr>
      <vt:lpstr>viaj entrados lugar residencia</vt:lpstr>
      <vt:lpstr>viaj entrados lugar residen acu</vt:lpstr>
      <vt:lpstr>viaj entrados lugar residen hot</vt:lpstr>
      <vt:lpstr>viaj entrados lugar residen apt</vt:lpstr>
      <vt:lpstr>viaj entrados lugar residen cat</vt:lpstr>
      <vt:lpstr>viaj entr lugar res año categor</vt:lpstr>
      <vt:lpstr>viajeros alojados</vt:lpstr>
      <vt:lpstr>viaj aloj lugar residen mes</vt:lpstr>
      <vt:lpstr>viaj alojados lugar residen acu</vt:lpstr>
      <vt:lpstr>Pernoctaciones</vt:lpstr>
      <vt:lpstr>Pernoctaciones evol mensu TF</vt:lpstr>
      <vt:lpstr>Pernocta evol mensu TF cat</vt:lpstr>
      <vt:lpstr>Pernoctaciones lugar reside</vt:lpstr>
      <vt:lpstr>Pernoctaciones lugar residen ac</vt:lpstr>
      <vt:lpstr>Pernoctaciones lugar reside año</vt:lpstr>
      <vt:lpstr>Estancia media</vt:lpstr>
      <vt:lpstr>EM evol menusual lugar resd</vt:lpstr>
      <vt:lpstr>EM evol mensu TF cat </vt:lpstr>
      <vt:lpstr>Tasa de ocupación</vt:lpstr>
      <vt:lpstr>tasa de ocupación evol mens</vt:lpstr>
      <vt:lpstr>indicadores rentabilidad</vt:lpstr>
      <vt:lpstr>ADR RevPAR ingresos totales ult</vt:lpstr>
      <vt:lpstr>ADR municipios</vt:lpstr>
      <vt:lpstr>RevPAR  municipios</vt:lpstr>
      <vt:lpstr>viajeros españoles</vt:lpstr>
      <vt:lpstr>distribución españoles x Resid</vt:lpstr>
      <vt:lpstr>distribución españoles x cate</vt:lpstr>
      <vt:lpstr>distribución peninsulare x cate</vt:lpstr>
      <vt:lpstr>distribución canarios x cate</vt:lpstr>
      <vt:lpstr>distribución españoles x mun al</vt:lpstr>
      <vt:lpstr>distribución peninsula x munici</vt:lpstr>
      <vt:lpstr>distribución canarias x munici</vt:lpstr>
      <vt:lpstr>evolución anual viaj ent españo</vt:lpstr>
      <vt:lpstr>evolución anual viaj ent penins</vt:lpstr>
      <vt:lpstr>evolución anual viaj ent canari</vt:lpstr>
      <vt:lpstr>'distribución canarias x munici'!Área_de_impresión</vt:lpstr>
      <vt:lpstr>'distribución canarios x cate'!Área_de_impresión</vt:lpstr>
      <vt:lpstr>'distribución españoles x cate'!Área_de_impresión</vt:lpstr>
      <vt:lpstr>'distribución españoles x mun al'!Área_de_impresión</vt:lpstr>
      <vt:lpstr>'distribución españoles x Resid'!Área_de_impresión</vt:lpstr>
      <vt:lpstr>'distribución peninsula x munici'!Área_de_impresión</vt:lpstr>
      <vt:lpstr>'distribución peninsulare x cate'!Área_de_impresión</vt:lpstr>
      <vt:lpstr>'Pernoctaciones lugar reside'!Área_de_impresión</vt:lpstr>
      <vt:lpstr>'Pernoctaciones lugar reside año'!Área_de_impresión</vt:lpstr>
      <vt:lpstr>'Pernoctaciones lugar residen ac'!Área_de_impresión</vt:lpstr>
      <vt:lpstr>'viaj alojados lugar residen acu'!Área_de_impresión</vt:lpstr>
      <vt:lpstr>'viaj entr lugar res año categor'!Área_de_impresión</vt:lpstr>
      <vt:lpstr>'viaj entrados lugar resid años '!Área_de_impresión</vt:lpstr>
      <vt:lpstr>'viaj entrados lugar residen acu'!Área_de_impresión</vt:lpstr>
      <vt:lpstr>'viaj entrados lugar residen apt'!Área_de_impresión</vt:lpstr>
      <vt:lpstr>'viaj entrados lugar residen cat'!Área_de_impresión</vt:lpstr>
      <vt:lpstr>'viaj entrados lugar residen hot'!Área_de_impresión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2025-07-29T12:55:37Z</dcterms:created>
  <dcterms:modified xsi:type="dcterms:W3CDTF">2025-07-29T13:49:58Z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  <property fmtid="{D5CDD505-2E9C-101B-9397-08002B2CF9AE}" pid="3" name="MediaServiceImageTags">
    <vt:lpwstr/>
  </property>
</Properties>
</file>