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9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theme/themeOverride2.xml" ContentType="application/vnd.openxmlformats-officedocument.themeOverride+xml"/>
  <Override PartName="/xl/drawings/drawing10.xml" ContentType="application/vnd.openxmlformats-officedocument.drawingml.chartshapes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theme/themeOverride3.xml" ContentType="application/vnd.openxmlformats-officedocument.themeOverride+xml"/>
  <Override PartName="/xl/drawings/drawing11.xml" ContentType="application/vnd.openxmlformats-officedocument.drawingml.chartshapes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theme/themeOverride4.xml" ContentType="application/vnd.openxmlformats-officedocument.themeOverride+xml"/>
  <Override PartName="/xl/drawings/drawing12.xml" ContentType="application/vnd.openxmlformats-officedocument.drawingml.chartshapes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theme/themeOverride5.xml" ContentType="application/vnd.openxmlformats-officedocument.themeOverride+xml"/>
  <Override PartName="/xl/drawings/drawing13.xml" ContentType="application/vnd.openxmlformats-officedocument.drawingml.chartshapes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theme/themeOverride6.xml" ContentType="application/vnd.openxmlformats-officedocument.themeOverride+xml"/>
  <Override PartName="/xl/drawings/drawing14.xml" ContentType="application/vnd.openxmlformats-officedocument.drawingml.chartshapes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7.xml" ContentType="application/vnd.openxmlformats-officedocument.themeOverride+xml"/>
  <Override PartName="/xl/drawings/drawing15.xml" ContentType="application/vnd.openxmlformats-officedocument.drawingml.chartshapes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theme/themeOverride8.xml" ContentType="application/vnd.openxmlformats-officedocument.themeOverride+xml"/>
  <Override PartName="/xl/drawings/drawing16.xml" ContentType="application/vnd.openxmlformats-officedocument.drawingml.chartshapes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theme/themeOverride9.xml" ContentType="application/vnd.openxmlformats-officedocument.themeOverride+xml"/>
  <Override PartName="/xl/drawings/drawing17.xml" ContentType="application/vnd.openxmlformats-officedocument.drawingml.chartshapes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theme/themeOverride10.xml" ContentType="application/vnd.openxmlformats-officedocument.themeOverride+xml"/>
  <Override PartName="/xl/drawings/drawing18.xml" ContentType="application/vnd.openxmlformats-officedocument.drawingml.chartshapes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theme/themeOverride11.xml" ContentType="application/vnd.openxmlformats-officedocument.themeOverride+xml"/>
  <Override PartName="/xl/drawings/drawing19.xml" ContentType="application/vnd.openxmlformats-officedocument.drawingml.chartshapes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theme/themeOverride12.xml" ContentType="application/vnd.openxmlformats-officedocument.themeOverride+xml"/>
  <Override PartName="/xl/drawings/drawing20.xml" ContentType="application/vnd.openxmlformats-officedocument.drawingml.chartshapes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theme/themeOverride13.xml" ContentType="application/vnd.openxmlformats-officedocument.themeOverride+xml"/>
  <Override PartName="/xl/drawings/drawing21.xml" ContentType="application/vnd.openxmlformats-officedocument.drawingml.chartshapes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theme/themeOverride14.xml" ContentType="application/vnd.openxmlformats-officedocument.themeOverride+xml"/>
  <Override PartName="/xl/drawings/drawing24.xml" ContentType="application/vnd.openxmlformats-officedocument.drawingml.chartshapes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theme/themeOverride15.xml" ContentType="application/vnd.openxmlformats-officedocument.themeOverride+xml"/>
  <Override PartName="/xl/drawings/drawing25.xml" ContentType="application/vnd.openxmlformats-officedocument.drawingml.chartshapes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theme/themeOverride16.xml" ContentType="application/vnd.openxmlformats-officedocument.themeOverride+xml"/>
  <Override PartName="/xl/drawings/drawing26.xml" ContentType="application/vnd.openxmlformats-officedocument.drawingml.chartshapes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theme/themeOverride17.xml" ContentType="application/vnd.openxmlformats-officedocument.themeOverride+xml"/>
  <Override PartName="/xl/drawings/drawing27.xml" ContentType="application/vnd.openxmlformats-officedocument.drawingml.chartshapes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theme/themeOverride18.xml" ContentType="application/vnd.openxmlformats-officedocument.themeOverride+xml"/>
  <Override PartName="/xl/drawings/drawing28.xml" ContentType="application/vnd.openxmlformats-officedocument.drawingml.chartshapes+xml"/>
  <Override PartName="/xl/drawings/drawing29.xml" ContentType="application/vnd.openxmlformats-officedocument.drawing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theme/themeOverride19.xml" ContentType="application/vnd.openxmlformats-officedocument.themeOverride+xml"/>
  <Override PartName="/xl/drawings/drawing30.xml" ContentType="application/vnd.openxmlformats-officedocument.drawingml.chartshapes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theme/themeOverride20.xml" ContentType="application/vnd.openxmlformats-officedocument.themeOverride+xml"/>
  <Override PartName="/xl/drawings/drawing31.xml" ContentType="application/vnd.openxmlformats-officedocument.drawingml.chartshapes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theme/themeOverride21.xml" ContentType="application/vnd.openxmlformats-officedocument.themeOverride+xml"/>
  <Override PartName="/xl/drawings/drawing32.xml" ContentType="application/vnd.openxmlformats-officedocument.drawingml.chartshapes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charts/chart22.xml" ContentType="application/vnd.openxmlformats-officedocument.drawingml.chart+xml"/>
  <Override PartName="/xl/theme/themeOverride22.xml" ContentType="application/vnd.openxmlformats-officedocument.themeOverride+xml"/>
  <Override PartName="/xl/drawings/drawing35.xml" ContentType="application/vnd.openxmlformats-officedocument.drawingml.chartshapes+xml"/>
  <Override PartName="/xl/drawings/drawing36.xml" ContentType="application/vnd.openxmlformats-officedocument.drawing+xml"/>
  <Override PartName="/xl/charts/chart23.xml" ContentType="application/vnd.openxmlformats-officedocument.drawingml.chart+xml"/>
  <Override PartName="/xl/theme/themeOverride23.xml" ContentType="application/vnd.openxmlformats-officedocument.themeOverride+xml"/>
  <Override PartName="/xl/drawings/drawing37.xml" ContentType="application/vnd.openxmlformats-officedocument.drawingml.chartshapes+xml"/>
  <Override PartName="/xl/drawings/drawing38.xml" ContentType="application/vnd.openxmlformats-officedocument.drawing+xml"/>
  <Override PartName="/xl/charts/chart24.xml" ContentType="application/vnd.openxmlformats-officedocument.drawingml.chart+xml"/>
  <Override PartName="/xl/theme/themeOverride24.xml" ContentType="application/vnd.openxmlformats-officedocument.themeOverride+xml"/>
  <Override PartName="/xl/drawings/drawing39.xml" ContentType="application/vnd.openxmlformats-officedocument.drawingml.chartshapes+xml"/>
  <Override PartName="/xl/drawings/drawing40.xml" ContentType="application/vnd.openxmlformats-officedocument.drawing+xml"/>
  <Override PartName="/xl/charts/chart25.xml" ContentType="application/vnd.openxmlformats-officedocument.drawingml.chart+xml"/>
  <Override PartName="/xl/theme/themeOverride25.xml" ContentType="application/vnd.openxmlformats-officedocument.themeOverride+xml"/>
  <Override PartName="/xl/drawings/drawing41.xml" ContentType="application/vnd.openxmlformats-officedocument.drawingml.chartshapes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charts/chart26.xml" ContentType="application/vnd.openxmlformats-officedocument.drawingml.chart+xml"/>
  <Override PartName="/xl/theme/themeOverride26.xml" ContentType="application/vnd.openxmlformats-officedocument.themeOverride+xml"/>
  <Override PartName="/xl/drawings/drawing46.xml" ContentType="application/vnd.openxmlformats-officedocument.drawingml.chartshapes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charts/chart27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theme/themeOverride27.xml" ContentType="application/vnd.openxmlformats-officedocument.themeOverride+xml"/>
  <Override PartName="/xl/drawings/drawing49.xml" ContentType="application/vnd.openxmlformats-officedocument.drawingml.chartshapes+xml"/>
  <Override PartName="/xl/charts/chart28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theme/themeOverride28.xml" ContentType="application/vnd.openxmlformats-officedocument.themeOverride+xml"/>
  <Override PartName="/xl/drawings/drawing50.xml" ContentType="application/vnd.openxmlformats-officedocument.drawingml.chartshapes+xml"/>
  <Override PartName="/xl/charts/chart29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theme/themeOverride29.xml" ContentType="application/vnd.openxmlformats-officedocument.themeOverride+xml"/>
  <Override PartName="/xl/drawings/drawing51.xml" ContentType="application/vnd.openxmlformats-officedocument.drawingml.chartshapes+xml"/>
  <Override PartName="/xl/charts/chart30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theme/themeOverride30.xml" ContentType="application/vnd.openxmlformats-officedocument.themeOverride+xml"/>
  <Override PartName="/xl/drawings/drawing52.xml" ContentType="application/vnd.openxmlformats-officedocument.drawingml.chartshapes+xml"/>
  <Override PartName="/xl/charts/chart31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theme/themeOverride31.xml" ContentType="application/vnd.openxmlformats-officedocument.themeOverride+xml"/>
  <Override PartName="/xl/drawings/drawing53.xml" ContentType="application/vnd.openxmlformats-officedocument.drawingml.chartshapes+xml"/>
  <Override PartName="/xl/charts/chart32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theme/themeOverride32.xml" ContentType="application/vnd.openxmlformats-officedocument.themeOverride+xml"/>
  <Override PartName="/xl/drawings/drawing54.xml" ContentType="application/vnd.openxmlformats-officedocument.drawingml.chartshapes+xml"/>
  <Override PartName="/xl/charts/chart33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theme/themeOverride33.xml" ContentType="application/vnd.openxmlformats-officedocument.themeOverride+xml"/>
  <Override PartName="/xl/drawings/drawing55.xml" ContentType="application/vnd.openxmlformats-officedocument.drawingml.chartshapes+xml"/>
  <Override PartName="/xl/charts/chart34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theme/themeOverride34.xml" ContentType="application/vnd.openxmlformats-officedocument.themeOverride+xml"/>
  <Override PartName="/xl/drawings/drawing56.xml" ContentType="application/vnd.openxmlformats-officedocument.drawingml.chartshapes+xml"/>
  <Override PartName="/xl/charts/chart35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theme/themeOverride35.xml" ContentType="application/vnd.openxmlformats-officedocument.themeOverride+xml"/>
  <Override PartName="/xl/drawings/drawing57.xml" ContentType="application/vnd.openxmlformats-officedocument.drawingml.chartshapes+xml"/>
  <Override PartName="/xl/charts/chart36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theme/themeOverride36.xml" ContentType="application/vnd.openxmlformats-officedocument.themeOverride+xml"/>
  <Override PartName="/xl/drawings/drawing58.xml" ContentType="application/vnd.openxmlformats-officedocument.drawingml.chartshapes+xml"/>
  <Override PartName="/xl/charts/chart37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theme/themeOverride37.xml" ContentType="application/vnd.openxmlformats-officedocument.themeOverride+xml"/>
  <Override PartName="/xl/drawings/drawing59.xml" ContentType="application/vnd.openxmlformats-officedocument.drawingml.chartshapes+xml"/>
  <Override PartName="/xl/charts/chart38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theme/themeOverride38.xml" ContentType="application/vnd.openxmlformats-officedocument.themeOverride+xml"/>
  <Override PartName="/xl/drawings/drawing60.xml" ContentType="application/vnd.openxmlformats-officedocument.drawingml.chartshapes+xml"/>
  <Override PartName="/xl/drawings/drawing61.xml" ContentType="application/vnd.openxmlformats-officedocument.drawing+xml"/>
  <Override PartName="/xl/charts/chart39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theme/themeOverride39.xml" ContentType="application/vnd.openxmlformats-officedocument.themeOverride+xml"/>
  <Override PartName="/xl/drawings/drawing62.xml" ContentType="application/vnd.openxmlformats-officedocument.drawingml.chartshapes+xml"/>
  <Override PartName="/xl/charts/chart40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theme/themeOverride40.xml" ContentType="application/vnd.openxmlformats-officedocument.themeOverride+xml"/>
  <Override PartName="/xl/drawings/drawing63.xml" ContentType="application/vnd.openxmlformats-officedocument.drawingml.chartshapes+xml"/>
  <Override PartName="/xl/charts/chart41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theme/themeOverride41.xml" ContentType="application/vnd.openxmlformats-officedocument.themeOverride+xml"/>
  <Override PartName="/xl/drawings/drawing64.xml" ContentType="application/vnd.openxmlformats-officedocument.drawingml.chartshapes+xml"/>
  <Override PartName="/xl/charts/chart42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theme/themeOverride42.xml" ContentType="application/vnd.openxmlformats-officedocument.themeOverride+xml"/>
  <Override PartName="/xl/drawings/drawing65.xml" ContentType="application/vnd.openxmlformats-officedocument.drawingml.chartshapes+xml"/>
  <Override PartName="/xl/charts/chart43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theme/themeOverride43.xml" ContentType="application/vnd.openxmlformats-officedocument.themeOverride+xml"/>
  <Override PartName="/xl/drawings/drawing66.xml" ContentType="application/vnd.openxmlformats-officedocument.drawingml.chartshapes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charts/chart44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theme/themeOverride44.xml" ContentType="application/vnd.openxmlformats-officedocument.themeOverride+xml"/>
  <Override PartName="/xl/drawings/drawing71.xml" ContentType="application/vnd.openxmlformats-officedocument.drawingml.chartshapes+xml"/>
  <Override PartName="/xl/charts/chart45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theme/themeOverride45.xml" ContentType="application/vnd.openxmlformats-officedocument.themeOverride+xml"/>
  <Override PartName="/xl/drawings/drawing72.xml" ContentType="application/vnd.openxmlformats-officedocument.drawingml.chartshapes+xml"/>
  <Override PartName="/xl/charts/chart46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theme/themeOverride46.xml" ContentType="application/vnd.openxmlformats-officedocument.themeOverride+xml"/>
  <Override PartName="/xl/drawings/drawing73.xml" ContentType="application/vnd.openxmlformats-officedocument.drawingml.chartshapes+xml"/>
  <Override PartName="/xl/charts/chart47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theme/themeOverride47.xml" ContentType="application/vnd.openxmlformats-officedocument.themeOverride+xml"/>
  <Override PartName="/xl/drawings/drawing74.xml" ContentType="application/vnd.openxmlformats-officedocument.drawingml.chartshapes+xml"/>
  <Override PartName="/xl/charts/chart48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theme/themeOverride48.xml" ContentType="application/vnd.openxmlformats-officedocument.themeOverride+xml"/>
  <Override PartName="/xl/drawings/drawing75.xml" ContentType="application/vnd.openxmlformats-officedocument.drawingml.chartshapes+xml"/>
  <Override PartName="/xl/charts/chart49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theme/themeOverride49.xml" ContentType="application/vnd.openxmlformats-officedocument.themeOverride+xml"/>
  <Override PartName="/xl/drawings/drawing76.xml" ContentType="application/vnd.openxmlformats-officedocument.drawingml.chartshapes+xml"/>
  <Override PartName="/xl/charts/chart50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theme/themeOverride50.xml" ContentType="application/vnd.openxmlformats-officedocument.themeOverride+xml"/>
  <Override PartName="/xl/drawings/drawing77.xml" ContentType="application/vnd.openxmlformats-officedocument.drawingml.chartshapes+xml"/>
  <Override PartName="/xl/charts/chart51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theme/themeOverride51.xml" ContentType="application/vnd.openxmlformats-officedocument.themeOverride+xml"/>
  <Override PartName="/xl/drawings/drawing78.xml" ContentType="application/vnd.openxmlformats-officedocument.drawingml.chartshapes+xml"/>
  <Override PartName="/xl/charts/chart52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theme/themeOverride52.xml" ContentType="application/vnd.openxmlformats-officedocument.themeOverride+xml"/>
  <Override PartName="/xl/drawings/drawing79.xml" ContentType="application/vnd.openxmlformats-officedocument.drawingml.chartshapes+xml"/>
  <Override PartName="/xl/charts/chart53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theme/themeOverride53.xml" ContentType="application/vnd.openxmlformats-officedocument.themeOverride+xml"/>
  <Override PartName="/xl/drawings/drawing80.xml" ContentType="application/vnd.openxmlformats-officedocument.drawingml.chartshapes+xml"/>
  <Override PartName="/xl/charts/chart54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theme/themeOverride54.xml" ContentType="application/vnd.openxmlformats-officedocument.themeOverride+xml"/>
  <Override PartName="/xl/drawings/drawing81.xml" ContentType="application/vnd.openxmlformats-officedocument.drawingml.chartshapes+xml"/>
  <Override PartName="/xl/charts/chart55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theme/themeOverride55.xml" ContentType="application/vnd.openxmlformats-officedocument.themeOverride+xml"/>
  <Override PartName="/xl/drawings/drawing82.xml" ContentType="application/vnd.openxmlformats-officedocument.drawingml.chartshapes+xml"/>
  <Override PartName="/xl/charts/chart56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theme/themeOverride56.xml" ContentType="application/vnd.openxmlformats-officedocument.themeOverride+xml"/>
  <Override PartName="/xl/drawings/drawing83.xml" ContentType="application/vnd.openxmlformats-officedocument.drawingml.chartshapes+xml"/>
  <Override PartName="/xl/drawings/drawing84.xml" ContentType="application/vnd.openxmlformats-officedocument.drawing+xml"/>
  <Override PartName="/xl/charts/chart57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theme/themeOverride57.xml" ContentType="application/vnd.openxmlformats-officedocument.themeOverride+xml"/>
  <Override PartName="/xl/drawings/drawing85.xml" ContentType="application/vnd.openxmlformats-officedocument.drawingml.chartshapes+xml"/>
  <Override PartName="/xl/charts/chart58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theme/themeOverride58.xml" ContentType="application/vnd.openxmlformats-officedocument.themeOverride+xml"/>
  <Override PartName="/xl/drawings/drawing86.xml" ContentType="application/vnd.openxmlformats-officedocument.drawingml.chartshapes+xml"/>
  <Override PartName="/xl/charts/chart59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theme/themeOverride59.xml" ContentType="application/vnd.openxmlformats-officedocument.themeOverride+xml"/>
  <Override PartName="/xl/drawings/drawing87.xml" ContentType="application/vnd.openxmlformats-officedocument.drawingml.chartshapes+xml"/>
  <Override PartName="/xl/charts/chart60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theme/themeOverride60.xml" ContentType="application/vnd.openxmlformats-officedocument.themeOverride+xml"/>
  <Override PartName="/xl/drawings/drawing88.xml" ContentType="application/vnd.openxmlformats-officedocument.drawingml.chartshapes+xml"/>
  <Override PartName="/xl/charts/chart61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theme/themeOverride61.xml" ContentType="application/vnd.openxmlformats-officedocument.themeOverride+xml"/>
  <Override PartName="/xl/drawings/drawing89.xml" ContentType="application/vnd.openxmlformats-officedocument.drawingml.chartshapes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charts/chart62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theme/themeOverride62.xml" ContentType="application/vnd.openxmlformats-officedocument.themeOverride+xml"/>
  <Override PartName="/xl/drawings/drawing92.xml" ContentType="application/vnd.openxmlformats-officedocument.drawingml.chartshapes+xml"/>
  <Override PartName="/xl/charts/chart63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theme/themeOverride63.xml" ContentType="application/vnd.openxmlformats-officedocument.themeOverride+xml"/>
  <Override PartName="/xl/drawings/drawing93.xml" ContentType="application/vnd.openxmlformats-officedocument.drawingml.chartshapes+xml"/>
  <Override PartName="/xl/charts/chart64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theme/themeOverride64.xml" ContentType="application/vnd.openxmlformats-officedocument.themeOverride+xml"/>
  <Override PartName="/xl/drawings/drawing94.xml" ContentType="application/vnd.openxmlformats-officedocument.drawingml.chartshapes+xml"/>
  <Override PartName="/xl/charts/chart65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theme/themeOverride65.xml" ContentType="application/vnd.openxmlformats-officedocument.themeOverride+xml"/>
  <Override PartName="/xl/drawings/drawing95.xml" ContentType="application/vnd.openxmlformats-officedocument.drawingml.chartshapes+xml"/>
  <Override PartName="/xl/charts/chart66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theme/themeOverride66.xml" ContentType="application/vnd.openxmlformats-officedocument.themeOverride+xml"/>
  <Override PartName="/xl/drawings/drawing96.xml" ContentType="application/vnd.openxmlformats-officedocument.drawingml.chartshapes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charts/chart67.xml" ContentType="application/vnd.openxmlformats-officedocument.drawingml.chart+xml"/>
  <Override PartName="/xl/drawings/drawing101.xml" ContentType="application/vnd.openxmlformats-officedocument.drawingml.chartshapes+xml"/>
  <Override PartName="/xl/charts/chart68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drawings/drawing102.xml" ContentType="application/vnd.openxmlformats-officedocument.drawingml.chartshapes+xml"/>
  <Override PartName="/xl/charts/chart69.xml" ContentType="application/vnd.openxmlformats-officedocument.drawingml.chart+xml"/>
  <Override PartName="/xl/theme/themeOverride67.xml" ContentType="application/vnd.openxmlformats-officedocument.themeOverride+xml"/>
  <Override PartName="/xl/drawings/drawing103.xml" ContentType="application/vnd.openxmlformats-officedocument.drawingml.chartshapes+xml"/>
  <Override PartName="/xl/drawings/drawing104.xml" ContentType="application/vnd.openxmlformats-officedocument.drawing+xml"/>
  <Override PartName="/xl/charts/chart70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drawings/drawing105.xml" ContentType="application/vnd.openxmlformats-officedocument.drawingml.chartshapes+xml"/>
  <Override PartName="/xl/charts/chart71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drawings/drawing106.xml" ContentType="application/vnd.openxmlformats-officedocument.drawingml.chartshapes+xml"/>
  <Override PartName="/xl/drawings/drawing107.xml" ContentType="application/vnd.openxmlformats-officedocument.drawing+xml"/>
  <Override PartName="/xl/charts/chart72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drawings/drawing108.xml" ContentType="application/vnd.openxmlformats-officedocument.drawingml.chartshapes+xml"/>
  <Override PartName="/xl/charts/chart73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drawings/drawing109.xml" ContentType="application/vnd.openxmlformats-officedocument.drawingml.chartshapes+xml"/>
  <Override PartName="/xl/drawings/drawing110.xml" ContentType="application/vnd.openxmlformats-officedocument.drawing+xml"/>
  <Override PartName="/xl/charts/chart74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drawings/drawing111.xml" ContentType="application/vnd.openxmlformats-officedocument.drawingml.chartshapes+xml"/>
  <Override PartName="/xl/charts/chart75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xl/drawings/drawing112.xml" ContentType="application/vnd.openxmlformats-officedocument.drawingml.chartshapes+xml"/>
  <Override PartName="/xl/drawings/drawing113.xml" ContentType="application/vnd.openxmlformats-officedocument.drawing+xml"/>
  <Override PartName="/xl/charts/chart76.xml" ContentType="application/vnd.openxmlformats-officedocument.drawingml.chart+xml"/>
  <Override PartName="/xl/charts/style69.xml" ContentType="application/vnd.ms-office.chartstyle+xml"/>
  <Override PartName="/xl/charts/colors69.xml" ContentType="application/vnd.ms-office.chartcolorstyle+xml"/>
  <Override PartName="/xl/drawings/drawing114.xml" ContentType="application/vnd.openxmlformats-officedocument.drawingml.chartshapes+xml"/>
  <Override PartName="/xl/charts/chart77.xml" ContentType="application/vnd.openxmlformats-officedocument.drawingml.chart+xml"/>
  <Override PartName="/xl/theme/themeOverride68.xml" ContentType="application/vnd.openxmlformats-officedocument.themeOverride+xml"/>
  <Override PartName="/xl/drawings/drawing115.xml" ContentType="application/vnd.openxmlformats-officedocument.drawingml.chartshapes+xml"/>
  <Override PartName="/xl/charts/chart78.xml" ContentType="application/vnd.openxmlformats-officedocument.drawingml.chart+xml"/>
  <Override PartName="/xl/charts/style70.xml" ContentType="application/vnd.ms-office.chartstyle+xml"/>
  <Override PartName="/xl/charts/colors70.xml" ContentType="application/vnd.ms-office.chartcolorstyle+xml"/>
  <Override PartName="/xl/drawings/drawing116.xml" ContentType="application/vnd.openxmlformats-officedocument.drawingml.chartshapes+xml"/>
  <Override PartName="/xl/drawings/drawing117.xml" ContentType="application/vnd.openxmlformats-officedocument.drawing+xml"/>
  <Override PartName="/xl/charts/chart79.xml" ContentType="application/vnd.openxmlformats-officedocument.drawingml.chart+xml"/>
  <Override PartName="/xl/charts/style71.xml" ContentType="application/vnd.ms-office.chartstyle+xml"/>
  <Override PartName="/xl/charts/colors71.xml" ContentType="application/vnd.ms-office.chartcolorstyle+xml"/>
  <Override PartName="/xl/drawings/drawing118.xml" ContentType="application/vnd.openxmlformats-officedocument.drawingml.chartshapes+xml"/>
  <Override PartName="/xl/charts/chart80.xml" ContentType="application/vnd.openxmlformats-officedocument.drawingml.chart+xml"/>
  <Override PartName="/xl/theme/themeOverride69.xml" ContentType="application/vnd.openxmlformats-officedocument.themeOverride+xml"/>
  <Override PartName="/xl/drawings/drawing119.xml" ContentType="application/vnd.openxmlformats-officedocument.drawingml.chartshapes+xml"/>
  <Override PartName="/xl/charts/chart81.xml" ContentType="application/vnd.openxmlformats-officedocument.drawingml.chart+xml"/>
  <Override PartName="/xl/charts/style72.xml" ContentType="application/vnd.ms-office.chartstyle+xml"/>
  <Override PartName="/xl/charts/colors72.xml" ContentType="application/vnd.ms-office.chartcolorstyle+xml"/>
  <Override PartName="/xl/drawings/drawing120.xml" ContentType="application/vnd.openxmlformats-officedocument.drawingml.chartshapes+xml"/>
  <Override PartName="/xl/drawings/drawing121.xml" ContentType="application/vnd.openxmlformats-officedocument.drawing+xml"/>
  <Override PartName="/xl/charts/chart82.xml" ContentType="application/vnd.openxmlformats-officedocument.drawingml.chart+xml"/>
  <Override PartName="/xl/charts/style73.xml" ContentType="application/vnd.ms-office.chartstyle+xml"/>
  <Override PartName="/xl/charts/colors73.xml" ContentType="application/vnd.ms-office.chartcolorstyle+xml"/>
  <Override PartName="/xl/drawings/drawing122.xml" ContentType="application/vnd.openxmlformats-officedocument.drawingml.chartshapes+xml"/>
  <Override PartName="/xl/charts/chart83.xml" ContentType="application/vnd.openxmlformats-officedocument.drawingml.chart+xml"/>
  <Override PartName="/xl/theme/themeOverride70.xml" ContentType="application/vnd.openxmlformats-officedocument.themeOverride+xml"/>
  <Override PartName="/xl/drawings/drawing123.xml" ContentType="application/vnd.openxmlformats-officedocument.drawingml.chartshapes+xml"/>
  <Override PartName="/xl/charts/chart84.xml" ContentType="application/vnd.openxmlformats-officedocument.drawingml.chart+xml"/>
  <Override PartName="/xl/charts/style74.xml" ContentType="application/vnd.ms-office.chartstyle+xml"/>
  <Override PartName="/xl/charts/colors74.xml" ContentType="application/vnd.ms-office.chartcolorstyle+xml"/>
  <Override PartName="/xl/drawings/drawing124.xml" ContentType="application/vnd.openxmlformats-officedocument.drawingml.chartshapes+xml"/>
  <Override PartName="/xl/drawings/drawing125.xml" ContentType="application/vnd.openxmlformats-officedocument.drawing+xml"/>
  <Override PartName="/xl/charts/chart85.xml" ContentType="application/vnd.openxmlformats-officedocument.drawingml.chart+xml"/>
  <Override PartName="/xl/charts/style75.xml" ContentType="application/vnd.ms-office.chartstyle+xml"/>
  <Override PartName="/xl/charts/colors75.xml" ContentType="application/vnd.ms-office.chartcolorstyle+xml"/>
  <Override PartName="/xl/theme/themeOverride71.xml" ContentType="application/vnd.openxmlformats-officedocument.themeOverride+xml"/>
  <Override PartName="/xl/drawings/drawing126.xml" ContentType="application/vnd.openxmlformats-officedocument.drawingml.chartshapes+xml"/>
  <Override PartName="/xl/drawings/drawing127.xml" ContentType="application/vnd.openxmlformats-officedocument.drawing+xml"/>
  <Override PartName="/xl/charts/chart86.xml" ContentType="application/vnd.openxmlformats-officedocument.drawingml.chart+xml"/>
  <Override PartName="/xl/charts/style76.xml" ContentType="application/vnd.ms-office.chartstyle+xml"/>
  <Override PartName="/xl/charts/colors76.xml" ContentType="application/vnd.ms-office.chartcolorstyle+xml"/>
  <Override PartName="/xl/theme/themeOverride72.xml" ContentType="application/vnd.openxmlformats-officedocument.themeOverride+xml"/>
  <Override PartName="/xl/drawings/drawing128.xml" ContentType="application/vnd.openxmlformats-officedocument.drawingml.chartshapes+xml"/>
  <Override PartName="/xl/drawings/drawing129.xml" ContentType="application/vnd.openxmlformats-officedocument.drawing+xml"/>
  <Override PartName="/xl/charts/chart87.xml" ContentType="application/vnd.openxmlformats-officedocument.drawingml.chart+xml"/>
  <Override PartName="/xl/charts/style77.xml" ContentType="application/vnd.ms-office.chartstyle+xml"/>
  <Override PartName="/xl/charts/colors77.xml" ContentType="application/vnd.ms-office.chartcolorstyle+xml"/>
  <Override PartName="/xl/theme/themeOverride73.xml" ContentType="application/vnd.openxmlformats-officedocument.themeOverride+xml"/>
  <Override PartName="/xl/drawings/drawing130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 codeName="ThisWorkbook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Encuesta Alojam Turísticos (ISTAC)/2025/Municipios/enero/"/>
    </mc:Choice>
  </mc:AlternateContent>
  <xr:revisionPtr revIDLastSave="169" documentId="8_{DC6CDCB2-6EB4-42E7-BF4E-CC6A891D81A7}" xr6:coauthVersionLast="47" xr6:coauthVersionMax="47" xr10:uidLastSave="{ED068440-CF81-41F6-9913-4949A27DEA32}"/>
  <bookViews>
    <workbookView xWindow="28680" yWindow="6060" windowWidth="29040" windowHeight="15720" xr2:uid="{72E9C905-786A-4165-A1D5-54C8C60544D7}"/>
  </bookViews>
  <sheets>
    <sheet name="Menú principal" sheetId="1" r:id="rId1"/>
    <sheet name="Resumen indicadores (aloj)" sheetId="2" r:id="rId2"/>
    <sheet name="Resumen indicadores municipios " sheetId="3" r:id="rId3"/>
    <sheet name="Oferta alojativa" sheetId="4" r:id="rId4"/>
    <sheet name="Plazas aloj islas cat y tipolog" sheetId="5" r:id="rId5"/>
    <sheet name="Establecim aloj islas cat y tip" sheetId="6" r:id="rId6"/>
    <sheet name="viajeros entrados" sheetId="7" r:id="rId7"/>
    <sheet name="Viajeros entr evol mensu TF" sheetId="47" r:id="rId8"/>
    <sheet name="Viajeros entr evol mensu TF15-2" sheetId="9" r:id="rId9"/>
    <sheet name="Viajeros entr evol mensu TF cat" sheetId="48" r:id="rId10"/>
    <sheet name="Viajeros entr evol anual TF cat" sheetId="11" r:id="rId11"/>
    <sheet name="Viajeros entr ti-cat ultimo mes" sheetId="12" r:id="rId12"/>
    <sheet name="viaj entrados lugar resid años " sheetId="13" r:id="rId13"/>
    <sheet name="viaj entrados lugar residencia" sheetId="14" r:id="rId14"/>
    <sheet name="viaj entrados lugar residen hot" sheetId="16" r:id="rId15"/>
    <sheet name="viaj entrados lugar residen apt" sheetId="17" r:id="rId16"/>
    <sheet name="viaj entrados lugar residen cat" sheetId="18" r:id="rId17"/>
    <sheet name="viaj entr lugar res año categor" sheetId="19" r:id="rId18"/>
    <sheet name="viajeros alojados" sheetId="20" r:id="rId19"/>
    <sheet name="viaj alojados lugar residen acu" sheetId="22" r:id="rId20"/>
    <sheet name="Pernoctaciones" sheetId="23" r:id="rId21"/>
    <sheet name="Pernoctaciones evol mensu TF" sheetId="49" r:id="rId22"/>
    <sheet name="Pernocta evol mensu TF cat" sheetId="50" r:id="rId23"/>
    <sheet name="Pernoctaciones lugar reside" sheetId="26" r:id="rId24"/>
    <sheet name="Pernoctaciones lugar reside año" sheetId="28" r:id="rId25"/>
    <sheet name="Estancia media" sheetId="29" r:id="rId26"/>
    <sheet name="EM evol menusual lugar resd" sheetId="30" r:id="rId27"/>
    <sheet name="EM evol mensu TF cat " sheetId="31" r:id="rId28"/>
    <sheet name="Tasa de ocupación" sheetId="32" r:id="rId29"/>
    <sheet name="tasa de ocupación evol mens" sheetId="33" r:id="rId30"/>
    <sheet name="indicadores rentabilidad" sheetId="34" r:id="rId31"/>
    <sheet name="ADR RevPAR ingresos totales ult" sheetId="35" r:id="rId32"/>
    <sheet name="viajeros españoles" sheetId="36" r:id="rId33"/>
    <sheet name="distribución españoles x Resid" sheetId="37" r:id="rId34"/>
    <sheet name="distribución españoles x cate" sheetId="38" r:id="rId35"/>
    <sheet name="distribución peninsulare x cate" sheetId="39" r:id="rId36"/>
    <sheet name="distribución canarios x cate" sheetId="40" r:id="rId37"/>
    <sheet name="distribución españoles x mun al" sheetId="41" r:id="rId38"/>
    <sheet name="distribución peninsula x munici" sheetId="42" r:id="rId39"/>
    <sheet name="distribución canarias x munici" sheetId="43" r:id="rId40"/>
    <sheet name="evolución anual viaj ent españo" sheetId="44" r:id="rId41"/>
    <sheet name="evolución anual viaj ent penins" sheetId="45" r:id="rId42"/>
    <sheet name="evolución anual viaj ent canari" sheetId="46" r:id="rId43"/>
  </sheets>
  <definedNames>
    <definedName name="_xlnm.Print_Area" localSheetId="39">'distribución canarias x munici'!$B$3:$AB$37</definedName>
    <definedName name="_xlnm.Print_Area" localSheetId="36">'distribución canarios x cate'!$B$3:$AB$33</definedName>
    <definedName name="_xlnm.Print_Area" localSheetId="34">'distribución españoles x cate'!$B$3:$AB$33</definedName>
    <definedName name="_xlnm.Print_Area" localSheetId="37">'distribución españoles x mun al'!$B$3:$AB$37</definedName>
    <definedName name="_xlnm.Print_Area" localSheetId="33">'distribución españoles x Resid'!$B$3:$AB$32</definedName>
    <definedName name="_xlnm.Print_Area" localSheetId="38">'distribución peninsula x munici'!$B$3:$AB$37</definedName>
    <definedName name="_xlnm.Print_Area" localSheetId="35">'distribución peninsulare x cate'!$B$3:$AB$33</definedName>
    <definedName name="_xlnm.Print_Area" localSheetId="23">'Pernoctaciones lugar reside'!$B$4:$K$162</definedName>
    <definedName name="_xlnm.Print_Area" localSheetId="24">'Pernoctaciones lugar reside año'!$B$4:$M$162</definedName>
    <definedName name="_xlnm.Print_Area" localSheetId="19">'viaj alojados lugar residen acu'!$B$4:$L$163</definedName>
    <definedName name="_xlnm.Print_Area" localSheetId="17">'viaj entr lugar res año categor'!$B$4:$B$164</definedName>
    <definedName name="_xlnm.Print_Area" localSheetId="12">'viaj entrados lugar resid años '!$B$3:$K$162</definedName>
    <definedName name="_xlnm.Print_Area" localSheetId="15">'viaj entrados lugar residen apt'!$B$4:$K$22</definedName>
    <definedName name="_xlnm.Print_Area" localSheetId="16">'viaj entrados lugar residen cat'!$B$3:$B$163</definedName>
    <definedName name="_xlnm.Print_Area" localSheetId="14">'viaj entrados lugar residen hot'!$B$4:$K$22</definedName>
    <definedName name="españafuerteventura">#REF!</definedName>
    <definedName name="españafuerteventura0">#REF!</definedName>
    <definedName name="españagrancanaria">#REF!</definedName>
    <definedName name="españagrancanaria0">#REF!</definedName>
    <definedName name="españalanzarote">#REF!</definedName>
    <definedName name="españalanzarote0">#REF!</definedName>
    <definedName name="españalapalma">#REF!</definedName>
    <definedName name="españalapalma0">#REF!</definedName>
    <definedName name="españaTFN">#REF!</definedName>
    <definedName name="españaTFN0">#REF!</definedName>
    <definedName name="españaTFS">#REF!</definedName>
    <definedName name="españaTFS0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8" i="33" l="1"/>
  <c r="H8" i="33"/>
  <c r="J8" i="33"/>
  <c r="J30" i="33"/>
  <c r="D30" i="33"/>
  <c r="H30" i="33"/>
  <c r="D52" i="33"/>
  <c r="H52" i="33"/>
  <c r="J52" i="33"/>
  <c r="D74" i="33"/>
  <c r="H74" i="33"/>
  <c r="J74" i="33"/>
  <c r="H96" i="33"/>
  <c r="J96" i="33"/>
  <c r="D96" i="33"/>
  <c r="L109" i="50"/>
  <c r="J109" i="50"/>
  <c r="H109" i="50"/>
  <c r="F109" i="50"/>
  <c r="L108" i="50"/>
  <c r="J108" i="50"/>
  <c r="H108" i="50"/>
  <c r="F108" i="50"/>
  <c r="L107" i="50"/>
  <c r="J107" i="50"/>
  <c r="H107" i="50"/>
  <c r="F107" i="50"/>
  <c r="L106" i="50"/>
  <c r="J106" i="50"/>
  <c r="H106" i="50"/>
  <c r="F106" i="50"/>
  <c r="L105" i="50"/>
  <c r="J105" i="50"/>
  <c r="H105" i="50"/>
  <c r="F105" i="50"/>
  <c r="L104" i="50"/>
  <c r="J104" i="50"/>
  <c r="H104" i="50"/>
  <c r="F104" i="50"/>
  <c r="L103" i="50"/>
  <c r="J103" i="50"/>
  <c r="H103" i="50"/>
  <c r="F103" i="50"/>
  <c r="L102" i="50"/>
  <c r="J102" i="50"/>
  <c r="H102" i="50"/>
  <c r="F102" i="50"/>
  <c r="L101" i="50"/>
  <c r="J101" i="50"/>
  <c r="H101" i="50"/>
  <c r="F101" i="50"/>
  <c r="L100" i="50"/>
  <c r="J100" i="50"/>
  <c r="H100" i="50"/>
  <c r="F100" i="50"/>
  <c r="L99" i="50"/>
  <c r="J99" i="50"/>
  <c r="H99" i="50"/>
  <c r="F99" i="50"/>
  <c r="L98" i="50"/>
  <c r="J98" i="50"/>
  <c r="H98" i="50"/>
  <c r="F98" i="50"/>
  <c r="N97" i="50"/>
  <c r="L97" i="50"/>
  <c r="J97" i="50"/>
  <c r="H97" i="50"/>
  <c r="F97" i="50"/>
  <c r="M95" i="50"/>
  <c r="L87" i="50"/>
  <c r="J87" i="50"/>
  <c r="H87" i="50"/>
  <c r="F87" i="50"/>
  <c r="L86" i="50"/>
  <c r="J86" i="50"/>
  <c r="H86" i="50"/>
  <c r="F86" i="50"/>
  <c r="L85" i="50"/>
  <c r="J85" i="50"/>
  <c r="H85" i="50"/>
  <c r="F85" i="50"/>
  <c r="L84" i="50"/>
  <c r="J84" i="50"/>
  <c r="H84" i="50"/>
  <c r="F84" i="50"/>
  <c r="L83" i="50"/>
  <c r="J83" i="50"/>
  <c r="H83" i="50"/>
  <c r="F83" i="50"/>
  <c r="L82" i="50"/>
  <c r="J82" i="50"/>
  <c r="H82" i="50"/>
  <c r="F82" i="50"/>
  <c r="L81" i="50"/>
  <c r="J81" i="50"/>
  <c r="H81" i="50"/>
  <c r="F81" i="50"/>
  <c r="L80" i="50"/>
  <c r="J80" i="50"/>
  <c r="H80" i="50"/>
  <c r="F80" i="50"/>
  <c r="L79" i="50"/>
  <c r="J79" i="50"/>
  <c r="H79" i="50"/>
  <c r="F79" i="50"/>
  <c r="L78" i="50"/>
  <c r="J78" i="50"/>
  <c r="H78" i="50"/>
  <c r="F78" i="50"/>
  <c r="L77" i="50"/>
  <c r="J77" i="50"/>
  <c r="H77" i="50"/>
  <c r="F77" i="50"/>
  <c r="L76" i="50"/>
  <c r="J76" i="50"/>
  <c r="H76" i="50"/>
  <c r="F76" i="50"/>
  <c r="N75" i="50"/>
  <c r="L75" i="50"/>
  <c r="J75" i="50"/>
  <c r="H75" i="50"/>
  <c r="F75" i="50"/>
  <c r="M73" i="50"/>
  <c r="L65" i="50"/>
  <c r="J65" i="50"/>
  <c r="H65" i="50"/>
  <c r="F65" i="50"/>
  <c r="L64" i="50"/>
  <c r="J64" i="50"/>
  <c r="H64" i="50"/>
  <c r="F64" i="50"/>
  <c r="L63" i="50"/>
  <c r="J63" i="50"/>
  <c r="H63" i="50"/>
  <c r="F63" i="50"/>
  <c r="L62" i="50"/>
  <c r="J62" i="50"/>
  <c r="H62" i="50"/>
  <c r="F62" i="50"/>
  <c r="L61" i="50"/>
  <c r="J61" i="50"/>
  <c r="H61" i="50"/>
  <c r="F61" i="50"/>
  <c r="L60" i="50"/>
  <c r="J60" i="50"/>
  <c r="H60" i="50"/>
  <c r="F60" i="50"/>
  <c r="L59" i="50"/>
  <c r="J59" i="50"/>
  <c r="H59" i="50"/>
  <c r="F59" i="50"/>
  <c r="L58" i="50"/>
  <c r="J58" i="50"/>
  <c r="H58" i="50"/>
  <c r="F58" i="50"/>
  <c r="L57" i="50"/>
  <c r="J57" i="50"/>
  <c r="H57" i="50"/>
  <c r="F57" i="50"/>
  <c r="L56" i="50"/>
  <c r="J56" i="50"/>
  <c r="H56" i="50"/>
  <c r="F56" i="50"/>
  <c r="L55" i="50"/>
  <c r="J55" i="50"/>
  <c r="H55" i="50"/>
  <c r="F55" i="50"/>
  <c r="L54" i="50"/>
  <c r="J54" i="50"/>
  <c r="H54" i="50"/>
  <c r="F54" i="50"/>
  <c r="N53" i="50"/>
  <c r="L53" i="50"/>
  <c r="J53" i="50"/>
  <c r="H53" i="50"/>
  <c r="F53" i="50"/>
  <c r="M51" i="50"/>
  <c r="L43" i="50"/>
  <c r="J43" i="50"/>
  <c r="H43" i="50"/>
  <c r="F43" i="50"/>
  <c r="L42" i="50"/>
  <c r="J42" i="50"/>
  <c r="H42" i="50"/>
  <c r="F42" i="50"/>
  <c r="L41" i="50"/>
  <c r="J41" i="50"/>
  <c r="H41" i="50"/>
  <c r="F41" i="50"/>
  <c r="L40" i="50"/>
  <c r="J40" i="50"/>
  <c r="H40" i="50"/>
  <c r="F40" i="50"/>
  <c r="L39" i="50"/>
  <c r="J39" i="50"/>
  <c r="H39" i="50"/>
  <c r="F39" i="50"/>
  <c r="L38" i="50"/>
  <c r="J38" i="50"/>
  <c r="H38" i="50"/>
  <c r="F38" i="50"/>
  <c r="L37" i="50"/>
  <c r="J37" i="50"/>
  <c r="H37" i="50"/>
  <c r="F37" i="50"/>
  <c r="L36" i="50"/>
  <c r="J36" i="50"/>
  <c r="H36" i="50"/>
  <c r="F36" i="50"/>
  <c r="L35" i="50"/>
  <c r="J35" i="50"/>
  <c r="H35" i="50"/>
  <c r="F35" i="50"/>
  <c r="L34" i="50"/>
  <c r="J34" i="50"/>
  <c r="H34" i="50"/>
  <c r="F34" i="50"/>
  <c r="L33" i="50"/>
  <c r="J33" i="50"/>
  <c r="H33" i="50"/>
  <c r="F33" i="50"/>
  <c r="L32" i="50"/>
  <c r="J32" i="50"/>
  <c r="H32" i="50"/>
  <c r="F32" i="50"/>
  <c r="N31" i="50"/>
  <c r="L31" i="50"/>
  <c r="J31" i="50"/>
  <c r="H31" i="50"/>
  <c r="F31" i="50"/>
  <c r="M29" i="50"/>
  <c r="L21" i="50"/>
  <c r="J21" i="50"/>
  <c r="H21" i="50"/>
  <c r="F21" i="50"/>
  <c r="L20" i="50"/>
  <c r="J20" i="50"/>
  <c r="H20" i="50"/>
  <c r="F20" i="50"/>
  <c r="L19" i="50"/>
  <c r="J19" i="50"/>
  <c r="H19" i="50"/>
  <c r="F19" i="50"/>
  <c r="L18" i="50"/>
  <c r="J18" i="50"/>
  <c r="H18" i="50"/>
  <c r="F18" i="50"/>
  <c r="L17" i="50"/>
  <c r="J17" i="50"/>
  <c r="H17" i="50"/>
  <c r="F17" i="50"/>
  <c r="L16" i="50"/>
  <c r="J16" i="50"/>
  <c r="H16" i="50"/>
  <c r="F16" i="50"/>
  <c r="L15" i="50"/>
  <c r="J15" i="50"/>
  <c r="H15" i="50"/>
  <c r="F15" i="50"/>
  <c r="L14" i="50"/>
  <c r="J14" i="50"/>
  <c r="H14" i="50"/>
  <c r="F14" i="50"/>
  <c r="L13" i="50"/>
  <c r="J13" i="50"/>
  <c r="H13" i="50"/>
  <c r="F13" i="50"/>
  <c r="L12" i="50"/>
  <c r="J12" i="50"/>
  <c r="H12" i="50"/>
  <c r="F12" i="50"/>
  <c r="L11" i="50"/>
  <c r="J11" i="50"/>
  <c r="H11" i="50"/>
  <c r="F11" i="50"/>
  <c r="L10" i="50"/>
  <c r="J10" i="50"/>
  <c r="H10" i="50"/>
  <c r="F10" i="50"/>
  <c r="N9" i="50"/>
  <c r="L9" i="50"/>
  <c r="J9" i="50"/>
  <c r="H9" i="50"/>
  <c r="F9" i="50"/>
  <c r="K7" i="50"/>
  <c r="I7" i="50" s="1"/>
  <c r="L267" i="49"/>
  <c r="J267" i="49"/>
  <c r="H267" i="49"/>
  <c r="F267" i="49"/>
  <c r="L266" i="49"/>
  <c r="J266" i="49"/>
  <c r="H266" i="49"/>
  <c r="F266" i="49"/>
  <c r="L265" i="49"/>
  <c r="J265" i="49"/>
  <c r="H265" i="49"/>
  <c r="F265" i="49"/>
  <c r="L264" i="49"/>
  <c r="J264" i="49"/>
  <c r="H264" i="49"/>
  <c r="F264" i="49"/>
  <c r="L263" i="49"/>
  <c r="J263" i="49"/>
  <c r="H263" i="49"/>
  <c r="F263" i="49"/>
  <c r="L262" i="49"/>
  <c r="J262" i="49"/>
  <c r="H262" i="49"/>
  <c r="F262" i="49"/>
  <c r="L261" i="49"/>
  <c r="J261" i="49"/>
  <c r="H261" i="49"/>
  <c r="F261" i="49"/>
  <c r="L260" i="49"/>
  <c r="J260" i="49"/>
  <c r="H260" i="49"/>
  <c r="F260" i="49"/>
  <c r="L259" i="49"/>
  <c r="J259" i="49"/>
  <c r="H259" i="49"/>
  <c r="F259" i="49"/>
  <c r="L258" i="49"/>
  <c r="J258" i="49"/>
  <c r="H258" i="49"/>
  <c r="F258" i="49"/>
  <c r="L257" i="49"/>
  <c r="J257" i="49"/>
  <c r="H257" i="49"/>
  <c r="F257" i="49"/>
  <c r="L256" i="49"/>
  <c r="J256" i="49"/>
  <c r="H256" i="49"/>
  <c r="F256" i="49"/>
  <c r="N255" i="49"/>
  <c r="L255" i="49"/>
  <c r="J255" i="49"/>
  <c r="H255" i="49"/>
  <c r="F255" i="49"/>
  <c r="M253" i="49"/>
  <c r="L241" i="49"/>
  <c r="J241" i="49"/>
  <c r="H241" i="49"/>
  <c r="F241" i="49"/>
  <c r="L240" i="49"/>
  <c r="J240" i="49"/>
  <c r="H240" i="49"/>
  <c r="F240" i="49"/>
  <c r="L239" i="49"/>
  <c r="J239" i="49"/>
  <c r="H239" i="49"/>
  <c r="F239" i="49"/>
  <c r="L238" i="49"/>
  <c r="J238" i="49"/>
  <c r="H238" i="49"/>
  <c r="F238" i="49"/>
  <c r="L237" i="49"/>
  <c r="J237" i="49"/>
  <c r="H237" i="49"/>
  <c r="F237" i="49"/>
  <c r="L236" i="49"/>
  <c r="J236" i="49"/>
  <c r="H236" i="49"/>
  <c r="F236" i="49"/>
  <c r="L235" i="49"/>
  <c r="J235" i="49"/>
  <c r="H235" i="49"/>
  <c r="F235" i="49"/>
  <c r="L234" i="49"/>
  <c r="J234" i="49"/>
  <c r="H234" i="49"/>
  <c r="F234" i="49"/>
  <c r="L233" i="49"/>
  <c r="J233" i="49"/>
  <c r="H233" i="49"/>
  <c r="F233" i="49"/>
  <c r="L232" i="49"/>
  <c r="J232" i="49"/>
  <c r="H232" i="49"/>
  <c r="F232" i="49"/>
  <c r="L231" i="49"/>
  <c r="J231" i="49"/>
  <c r="H231" i="49"/>
  <c r="F231" i="49"/>
  <c r="L230" i="49"/>
  <c r="J230" i="49"/>
  <c r="H230" i="49"/>
  <c r="F230" i="49"/>
  <c r="N229" i="49"/>
  <c r="L229" i="49"/>
  <c r="J229" i="49"/>
  <c r="H229" i="49"/>
  <c r="F229" i="49"/>
  <c r="M227" i="49"/>
  <c r="K227" i="49"/>
  <c r="L219" i="49"/>
  <c r="J219" i="49"/>
  <c r="H219" i="49"/>
  <c r="F219" i="49"/>
  <c r="L218" i="49"/>
  <c r="J218" i="49"/>
  <c r="H218" i="49"/>
  <c r="F218" i="49"/>
  <c r="L217" i="49"/>
  <c r="J217" i="49"/>
  <c r="H217" i="49"/>
  <c r="F217" i="49"/>
  <c r="L216" i="49"/>
  <c r="J216" i="49"/>
  <c r="H216" i="49"/>
  <c r="F216" i="49"/>
  <c r="L215" i="49"/>
  <c r="J215" i="49"/>
  <c r="H215" i="49"/>
  <c r="F215" i="49"/>
  <c r="L214" i="49"/>
  <c r="J214" i="49"/>
  <c r="H214" i="49"/>
  <c r="F214" i="49"/>
  <c r="L213" i="49"/>
  <c r="J213" i="49"/>
  <c r="H213" i="49"/>
  <c r="F213" i="49"/>
  <c r="L212" i="49"/>
  <c r="J212" i="49"/>
  <c r="H212" i="49"/>
  <c r="F212" i="49"/>
  <c r="L211" i="49"/>
  <c r="J211" i="49"/>
  <c r="H211" i="49"/>
  <c r="F211" i="49"/>
  <c r="L210" i="49"/>
  <c r="J210" i="49"/>
  <c r="H210" i="49"/>
  <c r="F210" i="49"/>
  <c r="L209" i="49"/>
  <c r="J209" i="49"/>
  <c r="H209" i="49"/>
  <c r="F209" i="49"/>
  <c r="L208" i="49"/>
  <c r="J208" i="49"/>
  <c r="H208" i="49"/>
  <c r="F208" i="49"/>
  <c r="N207" i="49"/>
  <c r="L207" i="49"/>
  <c r="J207" i="49"/>
  <c r="H207" i="49"/>
  <c r="F207" i="49"/>
  <c r="M205" i="49"/>
  <c r="L197" i="49"/>
  <c r="J197" i="49"/>
  <c r="H197" i="49"/>
  <c r="F197" i="49"/>
  <c r="L196" i="49"/>
  <c r="J196" i="49"/>
  <c r="H196" i="49"/>
  <c r="F196" i="49"/>
  <c r="L195" i="49"/>
  <c r="J195" i="49"/>
  <c r="H195" i="49"/>
  <c r="F195" i="49"/>
  <c r="L194" i="49"/>
  <c r="J194" i="49"/>
  <c r="H194" i="49"/>
  <c r="F194" i="49"/>
  <c r="L193" i="49"/>
  <c r="J193" i="49"/>
  <c r="H193" i="49"/>
  <c r="F193" i="49"/>
  <c r="L192" i="49"/>
  <c r="J192" i="49"/>
  <c r="H192" i="49"/>
  <c r="F192" i="49"/>
  <c r="L191" i="49"/>
  <c r="J191" i="49"/>
  <c r="H191" i="49"/>
  <c r="F191" i="49"/>
  <c r="L190" i="49"/>
  <c r="J190" i="49"/>
  <c r="H190" i="49"/>
  <c r="F190" i="49"/>
  <c r="L189" i="49"/>
  <c r="J189" i="49"/>
  <c r="H189" i="49"/>
  <c r="F189" i="49"/>
  <c r="L188" i="49"/>
  <c r="J188" i="49"/>
  <c r="H188" i="49"/>
  <c r="F188" i="49"/>
  <c r="L187" i="49"/>
  <c r="J187" i="49"/>
  <c r="H187" i="49"/>
  <c r="F187" i="49"/>
  <c r="L186" i="49"/>
  <c r="J186" i="49"/>
  <c r="H186" i="49"/>
  <c r="F186" i="49"/>
  <c r="N185" i="49"/>
  <c r="L185" i="49"/>
  <c r="J185" i="49"/>
  <c r="H185" i="49"/>
  <c r="F185" i="49"/>
  <c r="M183" i="49"/>
  <c r="L175" i="49"/>
  <c r="J175" i="49"/>
  <c r="H175" i="49"/>
  <c r="F175" i="49"/>
  <c r="L174" i="49"/>
  <c r="J174" i="49"/>
  <c r="H174" i="49"/>
  <c r="F174" i="49"/>
  <c r="L173" i="49"/>
  <c r="J173" i="49"/>
  <c r="H173" i="49"/>
  <c r="F173" i="49"/>
  <c r="L172" i="49"/>
  <c r="J172" i="49"/>
  <c r="H172" i="49"/>
  <c r="F172" i="49"/>
  <c r="L171" i="49"/>
  <c r="J171" i="49"/>
  <c r="H171" i="49"/>
  <c r="F171" i="49"/>
  <c r="L170" i="49"/>
  <c r="J170" i="49"/>
  <c r="H170" i="49"/>
  <c r="F170" i="49"/>
  <c r="L169" i="49"/>
  <c r="J169" i="49"/>
  <c r="H169" i="49"/>
  <c r="F169" i="49"/>
  <c r="L168" i="49"/>
  <c r="J168" i="49"/>
  <c r="H168" i="49"/>
  <c r="F168" i="49"/>
  <c r="L167" i="49"/>
  <c r="J167" i="49"/>
  <c r="H167" i="49"/>
  <c r="F167" i="49"/>
  <c r="L166" i="49"/>
  <c r="J166" i="49"/>
  <c r="H166" i="49"/>
  <c r="F166" i="49"/>
  <c r="L165" i="49"/>
  <c r="J165" i="49"/>
  <c r="H165" i="49"/>
  <c r="F165" i="49"/>
  <c r="L164" i="49"/>
  <c r="J164" i="49"/>
  <c r="H164" i="49"/>
  <c r="F164" i="49"/>
  <c r="N163" i="49"/>
  <c r="L163" i="49"/>
  <c r="J163" i="49"/>
  <c r="H163" i="49"/>
  <c r="F163" i="49"/>
  <c r="M161" i="49"/>
  <c r="L153" i="49"/>
  <c r="J153" i="49"/>
  <c r="H153" i="49"/>
  <c r="F153" i="49"/>
  <c r="L152" i="49"/>
  <c r="J152" i="49"/>
  <c r="H152" i="49"/>
  <c r="F152" i="49"/>
  <c r="L151" i="49"/>
  <c r="J151" i="49"/>
  <c r="H151" i="49"/>
  <c r="F151" i="49"/>
  <c r="L150" i="49"/>
  <c r="J150" i="49"/>
  <c r="H150" i="49"/>
  <c r="F150" i="49"/>
  <c r="L149" i="49"/>
  <c r="J149" i="49"/>
  <c r="H149" i="49"/>
  <c r="F149" i="49"/>
  <c r="L148" i="49"/>
  <c r="J148" i="49"/>
  <c r="H148" i="49"/>
  <c r="F148" i="49"/>
  <c r="L147" i="49"/>
  <c r="J147" i="49"/>
  <c r="H147" i="49"/>
  <c r="F147" i="49"/>
  <c r="L146" i="49"/>
  <c r="J146" i="49"/>
  <c r="H146" i="49"/>
  <c r="F146" i="49"/>
  <c r="L145" i="49"/>
  <c r="J145" i="49"/>
  <c r="H145" i="49"/>
  <c r="F145" i="49"/>
  <c r="L144" i="49"/>
  <c r="J144" i="49"/>
  <c r="H144" i="49"/>
  <c r="F144" i="49"/>
  <c r="L143" i="49"/>
  <c r="J143" i="49"/>
  <c r="H143" i="49"/>
  <c r="F143" i="49"/>
  <c r="L142" i="49"/>
  <c r="J142" i="49"/>
  <c r="H142" i="49"/>
  <c r="F142" i="49"/>
  <c r="N141" i="49"/>
  <c r="L141" i="49"/>
  <c r="J141" i="49"/>
  <c r="H141" i="49"/>
  <c r="F141" i="49"/>
  <c r="M139" i="49"/>
  <c r="K139" i="49"/>
  <c r="L131" i="49"/>
  <c r="J131" i="49"/>
  <c r="H131" i="49"/>
  <c r="F131" i="49"/>
  <c r="L130" i="49"/>
  <c r="J130" i="49"/>
  <c r="H130" i="49"/>
  <c r="F130" i="49"/>
  <c r="L129" i="49"/>
  <c r="J129" i="49"/>
  <c r="H129" i="49"/>
  <c r="F129" i="49"/>
  <c r="L128" i="49"/>
  <c r="J128" i="49"/>
  <c r="H128" i="49"/>
  <c r="F128" i="49"/>
  <c r="L127" i="49"/>
  <c r="J127" i="49"/>
  <c r="H127" i="49"/>
  <c r="F127" i="49"/>
  <c r="L126" i="49"/>
  <c r="J126" i="49"/>
  <c r="H126" i="49"/>
  <c r="F126" i="49"/>
  <c r="L125" i="49"/>
  <c r="J125" i="49"/>
  <c r="H125" i="49"/>
  <c r="F125" i="49"/>
  <c r="L124" i="49"/>
  <c r="J124" i="49"/>
  <c r="H124" i="49"/>
  <c r="F124" i="49"/>
  <c r="L123" i="49"/>
  <c r="J123" i="49"/>
  <c r="H123" i="49"/>
  <c r="F123" i="49"/>
  <c r="L122" i="49"/>
  <c r="J122" i="49"/>
  <c r="H122" i="49"/>
  <c r="F122" i="49"/>
  <c r="L121" i="49"/>
  <c r="J121" i="49"/>
  <c r="H121" i="49"/>
  <c r="F121" i="49"/>
  <c r="L120" i="49"/>
  <c r="J120" i="49"/>
  <c r="H120" i="49"/>
  <c r="F120" i="49"/>
  <c r="N119" i="49"/>
  <c r="L119" i="49"/>
  <c r="J119" i="49"/>
  <c r="H119" i="49"/>
  <c r="F119" i="49"/>
  <c r="M117" i="49"/>
  <c r="L109" i="49"/>
  <c r="J109" i="49"/>
  <c r="H109" i="49"/>
  <c r="F109" i="49"/>
  <c r="L108" i="49"/>
  <c r="J108" i="49"/>
  <c r="H108" i="49"/>
  <c r="F108" i="49"/>
  <c r="L107" i="49"/>
  <c r="J107" i="49"/>
  <c r="H107" i="49"/>
  <c r="F107" i="49"/>
  <c r="L106" i="49"/>
  <c r="J106" i="49"/>
  <c r="H106" i="49"/>
  <c r="F106" i="49"/>
  <c r="L105" i="49"/>
  <c r="J105" i="49"/>
  <c r="H105" i="49"/>
  <c r="F105" i="49"/>
  <c r="L104" i="49"/>
  <c r="J104" i="49"/>
  <c r="H104" i="49"/>
  <c r="F104" i="49"/>
  <c r="L103" i="49"/>
  <c r="J103" i="49"/>
  <c r="H103" i="49"/>
  <c r="F103" i="49"/>
  <c r="L102" i="49"/>
  <c r="J102" i="49"/>
  <c r="H102" i="49"/>
  <c r="F102" i="49"/>
  <c r="L101" i="49"/>
  <c r="J101" i="49"/>
  <c r="H101" i="49"/>
  <c r="F101" i="49"/>
  <c r="L100" i="49"/>
  <c r="J100" i="49"/>
  <c r="H100" i="49"/>
  <c r="F100" i="49"/>
  <c r="L99" i="49"/>
  <c r="J99" i="49"/>
  <c r="H99" i="49"/>
  <c r="F99" i="49"/>
  <c r="L98" i="49"/>
  <c r="J98" i="49"/>
  <c r="H98" i="49"/>
  <c r="F98" i="49"/>
  <c r="N97" i="49"/>
  <c r="L97" i="49"/>
  <c r="J97" i="49"/>
  <c r="H97" i="49"/>
  <c r="F97" i="49"/>
  <c r="M95" i="49"/>
  <c r="L87" i="49"/>
  <c r="J87" i="49"/>
  <c r="H87" i="49"/>
  <c r="F87" i="49"/>
  <c r="L86" i="49"/>
  <c r="J86" i="49"/>
  <c r="H86" i="49"/>
  <c r="F86" i="49"/>
  <c r="L85" i="49"/>
  <c r="J85" i="49"/>
  <c r="H85" i="49"/>
  <c r="F85" i="49"/>
  <c r="L84" i="49"/>
  <c r="J84" i="49"/>
  <c r="H84" i="49"/>
  <c r="F84" i="49"/>
  <c r="L83" i="49"/>
  <c r="J83" i="49"/>
  <c r="H83" i="49"/>
  <c r="F83" i="49"/>
  <c r="L82" i="49"/>
  <c r="J82" i="49"/>
  <c r="H82" i="49"/>
  <c r="F82" i="49"/>
  <c r="L81" i="49"/>
  <c r="J81" i="49"/>
  <c r="H81" i="49"/>
  <c r="F81" i="49"/>
  <c r="L80" i="49"/>
  <c r="J80" i="49"/>
  <c r="H80" i="49"/>
  <c r="F80" i="49"/>
  <c r="L79" i="49"/>
  <c r="J79" i="49"/>
  <c r="H79" i="49"/>
  <c r="F79" i="49"/>
  <c r="L78" i="49"/>
  <c r="J78" i="49"/>
  <c r="H78" i="49"/>
  <c r="F78" i="49"/>
  <c r="L77" i="49"/>
  <c r="J77" i="49"/>
  <c r="H77" i="49"/>
  <c r="F77" i="49"/>
  <c r="L76" i="49"/>
  <c r="J76" i="49"/>
  <c r="H76" i="49"/>
  <c r="F76" i="49"/>
  <c r="N75" i="49"/>
  <c r="L75" i="49"/>
  <c r="J75" i="49"/>
  <c r="H75" i="49"/>
  <c r="F75" i="49"/>
  <c r="M73" i="49"/>
  <c r="L65" i="49"/>
  <c r="J65" i="49"/>
  <c r="H65" i="49"/>
  <c r="F65" i="49"/>
  <c r="L64" i="49"/>
  <c r="J64" i="49"/>
  <c r="H64" i="49"/>
  <c r="F64" i="49"/>
  <c r="L63" i="49"/>
  <c r="J63" i="49"/>
  <c r="H63" i="49"/>
  <c r="F63" i="49"/>
  <c r="L62" i="49"/>
  <c r="J62" i="49"/>
  <c r="H62" i="49"/>
  <c r="F62" i="49"/>
  <c r="L61" i="49"/>
  <c r="J61" i="49"/>
  <c r="H61" i="49"/>
  <c r="F61" i="49"/>
  <c r="L60" i="49"/>
  <c r="J60" i="49"/>
  <c r="H60" i="49"/>
  <c r="F60" i="49"/>
  <c r="L59" i="49"/>
  <c r="J59" i="49"/>
  <c r="H59" i="49"/>
  <c r="F59" i="49"/>
  <c r="L58" i="49"/>
  <c r="J58" i="49"/>
  <c r="H58" i="49"/>
  <c r="F58" i="49"/>
  <c r="L57" i="49"/>
  <c r="J57" i="49"/>
  <c r="H57" i="49"/>
  <c r="F57" i="49"/>
  <c r="L56" i="49"/>
  <c r="J56" i="49"/>
  <c r="H56" i="49"/>
  <c r="F56" i="49"/>
  <c r="L55" i="49"/>
  <c r="J55" i="49"/>
  <c r="H55" i="49"/>
  <c r="F55" i="49"/>
  <c r="L54" i="49"/>
  <c r="J54" i="49"/>
  <c r="H54" i="49"/>
  <c r="F54" i="49"/>
  <c r="N53" i="49"/>
  <c r="L53" i="49"/>
  <c r="J53" i="49"/>
  <c r="H53" i="49"/>
  <c r="F53" i="49"/>
  <c r="M51" i="49"/>
  <c r="K51" i="49"/>
  <c r="L43" i="49"/>
  <c r="J43" i="49"/>
  <c r="H43" i="49"/>
  <c r="F43" i="49"/>
  <c r="L42" i="49"/>
  <c r="J42" i="49"/>
  <c r="H42" i="49"/>
  <c r="F42" i="49"/>
  <c r="L41" i="49"/>
  <c r="J41" i="49"/>
  <c r="H41" i="49"/>
  <c r="F41" i="49"/>
  <c r="L40" i="49"/>
  <c r="J40" i="49"/>
  <c r="H40" i="49"/>
  <c r="F40" i="49"/>
  <c r="L39" i="49"/>
  <c r="J39" i="49"/>
  <c r="H39" i="49"/>
  <c r="F39" i="49"/>
  <c r="L38" i="49"/>
  <c r="J38" i="49"/>
  <c r="H38" i="49"/>
  <c r="F38" i="49"/>
  <c r="L37" i="49"/>
  <c r="J37" i="49"/>
  <c r="H37" i="49"/>
  <c r="F37" i="49"/>
  <c r="L36" i="49"/>
  <c r="J36" i="49"/>
  <c r="H36" i="49"/>
  <c r="F36" i="49"/>
  <c r="L35" i="49"/>
  <c r="J35" i="49"/>
  <c r="H35" i="49"/>
  <c r="F35" i="49"/>
  <c r="L34" i="49"/>
  <c r="J34" i="49"/>
  <c r="H34" i="49"/>
  <c r="F34" i="49"/>
  <c r="L33" i="49"/>
  <c r="J33" i="49"/>
  <c r="H33" i="49"/>
  <c r="F33" i="49"/>
  <c r="L32" i="49"/>
  <c r="J32" i="49"/>
  <c r="H32" i="49"/>
  <c r="F32" i="49"/>
  <c r="N31" i="49"/>
  <c r="L31" i="49"/>
  <c r="J31" i="49"/>
  <c r="H31" i="49"/>
  <c r="F31" i="49"/>
  <c r="M29" i="49"/>
  <c r="L21" i="49"/>
  <c r="J21" i="49"/>
  <c r="H21" i="49"/>
  <c r="F21" i="49"/>
  <c r="L20" i="49"/>
  <c r="J20" i="49"/>
  <c r="H20" i="49"/>
  <c r="F20" i="49"/>
  <c r="L19" i="49"/>
  <c r="J19" i="49"/>
  <c r="H19" i="49"/>
  <c r="F19" i="49"/>
  <c r="L18" i="49"/>
  <c r="J18" i="49"/>
  <c r="H18" i="49"/>
  <c r="F18" i="49"/>
  <c r="L17" i="49"/>
  <c r="J17" i="49"/>
  <c r="H17" i="49"/>
  <c r="F17" i="49"/>
  <c r="L16" i="49"/>
  <c r="J16" i="49"/>
  <c r="H16" i="49"/>
  <c r="F16" i="49"/>
  <c r="L15" i="49"/>
  <c r="J15" i="49"/>
  <c r="H15" i="49"/>
  <c r="F15" i="49"/>
  <c r="L14" i="49"/>
  <c r="J14" i="49"/>
  <c r="H14" i="49"/>
  <c r="F14" i="49"/>
  <c r="L13" i="49"/>
  <c r="J13" i="49"/>
  <c r="H13" i="49"/>
  <c r="F13" i="49"/>
  <c r="L12" i="49"/>
  <c r="J12" i="49"/>
  <c r="H12" i="49"/>
  <c r="F12" i="49"/>
  <c r="L11" i="49"/>
  <c r="J11" i="49"/>
  <c r="H11" i="49"/>
  <c r="F11" i="49"/>
  <c r="L10" i="49"/>
  <c r="J10" i="49"/>
  <c r="H10" i="49"/>
  <c r="F10" i="49"/>
  <c r="N9" i="49"/>
  <c r="L9" i="49"/>
  <c r="J9" i="49"/>
  <c r="H9" i="49"/>
  <c r="F9" i="49"/>
  <c r="N8" i="49"/>
  <c r="K7" i="49"/>
  <c r="B252" i="49"/>
  <c r="B226" i="49"/>
  <c r="B204" i="49"/>
  <c r="B182" i="49"/>
  <c r="B160" i="49"/>
  <c r="B138" i="49"/>
  <c r="B116" i="49"/>
  <c r="L109" i="48"/>
  <c r="J109" i="48"/>
  <c r="H109" i="48"/>
  <c r="F109" i="48"/>
  <c r="L108" i="48"/>
  <c r="J108" i="48"/>
  <c r="H108" i="48"/>
  <c r="F108" i="48"/>
  <c r="L107" i="48"/>
  <c r="J107" i="48"/>
  <c r="H107" i="48"/>
  <c r="F107" i="48"/>
  <c r="L106" i="48"/>
  <c r="J106" i="48"/>
  <c r="H106" i="48"/>
  <c r="F106" i="48"/>
  <c r="L105" i="48"/>
  <c r="J105" i="48"/>
  <c r="H105" i="48"/>
  <c r="F105" i="48"/>
  <c r="L104" i="48"/>
  <c r="J104" i="48"/>
  <c r="H104" i="48"/>
  <c r="F104" i="48"/>
  <c r="L103" i="48"/>
  <c r="J103" i="48"/>
  <c r="H103" i="48"/>
  <c r="F103" i="48"/>
  <c r="L102" i="48"/>
  <c r="J102" i="48"/>
  <c r="H102" i="48"/>
  <c r="F102" i="48"/>
  <c r="L101" i="48"/>
  <c r="J101" i="48"/>
  <c r="H101" i="48"/>
  <c r="F101" i="48"/>
  <c r="L100" i="48"/>
  <c r="J100" i="48"/>
  <c r="H100" i="48"/>
  <c r="F100" i="48"/>
  <c r="L99" i="48"/>
  <c r="J99" i="48"/>
  <c r="H99" i="48"/>
  <c r="F99" i="48"/>
  <c r="L98" i="48"/>
  <c r="J98" i="48"/>
  <c r="H98" i="48"/>
  <c r="F98" i="48"/>
  <c r="N97" i="48"/>
  <c r="L97" i="48"/>
  <c r="J97" i="48"/>
  <c r="H97" i="48"/>
  <c r="F97" i="48"/>
  <c r="N96" i="48"/>
  <c r="L96" i="48"/>
  <c r="J96" i="48"/>
  <c r="H96" i="48"/>
  <c r="L87" i="48"/>
  <c r="J87" i="48"/>
  <c r="H87" i="48"/>
  <c r="F87" i="48"/>
  <c r="L86" i="48"/>
  <c r="J86" i="48"/>
  <c r="H86" i="48"/>
  <c r="F86" i="48"/>
  <c r="L85" i="48"/>
  <c r="J85" i="48"/>
  <c r="H85" i="48"/>
  <c r="F85" i="48"/>
  <c r="L84" i="48"/>
  <c r="J84" i="48"/>
  <c r="H84" i="48"/>
  <c r="F84" i="48"/>
  <c r="L83" i="48"/>
  <c r="J83" i="48"/>
  <c r="H83" i="48"/>
  <c r="F83" i="48"/>
  <c r="L82" i="48"/>
  <c r="J82" i="48"/>
  <c r="H82" i="48"/>
  <c r="F82" i="48"/>
  <c r="L81" i="48"/>
  <c r="J81" i="48"/>
  <c r="H81" i="48"/>
  <c r="F81" i="48"/>
  <c r="L80" i="48"/>
  <c r="J80" i="48"/>
  <c r="H80" i="48"/>
  <c r="F80" i="48"/>
  <c r="L79" i="48"/>
  <c r="J79" i="48"/>
  <c r="H79" i="48"/>
  <c r="F79" i="48"/>
  <c r="L78" i="48"/>
  <c r="J78" i="48"/>
  <c r="H78" i="48"/>
  <c r="F78" i="48"/>
  <c r="L77" i="48"/>
  <c r="J77" i="48"/>
  <c r="H77" i="48"/>
  <c r="F77" i="48"/>
  <c r="L76" i="48"/>
  <c r="J76" i="48"/>
  <c r="H76" i="48"/>
  <c r="F76" i="48"/>
  <c r="N75" i="48"/>
  <c r="L75" i="48"/>
  <c r="J75" i="48"/>
  <c r="H75" i="48"/>
  <c r="F75" i="48"/>
  <c r="N74" i="48"/>
  <c r="L74" i="48"/>
  <c r="J74" i="48"/>
  <c r="H74" i="48"/>
  <c r="L65" i="48"/>
  <c r="J65" i="48"/>
  <c r="H65" i="48"/>
  <c r="F65" i="48"/>
  <c r="L64" i="48"/>
  <c r="J64" i="48"/>
  <c r="H64" i="48"/>
  <c r="F64" i="48"/>
  <c r="L63" i="48"/>
  <c r="J63" i="48"/>
  <c r="H63" i="48"/>
  <c r="F63" i="48"/>
  <c r="L62" i="48"/>
  <c r="J62" i="48"/>
  <c r="H62" i="48"/>
  <c r="F62" i="48"/>
  <c r="L61" i="48"/>
  <c r="J61" i="48"/>
  <c r="H61" i="48"/>
  <c r="F61" i="48"/>
  <c r="L60" i="48"/>
  <c r="J60" i="48"/>
  <c r="H60" i="48"/>
  <c r="F60" i="48"/>
  <c r="L59" i="48"/>
  <c r="J59" i="48"/>
  <c r="H59" i="48"/>
  <c r="F59" i="48"/>
  <c r="L58" i="48"/>
  <c r="J58" i="48"/>
  <c r="H58" i="48"/>
  <c r="F58" i="48"/>
  <c r="L57" i="48"/>
  <c r="J57" i="48"/>
  <c r="H57" i="48"/>
  <c r="F57" i="48"/>
  <c r="L56" i="48"/>
  <c r="J56" i="48"/>
  <c r="H56" i="48"/>
  <c r="F56" i="48"/>
  <c r="L55" i="48"/>
  <c r="J55" i="48"/>
  <c r="H55" i="48"/>
  <c r="F55" i="48"/>
  <c r="L54" i="48"/>
  <c r="J54" i="48"/>
  <c r="H54" i="48"/>
  <c r="F54" i="48"/>
  <c r="N53" i="48"/>
  <c r="L53" i="48"/>
  <c r="J53" i="48"/>
  <c r="H53" i="48"/>
  <c r="F53" i="48"/>
  <c r="N52" i="48"/>
  <c r="L52" i="48"/>
  <c r="J52" i="48"/>
  <c r="H52" i="48"/>
  <c r="L43" i="48"/>
  <c r="J43" i="48"/>
  <c r="H43" i="48"/>
  <c r="F43" i="48"/>
  <c r="L42" i="48"/>
  <c r="J42" i="48"/>
  <c r="H42" i="48"/>
  <c r="F42" i="48"/>
  <c r="L41" i="48"/>
  <c r="J41" i="48"/>
  <c r="H41" i="48"/>
  <c r="F41" i="48"/>
  <c r="L40" i="48"/>
  <c r="J40" i="48"/>
  <c r="H40" i="48"/>
  <c r="F40" i="48"/>
  <c r="L39" i="48"/>
  <c r="J39" i="48"/>
  <c r="H39" i="48"/>
  <c r="F39" i="48"/>
  <c r="L38" i="48"/>
  <c r="J38" i="48"/>
  <c r="H38" i="48"/>
  <c r="F38" i="48"/>
  <c r="L37" i="48"/>
  <c r="J37" i="48"/>
  <c r="H37" i="48"/>
  <c r="F37" i="48"/>
  <c r="L36" i="48"/>
  <c r="J36" i="48"/>
  <c r="H36" i="48"/>
  <c r="F36" i="48"/>
  <c r="L35" i="48"/>
  <c r="J35" i="48"/>
  <c r="H35" i="48"/>
  <c r="F35" i="48"/>
  <c r="L34" i="48"/>
  <c r="J34" i="48"/>
  <c r="H34" i="48"/>
  <c r="F34" i="48"/>
  <c r="L33" i="48"/>
  <c r="J33" i="48"/>
  <c r="H33" i="48"/>
  <c r="F33" i="48"/>
  <c r="L32" i="48"/>
  <c r="J32" i="48"/>
  <c r="H32" i="48"/>
  <c r="F32" i="48"/>
  <c r="N31" i="48"/>
  <c r="L31" i="48"/>
  <c r="J31" i="48"/>
  <c r="H31" i="48"/>
  <c r="F31" i="48"/>
  <c r="N30" i="48"/>
  <c r="L30" i="48"/>
  <c r="J30" i="48"/>
  <c r="H30" i="48"/>
  <c r="L21" i="48"/>
  <c r="J21" i="48"/>
  <c r="H21" i="48"/>
  <c r="F21" i="48"/>
  <c r="L20" i="48"/>
  <c r="J20" i="48"/>
  <c r="H20" i="48"/>
  <c r="F20" i="48"/>
  <c r="L19" i="48"/>
  <c r="J19" i="48"/>
  <c r="H19" i="48"/>
  <c r="F19" i="48"/>
  <c r="L18" i="48"/>
  <c r="J18" i="48"/>
  <c r="H18" i="48"/>
  <c r="F18" i="48"/>
  <c r="L17" i="48"/>
  <c r="J17" i="48"/>
  <c r="H17" i="48"/>
  <c r="F17" i="48"/>
  <c r="L16" i="48"/>
  <c r="J16" i="48"/>
  <c r="H16" i="48"/>
  <c r="F16" i="48"/>
  <c r="L15" i="48"/>
  <c r="J15" i="48"/>
  <c r="H15" i="48"/>
  <c r="F15" i="48"/>
  <c r="L14" i="48"/>
  <c r="J14" i="48"/>
  <c r="H14" i="48"/>
  <c r="F14" i="48"/>
  <c r="L13" i="48"/>
  <c r="J13" i="48"/>
  <c r="H13" i="48"/>
  <c r="F13" i="48"/>
  <c r="L12" i="48"/>
  <c r="J12" i="48"/>
  <c r="H12" i="48"/>
  <c r="F12" i="48"/>
  <c r="L11" i="48"/>
  <c r="J11" i="48"/>
  <c r="H11" i="48"/>
  <c r="F11" i="48"/>
  <c r="L10" i="48"/>
  <c r="J10" i="48"/>
  <c r="H10" i="48"/>
  <c r="F10" i="48"/>
  <c r="N9" i="48"/>
  <c r="L9" i="48"/>
  <c r="J9" i="48"/>
  <c r="H9" i="48"/>
  <c r="F9" i="48"/>
  <c r="N8" i="48"/>
  <c r="K7" i="48"/>
  <c r="I7" i="48" s="1"/>
  <c r="L285" i="47"/>
  <c r="J285" i="47"/>
  <c r="H285" i="47"/>
  <c r="F285" i="47"/>
  <c r="L284" i="47"/>
  <c r="J284" i="47"/>
  <c r="H284" i="47"/>
  <c r="F284" i="47"/>
  <c r="L283" i="47"/>
  <c r="J283" i="47"/>
  <c r="H283" i="47"/>
  <c r="F283" i="47"/>
  <c r="L282" i="47"/>
  <c r="J282" i="47"/>
  <c r="H282" i="47"/>
  <c r="F282" i="47"/>
  <c r="L281" i="47"/>
  <c r="J281" i="47"/>
  <c r="H281" i="47"/>
  <c r="F281" i="47"/>
  <c r="L280" i="47"/>
  <c r="J280" i="47"/>
  <c r="H280" i="47"/>
  <c r="F280" i="47"/>
  <c r="L279" i="47"/>
  <c r="J279" i="47"/>
  <c r="H279" i="47"/>
  <c r="F279" i="47"/>
  <c r="L278" i="47"/>
  <c r="J278" i="47"/>
  <c r="H278" i="47"/>
  <c r="F278" i="47"/>
  <c r="L277" i="47"/>
  <c r="J277" i="47"/>
  <c r="H277" i="47"/>
  <c r="F277" i="47"/>
  <c r="L276" i="47"/>
  <c r="J276" i="47"/>
  <c r="H276" i="47"/>
  <c r="F276" i="47"/>
  <c r="L275" i="47"/>
  <c r="J275" i="47"/>
  <c r="H275" i="47"/>
  <c r="F275" i="47"/>
  <c r="L274" i="47"/>
  <c r="J274" i="47"/>
  <c r="H274" i="47"/>
  <c r="F274" i="47"/>
  <c r="N273" i="47"/>
  <c r="L273" i="47"/>
  <c r="J273" i="47"/>
  <c r="H273" i="47"/>
  <c r="F273" i="47"/>
  <c r="N272" i="47"/>
  <c r="M271" i="47"/>
  <c r="L263" i="47"/>
  <c r="J263" i="47"/>
  <c r="H263" i="47"/>
  <c r="F263" i="47"/>
  <c r="L262" i="47"/>
  <c r="J262" i="47"/>
  <c r="H262" i="47"/>
  <c r="F262" i="47"/>
  <c r="L261" i="47"/>
  <c r="J261" i="47"/>
  <c r="H261" i="47"/>
  <c r="F261" i="47"/>
  <c r="L260" i="47"/>
  <c r="J260" i="47"/>
  <c r="H260" i="47"/>
  <c r="F260" i="47"/>
  <c r="L259" i="47"/>
  <c r="J259" i="47"/>
  <c r="H259" i="47"/>
  <c r="F259" i="47"/>
  <c r="L258" i="47"/>
  <c r="J258" i="47"/>
  <c r="H258" i="47"/>
  <c r="F258" i="47"/>
  <c r="L257" i="47"/>
  <c r="J257" i="47"/>
  <c r="H257" i="47"/>
  <c r="F257" i="47"/>
  <c r="L256" i="47"/>
  <c r="J256" i="47"/>
  <c r="H256" i="47"/>
  <c r="F256" i="47"/>
  <c r="L255" i="47"/>
  <c r="J255" i="47"/>
  <c r="H255" i="47"/>
  <c r="F255" i="47"/>
  <c r="L254" i="47"/>
  <c r="J254" i="47"/>
  <c r="H254" i="47"/>
  <c r="F254" i="47"/>
  <c r="L253" i="47"/>
  <c r="J253" i="47"/>
  <c r="H253" i="47"/>
  <c r="F253" i="47"/>
  <c r="L252" i="47"/>
  <c r="J252" i="47"/>
  <c r="H252" i="47"/>
  <c r="F252" i="47"/>
  <c r="N251" i="47"/>
  <c r="L251" i="47"/>
  <c r="J251" i="47"/>
  <c r="H251" i="47"/>
  <c r="F251" i="47"/>
  <c r="N250" i="47"/>
  <c r="M249" i="47"/>
  <c r="K249" i="47"/>
  <c r="L250" i="47" s="1"/>
  <c r="L241" i="47"/>
  <c r="J241" i="47"/>
  <c r="H241" i="47"/>
  <c r="F241" i="47"/>
  <c r="L240" i="47"/>
  <c r="J240" i="47"/>
  <c r="H240" i="47"/>
  <c r="F240" i="47"/>
  <c r="L239" i="47"/>
  <c r="J239" i="47"/>
  <c r="H239" i="47"/>
  <c r="F239" i="47"/>
  <c r="L238" i="47"/>
  <c r="J238" i="47"/>
  <c r="H238" i="47"/>
  <c r="F238" i="47"/>
  <c r="L237" i="47"/>
  <c r="J237" i="47"/>
  <c r="H237" i="47"/>
  <c r="F237" i="47"/>
  <c r="L236" i="47"/>
  <c r="J236" i="47"/>
  <c r="H236" i="47"/>
  <c r="F236" i="47"/>
  <c r="L235" i="47"/>
  <c r="J235" i="47"/>
  <c r="H235" i="47"/>
  <c r="F235" i="47"/>
  <c r="L234" i="47"/>
  <c r="J234" i="47"/>
  <c r="H234" i="47"/>
  <c r="F234" i="47"/>
  <c r="L233" i="47"/>
  <c r="J233" i="47"/>
  <c r="H233" i="47"/>
  <c r="F233" i="47"/>
  <c r="L232" i="47"/>
  <c r="J232" i="47"/>
  <c r="H232" i="47"/>
  <c r="F232" i="47"/>
  <c r="L231" i="47"/>
  <c r="J231" i="47"/>
  <c r="H231" i="47"/>
  <c r="F231" i="47"/>
  <c r="L230" i="47"/>
  <c r="J230" i="47"/>
  <c r="H230" i="47"/>
  <c r="F230" i="47"/>
  <c r="N229" i="47"/>
  <c r="L229" i="47"/>
  <c r="J229" i="47"/>
  <c r="H229" i="47"/>
  <c r="F229" i="47"/>
  <c r="M227" i="47"/>
  <c r="N228" i="47" s="1"/>
  <c r="L219" i="47"/>
  <c r="J219" i="47"/>
  <c r="H219" i="47"/>
  <c r="F219" i="47"/>
  <c r="L218" i="47"/>
  <c r="J218" i="47"/>
  <c r="H218" i="47"/>
  <c r="F218" i="47"/>
  <c r="L217" i="47"/>
  <c r="J217" i="47"/>
  <c r="H217" i="47"/>
  <c r="F217" i="47"/>
  <c r="L216" i="47"/>
  <c r="J216" i="47"/>
  <c r="H216" i="47"/>
  <c r="F216" i="47"/>
  <c r="L215" i="47"/>
  <c r="J215" i="47"/>
  <c r="H215" i="47"/>
  <c r="F215" i="47"/>
  <c r="L214" i="47"/>
  <c r="J214" i="47"/>
  <c r="H214" i="47"/>
  <c r="F214" i="47"/>
  <c r="L213" i="47"/>
  <c r="J213" i="47"/>
  <c r="H213" i="47"/>
  <c r="F213" i="47"/>
  <c r="L212" i="47"/>
  <c r="J212" i="47"/>
  <c r="H212" i="47"/>
  <c r="F212" i="47"/>
  <c r="L211" i="47"/>
  <c r="J211" i="47"/>
  <c r="H211" i="47"/>
  <c r="F211" i="47"/>
  <c r="L210" i="47"/>
  <c r="J210" i="47"/>
  <c r="H210" i="47"/>
  <c r="F210" i="47"/>
  <c r="L209" i="47"/>
  <c r="J209" i="47"/>
  <c r="H209" i="47"/>
  <c r="F209" i="47"/>
  <c r="L208" i="47"/>
  <c r="J208" i="47"/>
  <c r="H208" i="47"/>
  <c r="F208" i="47"/>
  <c r="N207" i="47"/>
  <c r="L207" i="47"/>
  <c r="J207" i="47"/>
  <c r="H207" i="47"/>
  <c r="F207" i="47"/>
  <c r="M205" i="47"/>
  <c r="N206" i="47" s="1"/>
  <c r="L197" i="47"/>
  <c r="J197" i="47"/>
  <c r="H197" i="47"/>
  <c r="F197" i="47"/>
  <c r="L196" i="47"/>
  <c r="J196" i="47"/>
  <c r="H196" i="47"/>
  <c r="F196" i="47"/>
  <c r="L195" i="47"/>
  <c r="J195" i="47"/>
  <c r="H195" i="47"/>
  <c r="F195" i="47"/>
  <c r="L194" i="47"/>
  <c r="J194" i="47"/>
  <c r="H194" i="47"/>
  <c r="F194" i="47"/>
  <c r="L193" i="47"/>
  <c r="J193" i="47"/>
  <c r="H193" i="47"/>
  <c r="F193" i="47"/>
  <c r="L192" i="47"/>
  <c r="J192" i="47"/>
  <c r="H192" i="47"/>
  <c r="F192" i="47"/>
  <c r="L191" i="47"/>
  <c r="J191" i="47"/>
  <c r="H191" i="47"/>
  <c r="F191" i="47"/>
  <c r="L190" i="47"/>
  <c r="J190" i="47"/>
  <c r="H190" i="47"/>
  <c r="F190" i="47"/>
  <c r="L189" i="47"/>
  <c r="J189" i="47"/>
  <c r="H189" i="47"/>
  <c r="F189" i="47"/>
  <c r="L188" i="47"/>
  <c r="J188" i="47"/>
  <c r="H188" i="47"/>
  <c r="F188" i="47"/>
  <c r="L187" i="47"/>
  <c r="J187" i="47"/>
  <c r="H187" i="47"/>
  <c r="F187" i="47"/>
  <c r="L186" i="47"/>
  <c r="J186" i="47"/>
  <c r="H186" i="47"/>
  <c r="F186" i="47"/>
  <c r="N185" i="47"/>
  <c r="L185" i="47"/>
  <c r="J185" i="47"/>
  <c r="H185" i="47"/>
  <c r="F185" i="47"/>
  <c r="M183" i="47"/>
  <c r="N184" i="47" s="1"/>
  <c r="L175" i="47"/>
  <c r="J175" i="47"/>
  <c r="H175" i="47"/>
  <c r="F175" i="47"/>
  <c r="L174" i="47"/>
  <c r="J174" i="47"/>
  <c r="H174" i="47"/>
  <c r="F174" i="47"/>
  <c r="L173" i="47"/>
  <c r="J173" i="47"/>
  <c r="H173" i="47"/>
  <c r="F173" i="47"/>
  <c r="L172" i="47"/>
  <c r="J172" i="47"/>
  <c r="H172" i="47"/>
  <c r="F172" i="47"/>
  <c r="L171" i="47"/>
  <c r="J171" i="47"/>
  <c r="H171" i="47"/>
  <c r="F171" i="47"/>
  <c r="L170" i="47"/>
  <c r="J170" i="47"/>
  <c r="H170" i="47"/>
  <c r="F170" i="47"/>
  <c r="L169" i="47"/>
  <c r="J169" i="47"/>
  <c r="H169" i="47"/>
  <c r="F169" i="47"/>
  <c r="L168" i="47"/>
  <c r="J168" i="47"/>
  <c r="H168" i="47"/>
  <c r="F168" i="47"/>
  <c r="L167" i="47"/>
  <c r="J167" i="47"/>
  <c r="H167" i="47"/>
  <c r="F167" i="47"/>
  <c r="L166" i="47"/>
  <c r="J166" i="47"/>
  <c r="H166" i="47"/>
  <c r="F166" i="47"/>
  <c r="L165" i="47"/>
  <c r="J165" i="47"/>
  <c r="H165" i="47"/>
  <c r="F165" i="47"/>
  <c r="L164" i="47"/>
  <c r="J164" i="47"/>
  <c r="H164" i="47"/>
  <c r="F164" i="47"/>
  <c r="N163" i="47"/>
  <c r="L163" i="47"/>
  <c r="J163" i="47"/>
  <c r="H163" i="47"/>
  <c r="F163" i="47"/>
  <c r="N162" i="47"/>
  <c r="M161" i="47"/>
  <c r="L153" i="47"/>
  <c r="J153" i="47"/>
  <c r="H153" i="47"/>
  <c r="F153" i="47"/>
  <c r="L152" i="47"/>
  <c r="J152" i="47"/>
  <c r="H152" i="47"/>
  <c r="F152" i="47"/>
  <c r="L151" i="47"/>
  <c r="J151" i="47"/>
  <c r="H151" i="47"/>
  <c r="F151" i="47"/>
  <c r="L150" i="47"/>
  <c r="J150" i="47"/>
  <c r="H150" i="47"/>
  <c r="F150" i="47"/>
  <c r="L149" i="47"/>
  <c r="J149" i="47"/>
  <c r="H149" i="47"/>
  <c r="F149" i="47"/>
  <c r="L148" i="47"/>
  <c r="J148" i="47"/>
  <c r="H148" i="47"/>
  <c r="F148" i="47"/>
  <c r="L147" i="47"/>
  <c r="J147" i="47"/>
  <c r="H147" i="47"/>
  <c r="F147" i="47"/>
  <c r="L146" i="47"/>
  <c r="J146" i="47"/>
  <c r="H146" i="47"/>
  <c r="F146" i="47"/>
  <c r="L145" i="47"/>
  <c r="J145" i="47"/>
  <c r="H145" i="47"/>
  <c r="F145" i="47"/>
  <c r="L144" i="47"/>
  <c r="J144" i="47"/>
  <c r="H144" i="47"/>
  <c r="F144" i="47"/>
  <c r="L143" i="47"/>
  <c r="J143" i="47"/>
  <c r="H143" i="47"/>
  <c r="F143" i="47"/>
  <c r="L142" i="47"/>
  <c r="J142" i="47"/>
  <c r="H142" i="47"/>
  <c r="F142" i="47"/>
  <c r="N141" i="47"/>
  <c r="L141" i="47"/>
  <c r="J141" i="47"/>
  <c r="H141" i="47"/>
  <c r="F141" i="47"/>
  <c r="N140" i="47"/>
  <c r="M139" i="47"/>
  <c r="L131" i="47"/>
  <c r="J131" i="47"/>
  <c r="H131" i="47"/>
  <c r="F131" i="47"/>
  <c r="L130" i="47"/>
  <c r="J130" i="47"/>
  <c r="H130" i="47"/>
  <c r="F130" i="47"/>
  <c r="L129" i="47"/>
  <c r="J129" i="47"/>
  <c r="H129" i="47"/>
  <c r="F129" i="47"/>
  <c r="L128" i="47"/>
  <c r="J128" i="47"/>
  <c r="H128" i="47"/>
  <c r="F128" i="47"/>
  <c r="L127" i="47"/>
  <c r="J127" i="47"/>
  <c r="H127" i="47"/>
  <c r="F127" i="47"/>
  <c r="L126" i="47"/>
  <c r="J126" i="47"/>
  <c r="H126" i="47"/>
  <c r="F126" i="47"/>
  <c r="L125" i="47"/>
  <c r="J125" i="47"/>
  <c r="H125" i="47"/>
  <c r="F125" i="47"/>
  <c r="L124" i="47"/>
  <c r="J124" i="47"/>
  <c r="H124" i="47"/>
  <c r="F124" i="47"/>
  <c r="L123" i="47"/>
  <c r="J123" i="47"/>
  <c r="H123" i="47"/>
  <c r="F123" i="47"/>
  <c r="L122" i="47"/>
  <c r="J122" i="47"/>
  <c r="H122" i="47"/>
  <c r="F122" i="47"/>
  <c r="L121" i="47"/>
  <c r="J121" i="47"/>
  <c r="H121" i="47"/>
  <c r="F121" i="47"/>
  <c r="L120" i="47"/>
  <c r="J120" i="47"/>
  <c r="H120" i="47"/>
  <c r="F120" i="47"/>
  <c r="N119" i="47"/>
  <c r="L119" i="47"/>
  <c r="J119" i="47"/>
  <c r="H119" i="47"/>
  <c r="F119" i="47"/>
  <c r="M117" i="47"/>
  <c r="N118" i="47" s="1"/>
  <c r="L109" i="47"/>
  <c r="J109" i="47"/>
  <c r="H109" i="47"/>
  <c r="F109" i="47"/>
  <c r="L108" i="47"/>
  <c r="J108" i="47"/>
  <c r="H108" i="47"/>
  <c r="F108" i="47"/>
  <c r="L107" i="47"/>
  <c r="J107" i="47"/>
  <c r="H107" i="47"/>
  <c r="F107" i="47"/>
  <c r="L106" i="47"/>
  <c r="J106" i="47"/>
  <c r="H106" i="47"/>
  <c r="F106" i="47"/>
  <c r="L105" i="47"/>
  <c r="J105" i="47"/>
  <c r="H105" i="47"/>
  <c r="F105" i="47"/>
  <c r="L104" i="47"/>
  <c r="J104" i="47"/>
  <c r="H104" i="47"/>
  <c r="F104" i="47"/>
  <c r="L103" i="47"/>
  <c r="J103" i="47"/>
  <c r="H103" i="47"/>
  <c r="F103" i="47"/>
  <c r="L102" i="47"/>
  <c r="J102" i="47"/>
  <c r="H102" i="47"/>
  <c r="F102" i="47"/>
  <c r="L101" i="47"/>
  <c r="J101" i="47"/>
  <c r="H101" i="47"/>
  <c r="F101" i="47"/>
  <c r="L100" i="47"/>
  <c r="J100" i="47"/>
  <c r="H100" i="47"/>
  <c r="F100" i="47"/>
  <c r="L99" i="47"/>
  <c r="J99" i="47"/>
  <c r="H99" i="47"/>
  <c r="F99" i="47"/>
  <c r="L98" i="47"/>
  <c r="J98" i="47"/>
  <c r="H98" i="47"/>
  <c r="F98" i="47"/>
  <c r="N97" i="47"/>
  <c r="L97" i="47"/>
  <c r="J97" i="47"/>
  <c r="H97" i="47"/>
  <c r="F97" i="47"/>
  <c r="N96" i="47"/>
  <c r="M95" i="47"/>
  <c r="L87" i="47"/>
  <c r="J87" i="47"/>
  <c r="H87" i="47"/>
  <c r="F87" i="47"/>
  <c r="L86" i="47"/>
  <c r="J86" i="47"/>
  <c r="H86" i="47"/>
  <c r="F86" i="47"/>
  <c r="L85" i="47"/>
  <c r="J85" i="47"/>
  <c r="H85" i="47"/>
  <c r="F85" i="47"/>
  <c r="L84" i="47"/>
  <c r="J84" i="47"/>
  <c r="H84" i="47"/>
  <c r="F84" i="47"/>
  <c r="L83" i="47"/>
  <c r="J83" i="47"/>
  <c r="H83" i="47"/>
  <c r="F83" i="47"/>
  <c r="L82" i="47"/>
  <c r="J82" i="47"/>
  <c r="H82" i="47"/>
  <c r="F82" i="47"/>
  <c r="L81" i="47"/>
  <c r="J81" i="47"/>
  <c r="H81" i="47"/>
  <c r="F81" i="47"/>
  <c r="L80" i="47"/>
  <c r="J80" i="47"/>
  <c r="H80" i="47"/>
  <c r="F80" i="47"/>
  <c r="L79" i="47"/>
  <c r="J79" i="47"/>
  <c r="H79" i="47"/>
  <c r="F79" i="47"/>
  <c r="L78" i="47"/>
  <c r="J78" i="47"/>
  <c r="H78" i="47"/>
  <c r="F78" i="47"/>
  <c r="L77" i="47"/>
  <c r="J77" i="47"/>
  <c r="H77" i="47"/>
  <c r="F77" i="47"/>
  <c r="L76" i="47"/>
  <c r="J76" i="47"/>
  <c r="H76" i="47"/>
  <c r="F76" i="47"/>
  <c r="N75" i="47"/>
  <c r="L75" i="47"/>
  <c r="J75" i="47"/>
  <c r="H75" i="47"/>
  <c r="F75" i="47"/>
  <c r="N74" i="47"/>
  <c r="M73" i="47"/>
  <c r="K73" i="47"/>
  <c r="L74" i="47" s="1"/>
  <c r="L65" i="47"/>
  <c r="J65" i="47"/>
  <c r="H65" i="47"/>
  <c r="F65" i="47"/>
  <c r="L64" i="47"/>
  <c r="J64" i="47"/>
  <c r="H64" i="47"/>
  <c r="F64" i="47"/>
  <c r="L63" i="47"/>
  <c r="J63" i="47"/>
  <c r="H63" i="47"/>
  <c r="F63" i="47"/>
  <c r="L62" i="47"/>
  <c r="J62" i="47"/>
  <c r="H62" i="47"/>
  <c r="F62" i="47"/>
  <c r="L61" i="47"/>
  <c r="J61" i="47"/>
  <c r="H61" i="47"/>
  <c r="F61" i="47"/>
  <c r="L60" i="47"/>
  <c r="J60" i="47"/>
  <c r="H60" i="47"/>
  <c r="F60" i="47"/>
  <c r="L59" i="47"/>
  <c r="J59" i="47"/>
  <c r="H59" i="47"/>
  <c r="F59" i="47"/>
  <c r="L58" i="47"/>
  <c r="J58" i="47"/>
  <c r="H58" i="47"/>
  <c r="F58" i="47"/>
  <c r="L57" i="47"/>
  <c r="J57" i="47"/>
  <c r="H57" i="47"/>
  <c r="F57" i="47"/>
  <c r="L56" i="47"/>
  <c r="J56" i="47"/>
  <c r="H56" i="47"/>
  <c r="F56" i="47"/>
  <c r="L55" i="47"/>
  <c r="J55" i="47"/>
  <c r="H55" i="47"/>
  <c r="F55" i="47"/>
  <c r="L54" i="47"/>
  <c r="J54" i="47"/>
  <c r="H54" i="47"/>
  <c r="F54" i="47"/>
  <c r="N53" i="47"/>
  <c r="L53" i="47"/>
  <c r="J53" i="47"/>
  <c r="H53" i="47"/>
  <c r="F53" i="47"/>
  <c r="M51" i="47"/>
  <c r="N52" i="47" s="1"/>
  <c r="K51" i="47"/>
  <c r="L52" i="47" s="1"/>
  <c r="L43" i="47"/>
  <c r="J43" i="47"/>
  <c r="H43" i="47"/>
  <c r="F43" i="47"/>
  <c r="L42" i="47"/>
  <c r="J42" i="47"/>
  <c r="H42" i="47"/>
  <c r="F42" i="47"/>
  <c r="L41" i="47"/>
  <c r="J41" i="47"/>
  <c r="H41" i="47"/>
  <c r="F41" i="47"/>
  <c r="L40" i="47"/>
  <c r="J40" i="47"/>
  <c r="H40" i="47"/>
  <c r="F40" i="47"/>
  <c r="L39" i="47"/>
  <c r="J39" i="47"/>
  <c r="H39" i="47"/>
  <c r="F39" i="47"/>
  <c r="L38" i="47"/>
  <c r="J38" i="47"/>
  <c r="H38" i="47"/>
  <c r="F38" i="47"/>
  <c r="L37" i="47"/>
  <c r="J37" i="47"/>
  <c r="H37" i="47"/>
  <c r="F37" i="47"/>
  <c r="L36" i="47"/>
  <c r="J36" i="47"/>
  <c r="H36" i="47"/>
  <c r="F36" i="47"/>
  <c r="L35" i="47"/>
  <c r="J35" i="47"/>
  <c r="H35" i="47"/>
  <c r="F35" i="47"/>
  <c r="L34" i="47"/>
  <c r="J34" i="47"/>
  <c r="H34" i="47"/>
  <c r="F34" i="47"/>
  <c r="L33" i="47"/>
  <c r="J33" i="47"/>
  <c r="H33" i="47"/>
  <c r="F33" i="47"/>
  <c r="L32" i="47"/>
  <c r="J32" i="47"/>
  <c r="H32" i="47"/>
  <c r="F32" i="47"/>
  <c r="N31" i="47"/>
  <c r="L31" i="47"/>
  <c r="J31" i="47"/>
  <c r="H31" i="47"/>
  <c r="F31" i="47"/>
  <c r="M29" i="47"/>
  <c r="N30" i="47" s="1"/>
  <c r="L21" i="47"/>
  <c r="J21" i="47"/>
  <c r="H21" i="47"/>
  <c r="F21" i="47"/>
  <c r="L20" i="47"/>
  <c r="J20" i="47"/>
  <c r="H20" i="47"/>
  <c r="F20" i="47"/>
  <c r="L19" i="47"/>
  <c r="J19" i="47"/>
  <c r="H19" i="47"/>
  <c r="F19" i="47"/>
  <c r="L18" i="47"/>
  <c r="J18" i="47"/>
  <c r="H18" i="47"/>
  <c r="F18" i="47"/>
  <c r="L17" i="47"/>
  <c r="J17" i="47"/>
  <c r="H17" i="47"/>
  <c r="F17" i="47"/>
  <c r="L16" i="47"/>
  <c r="J16" i="47"/>
  <c r="H16" i="47"/>
  <c r="F16" i="47"/>
  <c r="L15" i="47"/>
  <c r="J15" i="47"/>
  <c r="H15" i="47"/>
  <c r="F15" i="47"/>
  <c r="L14" i="47"/>
  <c r="J14" i="47"/>
  <c r="H14" i="47"/>
  <c r="F14" i="47"/>
  <c r="L13" i="47"/>
  <c r="J13" i="47"/>
  <c r="H13" i="47"/>
  <c r="F13" i="47"/>
  <c r="L12" i="47"/>
  <c r="J12" i="47"/>
  <c r="H12" i="47"/>
  <c r="F12" i="47"/>
  <c r="L11" i="47"/>
  <c r="J11" i="47"/>
  <c r="H11" i="47"/>
  <c r="F11" i="47"/>
  <c r="L10" i="47"/>
  <c r="J10" i="47"/>
  <c r="H10" i="47"/>
  <c r="F10" i="47"/>
  <c r="N9" i="47"/>
  <c r="L9" i="47"/>
  <c r="J9" i="47"/>
  <c r="H9" i="47"/>
  <c r="F9" i="47"/>
  <c r="N8" i="47"/>
  <c r="K7" i="47"/>
  <c r="K183" i="47" s="1"/>
  <c r="L184" i="47" s="1"/>
  <c r="B270" i="47"/>
  <c r="B248" i="47"/>
  <c r="B226" i="47"/>
  <c r="B204" i="47"/>
  <c r="B182" i="47"/>
  <c r="B160" i="47"/>
  <c r="B138" i="47"/>
  <c r="B116" i="47"/>
  <c r="I29" i="50" l="1"/>
  <c r="G7" i="50"/>
  <c r="J8" i="50"/>
  <c r="I73" i="50"/>
  <c r="I95" i="50"/>
  <c r="I51" i="50"/>
  <c r="N96" i="50"/>
  <c r="N30" i="50"/>
  <c r="K29" i="50"/>
  <c r="L30" i="50" s="1"/>
  <c r="K51" i="50"/>
  <c r="K73" i="50"/>
  <c r="K95" i="50"/>
  <c r="L96" i="50" s="1"/>
  <c r="L8" i="50"/>
  <c r="N8" i="50"/>
  <c r="I7" i="49"/>
  <c r="K29" i="49"/>
  <c r="K117" i="49"/>
  <c r="K205" i="49"/>
  <c r="K95" i="49"/>
  <c r="K183" i="49"/>
  <c r="K73" i="49"/>
  <c r="K161" i="49"/>
  <c r="K253" i="49"/>
  <c r="G7" i="48"/>
  <c r="J8" i="48"/>
  <c r="L8" i="48"/>
  <c r="K29" i="47"/>
  <c r="L30" i="47" s="1"/>
  <c r="K205" i="47"/>
  <c r="L206" i="47" s="1"/>
  <c r="K227" i="47"/>
  <c r="L228" i="47" s="1"/>
  <c r="K95" i="47"/>
  <c r="L96" i="47" s="1"/>
  <c r="K271" i="47"/>
  <c r="L272" i="47" s="1"/>
  <c r="K117" i="47"/>
  <c r="L118" i="47" s="1"/>
  <c r="L8" i="47"/>
  <c r="K139" i="47"/>
  <c r="L140" i="47" s="1"/>
  <c r="K161" i="47"/>
  <c r="L162" i="47" s="1"/>
  <c r="I7" i="47"/>
  <c r="N74" i="50" l="1"/>
  <c r="L74" i="50"/>
  <c r="L52" i="50"/>
  <c r="N52" i="50"/>
  <c r="G51" i="50"/>
  <c r="G29" i="50"/>
  <c r="E7" i="50"/>
  <c r="H8" i="50"/>
  <c r="G95" i="50"/>
  <c r="G73" i="50"/>
  <c r="J30" i="50"/>
  <c r="I227" i="49"/>
  <c r="I139" i="49"/>
  <c r="I51" i="49"/>
  <c r="I253" i="49"/>
  <c r="I161" i="49"/>
  <c r="I73" i="49"/>
  <c r="G7" i="49"/>
  <c r="I183" i="49"/>
  <c r="I95" i="49"/>
  <c r="I205" i="49"/>
  <c r="I117" i="49"/>
  <c r="I29" i="49"/>
  <c r="L8" i="49"/>
  <c r="E7" i="48"/>
  <c r="H8" i="48"/>
  <c r="I205" i="47"/>
  <c r="J206" i="47" s="1"/>
  <c r="I29" i="47"/>
  <c r="J30" i="47" s="1"/>
  <c r="I183" i="47"/>
  <c r="J184" i="47" s="1"/>
  <c r="G7" i="47"/>
  <c r="I271" i="47"/>
  <c r="J272" i="47" s="1"/>
  <c r="I161" i="47"/>
  <c r="J162" i="47" s="1"/>
  <c r="I139" i="47"/>
  <c r="J140" i="47" s="1"/>
  <c r="J8" i="47"/>
  <c r="I95" i="47"/>
  <c r="J96" i="47" s="1"/>
  <c r="I117" i="47"/>
  <c r="J118" i="47" s="1"/>
  <c r="I249" i="47"/>
  <c r="J250" i="47" s="1"/>
  <c r="I73" i="47"/>
  <c r="J74" i="47" s="1"/>
  <c r="I227" i="47"/>
  <c r="J228" i="47" s="1"/>
  <c r="I51" i="47"/>
  <c r="J52" i="47" s="1"/>
  <c r="J74" i="50" l="1"/>
  <c r="E73" i="50"/>
  <c r="E51" i="50"/>
  <c r="C7" i="50"/>
  <c r="E29" i="50"/>
  <c r="E95" i="50"/>
  <c r="H96" i="50" s="1"/>
  <c r="J96" i="50"/>
  <c r="J52" i="50"/>
  <c r="E7" i="49"/>
  <c r="G227" i="49"/>
  <c r="H228" i="49" s="1"/>
  <c r="G139" i="49"/>
  <c r="H140" i="49" s="1"/>
  <c r="G51" i="49"/>
  <c r="H52" i="49" s="1"/>
  <c r="G205" i="49"/>
  <c r="H206" i="49" s="1"/>
  <c r="G29" i="49"/>
  <c r="H30" i="49" s="1"/>
  <c r="H8" i="49"/>
  <c r="G253" i="49"/>
  <c r="H254" i="49" s="1"/>
  <c r="G161" i="49"/>
  <c r="H162" i="49" s="1"/>
  <c r="G73" i="49"/>
  <c r="H74" i="49" s="1"/>
  <c r="G117" i="49"/>
  <c r="H118" i="49" s="1"/>
  <c r="G183" i="49"/>
  <c r="H184" i="49" s="1"/>
  <c r="G95" i="49"/>
  <c r="H96" i="49" s="1"/>
  <c r="J8" i="49"/>
  <c r="C7" i="48"/>
  <c r="F8" i="48"/>
  <c r="G227" i="47"/>
  <c r="H228" i="47" s="1"/>
  <c r="G51" i="47"/>
  <c r="H52" i="47" s="1"/>
  <c r="G117" i="47"/>
  <c r="H118" i="47" s="1"/>
  <c r="G205" i="47"/>
  <c r="H206" i="47" s="1"/>
  <c r="G29" i="47"/>
  <c r="H30" i="47" s="1"/>
  <c r="G183" i="47"/>
  <c r="H184" i="47" s="1"/>
  <c r="E7" i="47"/>
  <c r="G161" i="47"/>
  <c r="H162" i="47" s="1"/>
  <c r="G139" i="47"/>
  <c r="H140" i="47" s="1"/>
  <c r="H8" i="47"/>
  <c r="G271" i="47"/>
  <c r="H272" i="47" s="1"/>
  <c r="G95" i="47"/>
  <c r="H96" i="47" s="1"/>
  <c r="G249" i="47"/>
  <c r="H250" i="47" s="1"/>
  <c r="G73" i="47"/>
  <c r="H74" i="47" s="1"/>
  <c r="H30" i="50" l="1"/>
  <c r="C95" i="50"/>
  <c r="D96" i="50" s="1"/>
  <c r="C73" i="50"/>
  <c r="D74" i="50" s="1"/>
  <c r="C29" i="50"/>
  <c r="D30" i="50" s="1"/>
  <c r="C51" i="50"/>
  <c r="D52" i="50" s="1"/>
  <c r="D8" i="50"/>
  <c r="F8" i="50"/>
  <c r="H74" i="50"/>
  <c r="F96" i="50"/>
  <c r="H52" i="50"/>
  <c r="E205" i="49"/>
  <c r="F206" i="49" s="1"/>
  <c r="E117" i="49"/>
  <c r="F118" i="49" s="1"/>
  <c r="E29" i="49"/>
  <c r="F30" i="49" s="1"/>
  <c r="C7" i="49"/>
  <c r="E227" i="49"/>
  <c r="F228" i="49" s="1"/>
  <c r="E139" i="49"/>
  <c r="F140" i="49" s="1"/>
  <c r="E51" i="49"/>
  <c r="F52" i="49" s="1"/>
  <c r="F8" i="49"/>
  <c r="E253" i="49"/>
  <c r="F254" i="49" s="1"/>
  <c r="E161" i="49"/>
  <c r="F162" i="49" s="1"/>
  <c r="E73" i="49"/>
  <c r="F74" i="49" s="1"/>
  <c r="E183" i="49"/>
  <c r="F184" i="49" s="1"/>
  <c r="E95" i="49"/>
  <c r="F96" i="49" s="1"/>
  <c r="E73" i="48"/>
  <c r="F74" i="48" s="1"/>
  <c r="D8" i="48"/>
  <c r="C73" i="48"/>
  <c r="D74" i="48" s="1"/>
  <c r="E29" i="48"/>
  <c r="F30" i="48" s="1"/>
  <c r="E95" i="48"/>
  <c r="F96" i="48" s="1"/>
  <c r="C29" i="48"/>
  <c r="D30" i="48" s="1"/>
  <c r="C95" i="48"/>
  <c r="D96" i="48" s="1"/>
  <c r="E51" i="48"/>
  <c r="F52" i="48" s="1"/>
  <c r="C51" i="48"/>
  <c r="D52" i="48" s="1"/>
  <c r="E249" i="47"/>
  <c r="F250" i="47" s="1"/>
  <c r="E73" i="47"/>
  <c r="F74" i="47" s="1"/>
  <c r="E227" i="47"/>
  <c r="F228" i="47" s="1"/>
  <c r="E51" i="47"/>
  <c r="F52" i="47" s="1"/>
  <c r="E205" i="47"/>
  <c r="F206" i="47" s="1"/>
  <c r="E29" i="47"/>
  <c r="F30" i="47" s="1"/>
  <c r="E139" i="47"/>
  <c r="F140" i="47" s="1"/>
  <c r="E183" i="47"/>
  <c r="F184" i="47" s="1"/>
  <c r="C7" i="47"/>
  <c r="E161" i="47"/>
  <c r="F162" i="47" s="1"/>
  <c r="F8" i="47"/>
  <c r="E117" i="47"/>
  <c r="F118" i="47" s="1"/>
  <c r="E271" i="47"/>
  <c r="F272" i="47" s="1"/>
  <c r="E95" i="47"/>
  <c r="F96" i="47" s="1"/>
  <c r="F74" i="50" l="1"/>
  <c r="F30" i="50"/>
  <c r="F52" i="50"/>
  <c r="C183" i="49"/>
  <c r="D184" i="49" s="1"/>
  <c r="C205" i="49"/>
  <c r="D206" i="49" s="1"/>
  <c r="C117" i="49"/>
  <c r="D118" i="49" s="1"/>
  <c r="C29" i="49"/>
  <c r="D30" i="49" s="1"/>
  <c r="C227" i="49"/>
  <c r="D228" i="49" s="1"/>
  <c r="C139" i="49"/>
  <c r="D140" i="49" s="1"/>
  <c r="C51" i="49"/>
  <c r="D52" i="49" s="1"/>
  <c r="D8" i="49"/>
  <c r="C253" i="49"/>
  <c r="D254" i="49" s="1"/>
  <c r="C161" i="49"/>
  <c r="D162" i="49" s="1"/>
  <c r="C73" i="49"/>
  <c r="D74" i="49" s="1"/>
  <c r="C95" i="49"/>
  <c r="D96" i="49" s="1"/>
  <c r="C271" i="47"/>
  <c r="D272" i="47" s="1"/>
  <c r="C95" i="47"/>
  <c r="D96" i="47" s="1"/>
  <c r="C161" i="47"/>
  <c r="D162" i="47" s="1"/>
  <c r="C249" i="47"/>
  <c r="D250" i="47" s="1"/>
  <c r="C73" i="47"/>
  <c r="D74" i="47" s="1"/>
  <c r="C227" i="47"/>
  <c r="D228" i="47" s="1"/>
  <c r="C51" i="47"/>
  <c r="D52" i="47" s="1"/>
  <c r="C205" i="47"/>
  <c r="D206" i="47" s="1"/>
  <c r="C29" i="47"/>
  <c r="D30" i="47" s="1"/>
  <c r="C183" i="47"/>
  <c r="D184" i="47" s="1"/>
  <c r="C139" i="47"/>
  <c r="D140" i="47" s="1"/>
  <c r="D8" i="47"/>
  <c r="C117" i="47"/>
  <c r="D118" i="47" s="1"/>
  <c r="O135" i="43" l="1"/>
  <c r="N135" i="43"/>
  <c r="M135" i="43"/>
  <c r="I135" i="43"/>
  <c r="G135" i="43"/>
  <c r="N5" i="43"/>
  <c r="M5" i="43"/>
  <c r="I5" i="43"/>
  <c r="L5" i="43"/>
  <c r="H5" i="43"/>
  <c r="H135" i="42"/>
  <c r="N5" i="42"/>
  <c r="M5" i="42"/>
  <c r="L5" i="42"/>
  <c r="F5" i="42"/>
  <c r="O135" i="41"/>
  <c r="K135" i="41"/>
  <c r="J5" i="41"/>
  <c r="H5" i="41"/>
  <c r="F5" i="41"/>
  <c r="N133" i="40"/>
  <c r="M133" i="40"/>
  <c r="I133" i="40"/>
  <c r="H133" i="40"/>
  <c r="G133" i="40"/>
  <c r="N5" i="40"/>
  <c r="L5" i="40"/>
  <c r="J5" i="40"/>
  <c r="F5" i="40"/>
  <c r="N133" i="39"/>
  <c r="T5" i="39"/>
  <c r="S5" i="39"/>
  <c r="P5" i="39"/>
  <c r="H5" i="39"/>
  <c r="F5" i="39"/>
  <c r="N133" i="38"/>
  <c r="M133" i="38"/>
  <c r="L133" i="38"/>
  <c r="K133" i="38"/>
  <c r="R5" i="38"/>
  <c r="P5" i="38"/>
  <c r="N5" i="38"/>
  <c r="H5" i="38"/>
  <c r="F5" i="38"/>
  <c r="L123" i="37"/>
  <c r="K123" i="37"/>
  <c r="H123" i="37"/>
  <c r="G123" i="37"/>
  <c r="M123" i="37"/>
  <c r="R5" i="37"/>
  <c r="K5" i="37"/>
  <c r="I29" i="35"/>
  <c r="H29" i="35"/>
  <c r="AT7" i="35"/>
  <c r="AS7" i="35"/>
  <c r="AR7" i="35"/>
  <c r="AV7" i="35"/>
  <c r="AL7" i="35"/>
  <c r="AK7" i="35"/>
  <c r="AJ7" i="35"/>
  <c r="N7" i="35"/>
  <c r="N8" i="33"/>
  <c r="L8" i="33"/>
  <c r="H96" i="31"/>
  <c r="F96" i="31"/>
  <c r="J96" i="31"/>
  <c r="D96" i="31"/>
  <c r="J74" i="31"/>
  <c r="H74" i="31"/>
  <c r="M73" i="31"/>
  <c r="N74" i="31" s="1"/>
  <c r="L74" i="31"/>
  <c r="D74" i="31"/>
  <c r="L52" i="31"/>
  <c r="J52" i="31"/>
  <c r="D52" i="31"/>
  <c r="F52" i="31"/>
  <c r="L30" i="31"/>
  <c r="J30" i="31"/>
  <c r="H30" i="31"/>
  <c r="F30" i="31"/>
  <c r="D30" i="31"/>
  <c r="L8" i="31"/>
  <c r="J8" i="31"/>
  <c r="D8" i="31"/>
  <c r="M29" i="31"/>
  <c r="F8" i="31"/>
  <c r="N272" i="30"/>
  <c r="L272" i="30"/>
  <c r="F272" i="30"/>
  <c r="D272" i="30"/>
  <c r="H272" i="30"/>
  <c r="B270" i="30"/>
  <c r="J250" i="30"/>
  <c r="L250" i="30"/>
  <c r="F250" i="30"/>
  <c r="D250" i="30"/>
  <c r="B248" i="30"/>
  <c r="L228" i="30"/>
  <c r="H228" i="30"/>
  <c r="J228" i="30"/>
  <c r="F228" i="30"/>
  <c r="D228" i="30"/>
  <c r="B226" i="30"/>
  <c r="F206" i="30"/>
  <c r="D206" i="30"/>
  <c r="N206" i="30"/>
  <c r="L206" i="30"/>
  <c r="H206" i="30"/>
  <c r="B204" i="30"/>
  <c r="J184" i="30"/>
  <c r="H184" i="30"/>
  <c r="N184" i="30"/>
  <c r="L184" i="30"/>
  <c r="B182" i="30"/>
  <c r="H162" i="30"/>
  <c r="D162" i="30"/>
  <c r="N162" i="30"/>
  <c r="L162" i="30"/>
  <c r="B160" i="30"/>
  <c r="N140" i="30"/>
  <c r="L140" i="30"/>
  <c r="H140" i="30"/>
  <c r="F140" i="30"/>
  <c r="D140" i="30"/>
  <c r="B138" i="30"/>
  <c r="L118" i="30"/>
  <c r="F118" i="30"/>
  <c r="H118" i="30"/>
  <c r="D118" i="30"/>
  <c r="B116" i="30"/>
  <c r="J96" i="30"/>
  <c r="H96" i="30"/>
  <c r="L96" i="30"/>
  <c r="L74" i="30"/>
  <c r="J74" i="30"/>
  <c r="N74" i="30"/>
  <c r="D74" i="30"/>
  <c r="L52" i="30"/>
  <c r="J52" i="30"/>
  <c r="H52" i="30"/>
  <c r="D52" i="30"/>
  <c r="L30" i="30"/>
  <c r="H30" i="30"/>
  <c r="F30" i="30"/>
  <c r="D30" i="30"/>
  <c r="L8" i="30"/>
  <c r="J8" i="30"/>
  <c r="N8" i="30"/>
  <c r="D8" i="30"/>
  <c r="J6" i="28"/>
  <c r="I6" i="28"/>
  <c r="B4" i="28"/>
  <c r="K6" i="26"/>
  <c r="J6" i="26"/>
  <c r="B4" i="26"/>
  <c r="B4" i="22"/>
  <c r="V7" i="19"/>
  <c r="P7" i="19"/>
  <c r="N7" i="19"/>
  <c r="M7" i="19"/>
  <c r="B4" i="19"/>
  <c r="X6" i="18"/>
  <c r="B3" i="18"/>
  <c r="B4" i="17"/>
  <c r="J7" i="16"/>
  <c r="I7" i="16"/>
  <c r="B4" i="16"/>
  <c r="T9" i="14"/>
  <c r="I9" i="14"/>
  <c r="J9" i="14"/>
  <c r="B6" i="14"/>
  <c r="K6" i="13"/>
  <c r="J6" i="13"/>
  <c r="I6" i="13"/>
  <c r="B3" i="13"/>
  <c r="L5" i="12"/>
  <c r="K5" i="12"/>
  <c r="J5" i="12"/>
  <c r="R6" i="6"/>
  <c r="Q6" i="6"/>
  <c r="J6" i="6"/>
  <c r="I6" i="6"/>
  <c r="B3" i="6"/>
  <c r="U6" i="5"/>
  <c r="T6" i="5"/>
  <c r="S6" i="5"/>
  <c r="M6" i="5"/>
  <c r="L6" i="5"/>
  <c r="K6" i="5"/>
  <c r="B3" i="5"/>
  <c r="L79" i="3"/>
  <c r="K79" i="3"/>
  <c r="J79" i="3"/>
  <c r="L6" i="3"/>
  <c r="B39" i="1"/>
  <c r="B38" i="1"/>
  <c r="B37" i="1"/>
  <c r="M2" i="1"/>
  <c r="N37" i="19"/>
  <c r="N49" i="19"/>
  <c r="N149" i="19"/>
  <c r="V23" i="19"/>
  <c r="E49" i="22"/>
  <c r="K104" i="18"/>
  <c r="V78" i="18"/>
  <c r="E50" i="18"/>
  <c r="K48" i="18"/>
  <c r="C133" i="17"/>
  <c r="D161" i="22"/>
  <c r="M49" i="19"/>
  <c r="E146" i="18"/>
  <c r="E106" i="18"/>
  <c r="L62" i="18"/>
  <c r="U22" i="18"/>
  <c r="V8" i="18"/>
  <c r="F161" i="17"/>
  <c r="F93" i="17"/>
  <c r="F21" i="17"/>
  <c r="C105" i="16"/>
  <c r="C93" i="16"/>
  <c r="D91" i="16"/>
  <c r="G63" i="16"/>
  <c r="D163" i="14"/>
  <c r="D149" i="14"/>
  <c r="D135" i="14"/>
  <c r="D121" i="14"/>
  <c r="D107" i="14"/>
  <c r="D93" i="14"/>
  <c r="D79" i="14"/>
  <c r="D65" i="14"/>
  <c r="D51" i="14"/>
  <c r="D37" i="14"/>
  <c r="G146" i="13"/>
  <c r="G34" i="13"/>
  <c r="D66" i="11"/>
  <c r="D62" i="11"/>
  <c r="D58" i="11"/>
  <c r="D54" i="11"/>
  <c r="D42" i="11"/>
  <c r="D38" i="11"/>
  <c r="D34" i="11"/>
  <c r="D18" i="11"/>
  <c r="D14" i="11"/>
  <c r="D10" i="11"/>
  <c r="M21" i="9"/>
  <c r="E21" i="9"/>
  <c r="K19" i="9"/>
  <c r="Q17" i="9"/>
  <c r="I17" i="9"/>
  <c r="O15" i="9"/>
  <c r="G15" i="9"/>
  <c r="M13" i="9"/>
  <c r="E13" i="9"/>
  <c r="K11" i="9"/>
  <c r="Q9" i="9"/>
  <c r="I9" i="9"/>
  <c r="O78" i="18"/>
  <c r="K62" i="18"/>
  <c r="O36" i="18"/>
  <c r="O34" i="18"/>
  <c r="U8" i="18"/>
  <c r="F121" i="17"/>
  <c r="G161" i="16"/>
  <c r="G149" i="16"/>
  <c r="C91" i="16"/>
  <c r="D79" i="16"/>
  <c r="C21" i="16"/>
  <c r="D110" i="11"/>
  <c r="D106" i="11"/>
  <c r="D102" i="11"/>
  <c r="D90" i="11"/>
  <c r="D86" i="11"/>
  <c r="D82" i="11"/>
  <c r="D78" i="11"/>
  <c r="K20" i="9"/>
  <c r="Q18" i="9"/>
  <c r="I18" i="9"/>
  <c r="O16" i="9"/>
  <c r="G16" i="9"/>
  <c r="M14" i="9"/>
  <c r="E14" i="9"/>
  <c r="K12" i="9"/>
  <c r="Q10" i="9"/>
  <c r="I10" i="9"/>
  <c r="U90" i="18"/>
  <c r="O48" i="18"/>
  <c r="O22" i="18"/>
  <c r="K20" i="18"/>
  <c r="F91" i="17"/>
  <c r="F63" i="17"/>
  <c r="D161" i="16"/>
  <c r="G147" i="16"/>
  <c r="C79" i="16"/>
  <c r="D65" i="16"/>
  <c r="G49" i="16"/>
  <c r="G37" i="16"/>
  <c r="D9" i="16"/>
  <c r="L48" i="18"/>
  <c r="O8" i="18"/>
  <c r="U120" i="18"/>
  <c r="F147" i="17"/>
  <c r="V133" i="19"/>
  <c r="N119" i="19"/>
  <c r="U132" i="18"/>
  <c r="M118" i="18"/>
  <c r="F104" i="18"/>
  <c r="U76" i="18"/>
  <c r="V50" i="18"/>
  <c r="D48" i="18"/>
  <c r="F34" i="18"/>
  <c r="K22" i="18"/>
  <c r="E20" i="18"/>
  <c r="F119" i="17"/>
  <c r="F49" i="17"/>
  <c r="F37" i="17"/>
  <c r="G35" i="17"/>
  <c r="C9" i="17"/>
  <c r="C149" i="16"/>
  <c r="D147" i="16"/>
  <c r="D135" i="16"/>
  <c r="G121" i="16"/>
  <c r="G119" i="16"/>
  <c r="C49" i="16"/>
  <c r="G23" i="16"/>
  <c r="G23" i="14"/>
  <c r="G90" i="13"/>
  <c r="V148" i="18"/>
  <c r="T132" i="18"/>
  <c r="L118" i="18"/>
  <c r="C104" i="18"/>
  <c r="U92" i="18"/>
  <c r="T76" i="18"/>
  <c r="F64" i="18"/>
  <c r="C48" i="18"/>
  <c r="E34" i="18"/>
  <c r="D20" i="18"/>
  <c r="G135" i="17"/>
  <c r="E119" i="17"/>
  <c r="C105" i="17"/>
  <c r="C49" i="17"/>
  <c r="E37" i="17"/>
  <c r="F35" i="17"/>
  <c r="G23" i="17"/>
  <c r="R9" i="17"/>
  <c r="C135" i="16"/>
  <c r="D133" i="16"/>
  <c r="E121" i="16"/>
  <c r="G105" i="16"/>
  <c r="C37" i="16"/>
  <c r="D35" i="16"/>
  <c r="D23" i="16"/>
  <c r="G163" i="14"/>
  <c r="G149" i="14"/>
  <c r="G135" i="14"/>
  <c r="G121" i="14"/>
  <c r="G107" i="14"/>
  <c r="G93" i="14"/>
  <c r="G79" i="14"/>
  <c r="G65" i="14"/>
  <c r="G51" i="14"/>
  <c r="G37" i="14"/>
  <c r="F23" i="14"/>
  <c r="L160" i="18"/>
  <c r="U34" i="18"/>
  <c r="D22" i="18"/>
  <c r="D35" i="17"/>
  <c r="E149" i="16"/>
  <c r="D105" i="16"/>
  <c r="E51" i="16"/>
  <c r="G35" i="16"/>
  <c r="E149" i="14"/>
  <c r="E121" i="14"/>
  <c r="E93" i="14"/>
  <c r="E65" i="14"/>
  <c r="E37" i="14"/>
  <c r="D160" i="13"/>
  <c r="G132" i="13"/>
  <c r="K54" i="12"/>
  <c r="K47" i="12"/>
  <c r="K38" i="12"/>
  <c r="K31" i="12"/>
  <c r="K22" i="12"/>
  <c r="K15" i="12"/>
  <c r="D112" i="11"/>
  <c r="D107" i="11"/>
  <c r="D101" i="11"/>
  <c r="D88" i="11"/>
  <c r="D83" i="11"/>
  <c r="D77" i="11"/>
  <c r="D40" i="11"/>
  <c r="D35" i="11"/>
  <c r="D21" i="11"/>
  <c r="D16" i="11"/>
  <c r="D11" i="11"/>
  <c r="Q20" i="9"/>
  <c r="G20" i="9"/>
  <c r="O18" i="9"/>
  <c r="E18" i="9"/>
  <c r="M16" i="9"/>
  <c r="K14" i="9"/>
  <c r="V134" i="18"/>
  <c r="G161" i="17"/>
  <c r="E79" i="17"/>
  <c r="C77" i="17"/>
  <c r="E63" i="17"/>
  <c r="C35" i="17"/>
  <c r="G79" i="16"/>
  <c r="D146" i="13"/>
  <c r="G118" i="13"/>
  <c r="D48" i="13"/>
  <c r="K13" i="12"/>
  <c r="D63" i="11"/>
  <c r="D57" i="11"/>
  <c r="N23" i="19"/>
  <c r="C148" i="18"/>
  <c r="T134" i="18"/>
  <c r="T62" i="18"/>
  <c r="C161" i="16"/>
  <c r="E107" i="16"/>
  <c r="C63" i="16"/>
  <c r="D34" i="13"/>
  <c r="D111" i="11"/>
  <c r="D105" i="11"/>
  <c r="D100" i="11"/>
  <c r="D87" i="11"/>
  <c r="D81" i="11"/>
  <c r="D44" i="11"/>
  <c r="D39" i="11"/>
  <c r="D33" i="11"/>
  <c r="D20" i="11"/>
  <c r="D15" i="11"/>
  <c r="D9" i="11"/>
  <c r="O20" i="9"/>
  <c r="E20" i="9"/>
  <c r="M18" i="9"/>
  <c r="K16" i="9"/>
  <c r="I14" i="9"/>
  <c r="Q12" i="9"/>
  <c r="G12" i="9"/>
  <c r="O10" i="9"/>
  <c r="E10" i="9"/>
  <c r="K92" i="18"/>
  <c r="T36" i="18"/>
  <c r="T20" i="18"/>
  <c r="E8" i="18"/>
  <c r="C91" i="17"/>
  <c r="G49" i="17"/>
  <c r="Q21" i="17"/>
  <c r="C119" i="16"/>
  <c r="C9" i="16"/>
  <c r="E163" i="14"/>
  <c r="E135" i="14"/>
  <c r="E107" i="14"/>
  <c r="E79" i="14"/>
  <c r="E51" i="14"/>
  <c r="D23" i="14"/>
  <c r="N23" i="14"/>
  <c r="C23" i="14"/>
  <c r="C118" i="13"/>
  <c r="D104" i="13"/>
  <c r="F90" i="13"/>
  <c r="G20" i="13"/>
  <c r="K55" i="12"/>
  <c r="K46" i="12"/>
  <c r="K39" i="12"/>
  <c r="K30" i="12"/>
  <c r="K23" i="12"/>
  <c r="K11" i="12"/>
  <c r="K6" i="12"/>
  <c r="D109" i="11"/>
  <c r="D104" i="11"/>
  <c r="L50" i="18"/>
  <c r="F65" i="17"/>
  <c r="E147" i="16"/>
  <c r="G93" i="16"/>
  <c r="C65" i="16"/>
  <c r="D49" i="16"/>
  <c r="P21" i="16"/>
  <c r="F76" i="13"/>
  <c r="F20" i="13"/>
  <c r="K53" i="12"/>
  <c r="K44" i="12"/>
  <c r="K37" i="12"/>
  <c r="K28" i="12"/>
  <c r="K21" i="12"/>
  <c r="K14" i="12"/>
  <c r="D65" i="11"/>
  <c r="D60" i="11"/>
  <c r="D55" i="11"/>
  <c r="G21" i="9"/>
  <c r="O19" i="9"/>
  <c r="E19" i="9"/>
  <c r="M17" i="9"/>
  <c r="K15" i="9"/>
  <c r="I13" i="9"/>
  <c r="Q11" i="9"/>
  <c r="G11" i="9"/>
  <c r="O9" i="9"/>
  <c r="E9" i="9"/>
  <c r="T160" i="18"/>
  <c r="F135" i="17"/>
  <c r="D119" i="17"/>
  <c r="E105" i="17"/>
  <c r="C23" i="17"/>
  <c r="G21" i="16"/>
  <c r="F79" i="14"/>
  <c r="K51" i="12"/>
  <c r="K17" i="12"/>
  <c r="K12" i="12"/>
  <c r="K7" i="12"/>
  <c r="D113" i="11"/>
  <c r="D61" i="11"/>
  <c r="D8" i="11"/>
  <c r="I21" i="9"/>
  <c r="Q16" i="9"/>
  <c r="M15" i="9"/>
  <c r="K13" i="9"/>
  <c r="M12" i="9"/>
  <c r="N161" i="19"/>
  <c r="U20" i="18"/>
  <c r="C65" i="17"/>
  <c r="F21" i="16"/>
  <c r="F107" i="14"/>
  <c r="P23" i="14"/>
  <c r="G160" i="13"/>
  <c r="G62" i="13"/>
  <c r="K56" i="12"/>
  <c r="K32" i="12"/>
  <c r="D80" i="11"/>
  <c r="D43" i="11"/>
  <c r="D32" i="11"/>
  <c r="O17" i="9"/>
  <c r="M11" i="9"/>
  <c r="M10" i="9"/>
  <c r="M9" i="9"/>
  <c r="V146" i="18"/>
  <c r="E22" i="18"/>
  <c r="D121" i="16"/>
  <c r="C23" i="16"/>
  <c r="F135" i="14"/>
  <c r="E23" i="14"/>
  <c r="F62" i="13"/>
  <c r="K49" i="12"/>
  <c r="K42" i="12"/>
  <c r="K25" i="12"/>
  <c r="D89" i="11"/>
  <c r="D79" i="11"/>
  <c r="D41" i="11"/>
  <c r="D31" i="11"/>
  <c r="Q19" i="9"/>
  <c r="I12" i="9"/>
  <c r="I11" i="9"/>
  <c r="K10" i="9"/>
  <c r="M76" i="18"/>
  <c r="G51" i="17"/>
  <c r="D9" i="17"/>
  <c r="F163" i="14"/>
  <c r="F37" i="14"/>
  <c r="D90" i="13"/>
  <c r="K35" i="12"/>
  <c r="A15" i="12"/>
  <c r="K8" i="12"/>
  <c r="D108" i="11"/>
  <c r="D59" i="11"/>
  <c r="D13" i="11"/>
  <c r="I15" i="9"/>
  <c r="G14" i="9"/>
  <c r="G13" i="9"/>
  <c r="K9" i="9"/>
  <c r="F8" i="18"/>
  <c r="G133" i="17"/>
  <c r="D107" i="16"/>
  <c r="F105" i="16"/>
  <c r="F65" i="14"/>
  <c r="D118" i="13"/>
  <c r="S20" i="13"/>
  <c r="K57" i="12"/>
  <c r="K40" i="12"/>
  <c r="K16" i="12"/>
  <c r="D67" i="11"/>
  <c r="D56" i="11"/>
  <c r="D12" i="11"/>
  <c r="K17" i="9"/>
  <c r="I16" i="9"/>
  <c r="E15" i="9"/>
  <c r="G10" i="9"/>
  <c r="G9" i="9"/>
  <c r="J143" i="30"/>
  <c r="D106" i="18"/>
  <c r="F93" i="16"/>
  <c r="E91" i="16"/>
  <c r="F121" i="14"/>
  <c r="K48" i="12"/>
  <c r="K19" i="12"/>
  <c r="K9" i="12"/>
  <c r="D103" i="11"/>
  <c r="D84" i="11"/>
  <c r="D36" i="11"/>
  <c r="D19" i="11"/>
  <c r="D37" i="17"/>
  <c r="F149" i="14"/>
  <c r="C76" i="13"/>
  <c r="C20" i="13"/>
  <c r="M20" i="9"/>
  <c r="G17" i="9"/>
  <c r="O14" i="9"/>
  <c r="D17" i="11"/>
  <c r="I20" i="9"/>
  <c r="E17" i="9"/>
  <c r="Q13" i="9"/>
  <c r="O11" i="9"/>
  <c r="F51" i="14"/>
  <c r="G104" i="13"/>
  <c r="K41" i="12"/>
  <c r="K50" i="12"/>
  <c r="D64" i="11"/>
  <c r="M19" i="9"/>
  <c r="E11" i="9"/>
  <c r="V34" i="18"/>
  <c r="F23" i="17"/>
  <c r="F93" i="14"/>
  <c r="K33" i="12"/>
  <c r="K26" i="12"/>
  <c r="I19" i="9"/>
  <c r="E16" i="9"/>
  <c r="O13" i="9"/>
  <c r="G19" i="9"/>
  <c r="G135" i="16"/>
  <c r="G48" i="13"/>
  <c r="D37" i="11"/>
  <c r="O21" i="9"/>
  <c r="K18" i="9"/>
  <c r="Q15" i="9"/>
  <c r="K24" i="12"/>
  <c r="K21" i="9"/>
  <c r="G18" i="9"/>
  <c r="O12" i="9"/>
  <c r="F37" i="16"/>
  <c r="R20" i="13"/>
  <c r="D85" i="11"/>
  <c r="Q14" i="9"/>
  <c r="E12" i="9"/>
  <c r="H18" i="2"/>
  <c r="H17" i="2"/>
  <c r="N9" i="19" l="1"/>
  <c r="N79" i="19"/>
  <c r="D91" i="22"/>
  <c r="N121" i="19"/>
  <c r="N35" i="19"/>
  <c r="N91" i="19"/>
  <c r="F49" i="22"/>
  <c r="C91" i="22"/>
  <c r="F147" i="22"/>
  <c r="E104" i="26"/>
  <c r="F91" i="22"/>
  <c r="L9" i="2"/>
  <c r="J9" i="2"/>
  <c r="K9" i="2"/>
  <c r="L64" i="2"/>
  <c r="K64" i="2"/>
  <c r="J64" i="2"/>
  <c r="I67" i="2"/>
  <c r="H195" i="3"/>
  <c r="L11" i="2"/>
  <c r="K11" i="2"/>
  <c r="J11" i="2"/>
  <c r="S30" i="6"/>
  <c r="R30" i="6"/>
  <c r="Q30" i="6"/>
  <c r="L154" i="3"/>
  <c r="K154" i="3"/>
  <c r="J154" i="3"/>
  <c r="K158" i="3"/>
  <c r="L158" i="3"/>
  <c r="J158" i="3"/>
  <c r="K162" i="3"/>
  <c r="L162" i="3"/>
  <c r="J162" i="3"/>
  <c r="L166" i="3"/>
  <c r="K166" i="3"/>
  <c r="J166" i="3"/>
  <c r="L170" i="3"/>
  <c r="K170" i="3"/>
  <c r="J170" i="3"/>
  <c r="K174" i="3"/>
  <c r="L174" i="3"/>
  <c r="J174" i="3"/>
  <c r="L178" i="3"/>
  <c r="I189" i="3"/>
  <c r="K178" i="3"/>
  <c r="J178" i="3"/>
  <c r="L182" i="3"/>
  <c r="K182" i="3"/>
  <c r="I193" i="3"/>
  <c r="J182" i="3"/>
  <c r="W16" i="5"/>
  <c r="V16" i="5"/>
  <c r="U16" i="5"/>
  <c r="T16" i="5"/>
  <c r="S16" i="5"/>
  <c r="W22" i="5"/>
  <c r="V22" i="5"/>
  <c r="U22" i="5"/>
  <c r="T22" i="5"/>
  <c r="S22" i="5"/>
  <c r="M24" i="5"/>
  <c r="L24" i="5"/>
  <c r="K24" i="5"/>
  <c r="J24" i="5"/>
  <c r="I24" i="5"/>
  <c r="L72" i="3"/>
  <c r="K72" i="3"/>
  <c r="J72" i="3"/>
  <c r="K60" i="3"/>
  <c r="J60" i="3"/>
  <c r="L138" i="3"/>
  <c r="K138" i="3"/>
  <c r="J138" i="3"/>
  <c r="L142" i="3"/>
  <c r="K142" i="3"/>
  <c r="J142" i="3"/>
  <c r="F196" i="3"/>
  <c r="M44" i="5"/>
  <c r="K44" i="5"/>
  <c r="J44" i="5"/>
  <c r="I44" i="5"/>
  <c r="L44" i="5"/>
  <c r="U52" i="5"/>
  <c r="T52" i="5"/>
  <c r="S52" i="5"/>
  <c r="V52" i="5"/>
  <c r="W52" i="5"/>
  <c r="W19" i="5"/>
  <c r="V19" i="5"/>
  <c r="U19" i="5"/>
  <c r="T19" i="5"/>
  <c r="S19" i="5"/>
  <c r="M21" i="5"/>
  <c r="L21" i="5"/>
  <c r="K21" i="5"/>
  <c r="J21" i="5"/>
  <c r="I21" i="5"/>
  <c r="S9" i="6"/>
  <c r="R9" i="6"/>
  <c r="Q9" i="6"/>
  <c r="H193" i="3"/>
  <c r="H68" i="2"/>
  <c r="K61" i="3"/>
  <c r="J61" i="3"/>
  <c r="E122" i="3"/>
  <c r="G196" i="3"/>
  <c r="L155" i="3"/>
  <c r="K155" i="3"/>
  <c r="J155" i="3"/>
  <c r="L159" i="3"/>
  <c r="K159" i="3"/>
  <c r="J159" i="3"/>
  <c r="L163" i="3"/>
  <c r="K163" i="3"/>
  <c r="J163" i="3"/>
  <c r="L167" i="3"/>
  <c r="K167" i="3"/>
  <c r="J167" i="3"/>
  <c r="L171" i="3"/>
  <c r="K171" i="3"/>
  <c r="J171" i="3"/>
  <c r="L175" i="3"/>
  <c r="K175" i="3"/>
  <c r="J175" i="3"/>
  <c r="I186" i="3"/>
  <c r="K179" i="3"/>
  <c r="L179" i="3"/>
  <c r="I190" i="3"/>
  <c r="J179" i="3"/>
  <c r="L183" i="3"/>
  <c r="K183" i="3"/>
  <c r="J183" i="3"/>
  <c r="I194" i="3"/>
  <c r="W30" i="5"/>
  <c r="V30" i="5"/>
  <c r="U30" i="5"/>
  <c r="T30" i="5"/>
  <c r="S30" i="5"/>
  <c r="M32" i="5"/>
  <c r="L32" i="5"/>
  <c r="K32" i="5"/>
  <c r="J32" i="5"/>
  <c r="I32" i="5"/>
  <c r="K46" i="5"/>
  <c r="I46" i="5"/>
  <c r="M46" i="5"/>
  <c r="L46" i="5"/>
  <c r="J46" i="5"/>
  <c r="S47" i="6"/>
  <c r="Q47" i="6"/>
  <c r="R47" i="6"/>
  <c r="K39" i="6"/>
  <c r="J39" i="6"/>
  <c r="I39" i="6"/>
  <c r="K7" i="2"/>
  <c r="L7" i="2"/>
  <c r="J7" i="2"/>
  <c r="L145" i="3"/>
  <c r="K145" i="3"/>
  <c r="J145" i="3"/>
  <c r="H189" i="3"/>
  <c r="L139" i="3"/>
  <c r="K139" i="3"/>
  <c r="J139" i="3"/>
  <c r="L143" i="3"/>
  <c r="K143" i="3"/>
  <c r="J143" i="3"/>
  <c r="M29" i="5"/>
  <c r="L29" i="5"/>
  <c r="K29" i="5"/>
  <c r="J29" i="5"/>
  <c r="I29" i="5"/>
  <c r="K31" i="6"/>
  <c r="I31" i="6"/>
  <c r="J31" i="6"/>
  <c r="S21" i="6"/>
  <c r="R21" i="6"/>
  <c r="Q21" i="6"/>
  <c r="I18" i="2"/>
  <c r="L15" i="2"/>
  <c r="K15" i="2"/>
  <c r="J15" i="2"/>
  <c r="E43" i="2"/>
  <c r="L141" i="3"/>
  <c r="K141" i="3"/>
  <c r="J141" i="3"/>
  <c r="W43" i="5"/>
  <c r="V43" i="5"/>
  <c r="U43" i="5"/>
  <c r="T43" i="5"/>
  <c r="S43" i="5"/>
  <c r="H67" i="2"/>
  <c r="K52" i="3"/>
  <c r="J52" i="3"/>
  <c r="F122" i="3"/>
  <c r="L135" i="3"/>
  <c r="K135" i="3"/>
  <c r="J135" i="3"/>
  <c r="W27" i="5"/>
  <c r="V27" i="5"/>
  <c r="U27" i="5"/>
  <c r="T27" i="5"/>
  <c r="S27" i="5"/>
  <c r="K53" i="3"/>
  <c r="J53" i="3"/>
  <c r="W38" i="5"/>
  <c r="V38" i="5"/>
  <c r="U38" i="5"/>
  <c r="T38" i="5"/>
  <c r="S38" i="5"/>
  <c r="M40" i="5"/>
  <c r="L40" i="5"/>
  <c r="K40" i="5"/>
  <c r="J40" i="5"/>
  <c r="I40" i="5"/>
  <c r="K29" i="6"/>
  <c r="J29" i="6"/>
  <c r="I29" i="6"/>
  <c r="L137" i="3"/>
  <c r="K137" i="3"/>
  <c r="J137" i="3"/>
  <c r="L10" i="2"/>
  <c r="K10" i="2"/>
  <c r="J10" i="2"/>
  <c r="L14" i="2"/>
  <c r="J14" i="2"/>
  <c r="K14" i="2"/>
  <c r="I17" i="2"/>
  <c r="L49" i="2"/>
  <c r="J49" i="2"/>
  <c r="K49" i="2"/>
  <c r="E42" i="2"/>
  <c r="K44" i="3"/>
  <c r="J44" i="3"/>
  <c r="H123" i="3"/>
  <c r="L136" i="3"/>
  <c r="K136" i="3"/>
  <c r="J136" i="3"/>
  <c r="K140" i="3"/>
  <c r="L140" i="3"/>
  <c r="J140" i="3"/>
  <c r="L144" i="3"/>
  <c r="K144" i="3"/>
  <c r="J144" i="3"/>
  <c r="W11" i="5"/>
  <c r="V11" i="5"/>
  <c r="U11" i="5"/>
  <c r="T11" i="5"/>
  <c r="S11" i="5"/>
  <c r="M13" i="5"/>
  <c r="L13" i="5"/>
  <c r="K13" i="5"/>
  <c r="J13" i="5"/>
  <c r="I13" i="5"/>
  <c r="W35" i="5"/>
  <c r="V35" i="5"/>
  <c r="U35" i="5"/>
  <c r="T35" i="5"/>
  <c r="S35" i="5"/>
  <c r="M37" i="5"/>
  <c r="L37" i="5"/>
  <c r="K37" i="5"/>
  <c r="J37" i="5"/>
  <c r="I37" i="5"/>
  <c r="K45" i="3"/>
  <c r="J45" i="3"/>
  <c r="I123" i="3"/>
  <c r="L112" i="3"/>
  <c r="K112" i="3"/>
  <c r="J112" i="3"/>
  <c r="W8" i="5"/>
  <c r="V8" i="5"/>
  <c r="U8" i="5"/>
  <c r="T8" i="5"/>
  <c r="S8" i="5"/>
  <c r="M10" i="5"/>
  <c r="L10" i="5"/>
  <c r="K10" i="5"/>
  <c r="J10" i="5"/>
  <c r="I10" i="5"/>
  <c r="K8" i="6"/>
  <c r="J8" i="6"/>
  <c r="I8" i="6"/>
  <c r="S49" i="6"/>
  <c r="R49" i="6"/>
  <c r="Q49" i="6"/>
  <c r="K23" i="6"/>
  <c r="J23" i="6"/>
  <c r="I23" i="6"/>
  <c r="S24" i="6"/>
  <c r="R24" i="6"/>
  <c r="Q24" i="6"/>
  <c r="K32" i="6"/>
  <c r="J32" i="6"/>
  <c r="I32" i="6"/>
  <c r="S33" i="6"/>
  <c r="R33" i="6"/>
  <c r="Q33" i="6"/>
  <c r="K40" i="6"/>
  <c r="J40" i="6"/>
  <c r="I40" i="6"/>
  <c r="K46" i="6"/>
  <c r="J46" i="6"/>
  <c r="I46" i="6"/>
  <c r="I71" i="13"/>
  <c r="K71" i="13"/>
  <c r="J71" i="13"/>
  <c r="K43" i="3"/>
  <c r="J43" i="3"/>
  <c r="J51" i="3"/>
  <c r="K51" i="3"/>
  <c r="K59" i="3"/>
  <c r="J59" i="3"/>
  <c r="M7" i="5"/>
  <c r="L7" i="5"/>
  <c r="K7" i="5"/>
  <c r="J7" i="5"/>
  <c r="I7" i="5"/>
  <c r="W13" i="5"/>
  <c r="V13" i="5"/>
  <c r="U13" i="5"/>
  <c r="T13" i="5"/>
  <c r="S13" i="5"/>
  <c r="M15" i="5"/>
  <c r="I15" i="5"/>
  <c r="L15" i="5"/>
  <c r="K15" i="5"/>
  <c r="J15" i="5"/>
  <c r="M18" i="5"/>
  <c r="L18" i="5"/>
  <c r="I18" i="5"/>
  <c r="K18" i="5"/>
  <c r="J18" i="5"/>
  <c r="W24" i="5"/>
  <c r="V24" i="5"/>
  <c r="U24" i="5"/>
  <c r="T24" i="5"/>
  <c r="S24" i="5"/>
  <c r="M26" i="5"/>
  <c r="L26" i="5"/>
  <c r="K26" i="5"/>
  <c r="J26" i="5"/>
  <c r="I26" i="5"/>
  <c r="W32" i="5"/>
  <c r="V32" i="5"/>
  <c r="U32" i="5"/>
  <c r="T32" i="5"/>
  <c r="S32" i="5"/>
  <c r="M34" i="5"/>
  <c r="L34" i="5"/>
  <c r="K34" i="5"/>
  <c r="J34" i="5"/>
  <c r="I34" i="5"/>
  <c r="W40" i="5"/>
  <c r="V40" i="5"/>
  <c r="U40" i="5"/>
  <c r="T40" i="5"/>
  <c r="S40" i="5"/>
  <c r="M42" i="5"/>
  <c r="L42" i="5"/>
  <c r="K42" i="5"/>
  <c r="J42" i="5"/>
  <c r="I42" i="5"/>
  <c r="K138" i="13"/>
  <c r="H146" i="13"/>
  <c r="J138" i="13"/>
  <c r="I138" i="13"/>
  <c r="V10" i="5"/>
  <c r="U10" i="5"/>
  <c r="T10" i="5"/>
  <c r="S10" i="5"/>
  <c r="W10" i="5"/>
  <c r="V21" i="5"/>
  <c r="U21" i="5"/>
  <c r="T21" i="5"/>
  <c r="S21" i="5"/>
  <c r="W21" i="5"/>
  <c r="L23" i="5"/>
  <c r="K23" i="5"/>
  <c r="J23" i="5"/>
  <c r="I23" i="5"/>
  <c r="M23" i="5"/>
  <c r="V29" i="5"/>
  <c r="U29" i="5"/>
  <c r="T29" i="5"/>
  <c r="S29" i="5"/>
  <c r="W29" i="5"/>
  <c r="L31" i="5"/>
  <c r="K31" i="5"/>
  <c r="J31" i="5"/>
  <c r="I31" i="5"/>
  <c r="M31" i="5"/>
  <c r="V37" i="5"/>
  <c r="U37" i="5"/>
  <c r="T37" i="5"/>
  <c r="S37" i="5"/>
  <c r="W37" i="5"/>
  <c r="L39" i="5"/>
  <c r="K39" i="5"/>
  <c r="J39" i="5"/>
  <c r="I39" i="5"/>
  <c r="M39" i="5"/>
  <c r="J12" i="12"/>
  <c r="L12" i="12"/>
  <c r="I12" i="12"/>
  <c r="S14" i="6"/>
  <c r="R14" i="6"/>
  <c r="Q14" i="6"/>
  <c r="I16" i="13"/>
  <c r="K16" i="13"/>
  <c r="J16" i="13"/>
  <c r="J109" i="13"/>
  <c r="I109" i="13"/>
  <c r="K109" i="13"/>
  <c r="L12" i="5"/>
  <c r="K12" i="5"/>
  <c r="J12" i="5"/>
  <c r="I12" i="5"/>
  <c r="M12" i="5"/>
  <c r="K49" i="3"/>
  <c r="J49" i="3"/>
  <c r="J7" i="6"/>
  <c r="I7" i="6"/>
  <c r="K7" i="6"/>
  <c r="S8" i="6"/>
  <c r="R8" i="6"/>
  <c r="Q8" i="6"/>
  <c r="K16" i="6"/>
  <c r="J16" i="6"/>
  <c r="I16" i="6"/>
  <c r="K112" i="13"/>
  <c r="J112" i="13"/>
  <c r="I112" i="13"/>
  <c r="J27" i="17"/>
  <c r="I27" i="17"/>
  <c r="H35" i="17"/>
  <c r="J50" i="3"/>
  <c r="K50" i="3"/>
  <c r="K57" i="3"/>
  <c r="J57" i="3"/>
  <c r="J31" i="13"/>
  <c r="I31" i="13"/>
  <c r="K31" i="13"/>
  <c r="W36" i="18"/>
  <c r="X37" i="18"/>
  <c r="J42" i="3"/>
  <c r="K42" i="3"/>
  <c r="J58" i="3"/>
  <c r="K58" i="3"/>
  <c r="K41" i="3"/>
  <c r="J41" i="3"/>
  <c r="V19" i="13"/>
  <c r="W19" i="13"/>
  <c r="U19" i="13"/>
  <c r="K116" i="13"/>
  <c r="J116" i="13"/>
  <c r="I116" i="13"/>
  <c r="I149" i="13"/>
  <c r="K149" i="13"/>
  <c r="J149" i="13"/>
  <c r="I12" i="13"/>
  <c r="H20" i="13"/>
  <c r="K12" i="13"/>
  <c r="J12" i="13"/>
  <c r="K43" i="13"/>
  <c r="J43" i="13"/>
  <c r="I43" i="13"/>
  <c r="K47" i="13"/>
  <c r="J47" i="13"/>
  <c r="I47" i="13"/>
  <c r="I80" i="13"/>
  <c r="K80" i="13"/>
  <c r="J80" i="13"/>
  <c r="J100" i="13"/>
  <c r="I100" i="13"/>
  <c r="K100" i="13"/>
  <c r="J40" i="16"/>
  <c r="I40" i="16"/>
  <c r="J138" i="16"/>
  <c r="I138" i="16"/>
  <c r="P86" i="19"/>
  <c r="Q86" i="19"/>
  <c r="J40" i="13"/>
  <c r="I40" i="13"/>
  <c r="H48" i="13"/>
  <c r="K40" i="13"/>
  <c r="K69" i="13"/>
  <c r="J69" i="13"/>
  <c r="I69" i="13"/>
  <c r="I106" i="13"/>
  <c r="K106" i="13"/>
  <c r="J106" i="13"/>
  <c r="J122" i="13"/>
  <c r="K122" i="13"/>
  <c r="I122" i="13"/>
  <c r="J74" i="16"/>
  <c r="I74" i="16"/>
  <c r="J75" i="17"/>
  <c r="I75" i="17"/>
  <c r="X87" i="18"/>
  <c r="I14" i="12"/>
  <c r="L14" i="12"/>
  <c r="J14" i="12"/>
  <c r="K11" i="13"/>
  <c r="J11" i="13"/>
  <c r="I11" i="13"/>
  <c r="I37" i="13"/>
  <c r="K37" i="13"/>
  <c r="J37" i="13"/>
  <c r="J53" i="13"/>
  <c r="K53" i="13"/>
  <c r="I53" i="13"/>
  <c r="J130" i="13"/>
  <c r="K130" i="13"/>
  <c r="I130" i="13"/>
  <c r="J135" i="13"/>
  <c r="I135" i="13"/>
  <c r="K135" i="13"/>
  <c r="K151" i="13"/>
  <c r="J151" i="13"/>
  <c r="I151" i="13"/>
  <c r="T14" i="14"/>
  <c r="S14" i="14"/>
  <c r="T17" i="14"/>
  <c r="S17" i="14"/>
  <c r="V16" i="16"/>
  <c r="U16" i="16"/>
  <c r="J152" i="16"/>
  <c r="I152" i="16"/>
  <c r="J61" i="13"/>
  <c r="K61" i="13"/>
  <c r="I61" i="13"/>
  <c r="J66" i="13"/>
  <c r="I66" i="13"/>
  <c r="K66" i="13"/>
  <c r="K82" i="13"/>
  <c r="J82" i="13"/>
  <c r="I82" i="13"/>
  <c r="H90" i="13"/>
  <c r="K159" i="13"/>
  <c r="J159" i="13"/>
  <c r="I159" i="13"/>
  <c r="V15" i="17"/>
  <c r="U15" i="17"/>
  <c r="X11" i="18"/>
  <c r="V9" i="13"/>
  <c r="U9" i="13"/>
  <c r="W9" i="13"/>
  <c r="K17" i="13"/>
  <c r="J17" i="13"/>
  <c r="I17" i="13"/>
  <c r="J156" i="13"/>
  <c r="K156" i="13"/>
  <c r="I156" i="13"/>
  <c r="J18" i="14"/>
  <c r="I18" i="14"/>
  <c r="I24" i="16"/>
  <c r="K24" i="16"/>
  <c r="H23" i="16"/>
  <c r="J24" i="16"/>
  <c r="J122" i="16"/>
  <c r="H121" i="16"/>
  <c r="I122" i="16"/>
  <c r="J11" i="17"/>
  <c r="I11" i="17"/>
  <c r="J160" i="17"/>
  <c r="I160" i="17"/>
  <c r="K22" i="13"/>
  <c r="J22" i="13"/>
  <c r="I22" i="13"/>
  <c r="J87" i="13"/>
  <c r="K87" i="13"/>
  <c r="I87" i="13"/>
  <c r="K103" i="13"/>
  <c r="J103" i="13"/>
  <c r="I103" i="13"/>
  <c r="I140" i="13"/>
  <c r="K140" i="13"/>
  <c r="J140" i="13"/>
  <c r="I58" i="16"/>
  <c r="K58" i="16"/>
  <c r="J58" i="16"/>
  <c r="H77" i="16"/>
  <c r="J69" i="16"/>
  <c r="I69" i="16"/>
  <c r="I101" i="16"/>
  <c r="K101" i="16"/>
  <c r="J101" i="16"/>
  <c r="J156" i="16"/>
  <c r="I156" i="16"/>
  <c r="K9" i="13"/>
  <c r="J9" i="13"/>
  <c r="I9" i="13"/>
  <c r="K19" i="13"/>
  <c r="I19" i="13"/>
  <c r="J19" i="13"/>
  <c r="J36" i="13"/>
  <c r="I36" i="13"/>
  <c r="K36" i="13"/>
  <c r="I54" i="13"/>
  <c r="H62" i="13"/>
  <c r="J54" i="13"/>
  <c r="K54" i="13"/>
  <c r="K65" i="13"/>
  <c r="J65" i="13"/>
  <c r="I65" i="13"/>
  <c r="J83" i="13"/>
  <c r="I83" i="13"/>
  <c r="K83" i="13"/>
  <c r="K86" i="13"/>
  <c r="I86" i="13"/>
  <c r="J86" i="13"/>
  <c r="I123" i="13"/>
  <c r="J123" i="13"/>
  <c r="K123" i="13"/>
  <c r="K134" i="13"/>
  <c r="J134" i="13"/>
  <c r="I134" i="13"/>
  <c r="J152" i="13"/>
  <c r="I152" i="13"/>
  <c r="H160" i="13"/>
  <c r="K152" i="13"/>
  <c r="K155" i="13"/>
  <c r="I155" i="13"/>
  <c r="J155" i="13"/>
  <c r="J22" i="14"/>
  <c r="I22" i="14"/>
  <c r="V11" i="16"/>
  <c r="U11" i="16"/>
  <c r="I32" i="16"/>
  <c r="J32" i="16"/>
  <c r="J53" i="16"/>
  <c r="I53" i="16"/>
  <c r="K130" i="16"/>
  <c r="J130" i="16"/>
  <c r="I130" i="16"/>
  <c r="I48" i="17"/>
  <c r="J48" i="17"/>
  <c r="J82" i="17"/>
  <c r="I82" i="17"/>
  <c r="J98" i="17"/>
  <c r="I98" i="17"/>
  <c r="Q98" i="18"/>
  <c r="Q15" i="18"/>
  <c r="X109" i="18"/>
  <c r="I68" i="19"/>
  <c r="H68" i="19"/>
  <c r="X94" i="19"/>
  <c r="W93" i="19"/>
  <c r="Y94" i="19"/>
  <c r="I28" i="13"/>
  <c r="K28" i="13"/>
  <c r="J28" i="13"/>
  <c r="K39" i="13"/>
  <c r="J39" i="13"/>
  <c r="I39" i="13"/>
  <c r="J57" i="13"/>
  <c r="I57" i="13"/>
  <c r="K57" i="13"/>
  <c r="K60" i="13"/>
  <c r="J60" i="13"/>
  <c r="I60" i="13"/>
  <c r="J79" i="13"/>
  <c r="K79" i="13"/>
  <c r="I79" i="13"/>
  <c r="I97" i="13"/>
  <c r="K97" i="13"/>
  <c r="J97" i="13"/>
  <c r="K108" i="13"/>
  <c r="J108" i="13"/>
  <c r="I108" i="13"/>
  <c r="J126" i="13"/>
  <c r="I126" i="13"/>
  <c r="K126" i="13"/>
  <c r="K129" i="13"/>
  <c r="J129" i="13"/>
  <c r="I129" i="13"/>
  <c r="J148" i="13"/>
  <c r="K148" i="13"/>
  <c r="I148" i="13"/>
  <c r="J19" i="14"/>
  <c r="I19" i="14"/>
  <c r="K61" i="16"/>
  <c r="J61" i="16"/>
  <c r="I61" i="16"/>
  <c r="I127" i="16"/>
  <c r="J127" i="16"/>
  <c r="J143" i="16"/>
  <c r="I143" i="16"/>
  <c r="J25" i="17"/>
  <c r="I25" i="17"/>
  <c r="I57" i="17"/>
  <c r="J57" i="17"/>
  <c r="J61" i="17"/>
  <c r="I61" i="17"/>
  <c r="J94" i="17"/>
  <c r="H93" i="17"/>
  <c r="I94" i="17"/>
  <c r="J138" i="17"/>
  <c r="I138" i="17"/>
  <c r="X24" i="18"/>
  <c r="X44" i="18"/>
  <c r="I68" i="18"/>
  <c r="H76" i="18"/>
  <c r="I93" i="18"/>
  <c r="H92" i="18"/>
  <c r="I34" i="19"/>
  <c r="H34" i="19"/>
  <c r="I102" i="18"/>
  <c r="L6" i="12"/>
  <c r="I6" i="12"/>
  <c r="J6" i="12"/>
  <c r="K15" i="13"/>
  <c r="J15" i="13"/>
  <c r="I15" i="13"/>
  <c r="J27" i="13"/>
  <c r="K27" i="13"/>
  <c r="I27" i="13"/>
  <c r="I45" i="13"/>
  <c r="K45" i="13"/>
  <c r="J45" i="13"/>
  <c r="K56" i="13"/>
  <c r="J56" i="13"/>
  <c r="I56" i="13"/>
  <c r="J74" i="13"/>
  <c r="I74" i="13"/>
  <c r="K74" i="13"/>
  <c r="K78" i="13"/>
  <c r="J78" i="13"/>
  <c r="I78" i="13"/>
  <c r="J96" i="13"/>
  <c r="K96" i="13"/>
  <c r="I96" i="13"/>
  <c r="H104" i="13"/>
  <c r="I114" i="13"/>
  <c r="K114" i="13"/>
  <c r="J114" i="13"/>
  <c r="K125" i="13"/>
  <c r="J125" i="13"/>
  <c r="I125" i="13"/>
  <c r="J143" i="13"/>
  <c r="I143" i="13"/>
  <c r="K143" i="13"/>
  <c r="J11" i="14"/>
  <c r="I11" i="14"/>
  <c r="J15" i="14"/>
  <c r="I15" i="14"/>
  <c r="H23" i="14"/>
  <c r="J146" i="16"/>
  <c r="I146" i="16"/>
  <c r="J14" i="16"/>
  <c r="I14" i="16"/>
  <c r="J83" i="16"/>
  <c r="H91" i="16"/>
  <c r="I83" i="16"/>
  <c r="K87" i="16"/>
  <c r="J87" i="16"/>
  <c r="I87" i="16"/>
  <c r="J103" i="16"/>
  <c r="I103" i="16"/>
  <c r="J140" i="16"/>
  <c r="I140" i="16"/>
  <c r="K140" i="16"/>
  <c r="V19" i="17"/>
  <c r="U19" i="17"/>
  <c r="J100" i="17"/>
  <c r="I100" i="17"/>
  <c r="J151" i="17"/>
  <c r="I151" i="17"/>
  <c r="Q29" i="18"/>
  <c r="I33" i="18"/>
  <c r="R85" i="18"/>
  <c r="Q85" i="18"/>
  <c r="H132" i="18"/>
  <c r="I124" i="18"/>
  <c r="Q56" i="19"/>
  <c r="P56" i="19"/>
  <c r="L8" i="12"/>
  <c r="I8" i="12"/>
  <c r="J8" i="12"/>
  <c r="J13" i="12"/>
  <c r="I13" i="12"/>
  <c r="L13" i="12"/>
  <c r="K30" i="13"/>
  <c r="J30" i="13"/>
  <c r="I30" i="13"/>
  <c r="K52" i="13"/>
  <c r="I52" i="13"/>
  <c r="J52" i="13"/>
  <c r="J70" i="13"/>
  <c r="I70" i="13"/>
  <c r="K70" i="13"/>
  <c r="I88" i="13"/>
  <c r="J88" i="13"/>
  <c r="K88" i="13"/>
  <c r="K99" i="13"/>
  <c r="J99" i="13"/>
  <c r="I99" i="13"/>
  <c r="J117" i="13"/>
  <c r="I117" i="13"/>
  <c r="K117" i="13"/>
  <c r="K121" i="13"/>
  <c r="I121" i="13"/>
  <c r="J121" i="13"/>
  <c r="J139" i="13"/>
  <c r="I139" i="13"/>
  <c r="K139" i="13"/>
  <c r="I157" i="13"/>
  <c r="J157" i="13"/>
  <c r="K157" i="13"/>
  <c r="J14" i="14"/>
  <c r="I14" i="14"/>
  <c r="J18" i="16"/>
  <c r="I18" i="16"/>
  <c r="J20" i="16"/>
  <c r="I20" i="16"/>
  <c r="J34" i="16"/>
  <c r="I34" i="16"/>
  <c r="J71" i="16"/>
  <c r="I71" i="16"/>
  <c r="K112" i="16"/>
  <c r="J112" i="16"/>
  <c r="I112" i="16"/>
  <c r="I18" i="17"/>
  <c r="J18" i="17"/>
  <c r="J30" i="17"/>
  <c r="I30" i="17"/>
  <c r="J132" i="17"/>
  <c r="I132" i="17"/>
  <c r="X25" i="18"/>
  <c r="I149" i="18"/>
  <c r="H148" i="18"/>
  <c r="L10" i="12"/>
  <c r="I10" i="12"/>
  <c r="J10" i="12"/>
  <c r="K154" i="13"/>
  <c r="J154" i="13"/>
  <c r="I154" i="13"/>
  <c r="I8" i="13"/>
  <c r="K8" i="13"/>
  <c r="J8" i="13"/>
  <c r="K13" i="13"/>
  <c r="J13" i="13"/>
  <c r="I13" i="13"/>
  <c r="J23" i="13"/>
  <c r="I23" i="13"/>
  <c r="K23" i="13"/>
  <c r="K26" i="13"/>
  <c r="I26" i="13"/>
  <c r="H34" i="13"/>
  <c r="J26" i="13"/>
  <c r="J44" i="13"/>
  <c r="K44" i="13"/>
  <c r="I44" i="13"/>
  <c r="K73" i="13"/>
  <c r="J73" i="13"/>
  <c r="I73" i="13"/>
  <c r="J92" i="13"/>
  <c r="I92" i="13"/>
  <c r="K92" i="13"/>
  <c r="K95" i="13"/>
  <c r="J95" i="13"/>
  <c r="I95" i="13"/>
  <c r="J113" i="13"/>
  <c r="K113" i="13"/>
  <c r="I113" i="13"/>
  <c r="I131" i="13"/>
  <c r="K131" i="13"/>
  <c r="J131" i="13"/>
  <c r="K142" i="13"/>
  <c r="J142" i="13"/>
  <c r="I142" i="13"/>
  <c r="S19" i="14"/>
  <c r="T19" i="14"/>
  <c r="T18" i="14"/>
  <c r="S18" i="14"/>
  <c r="J43" i="16"/>
  <c r="I43" i="16"/>
  <c r="J80" i="16"/>
  <c r="I80" i="16"/>
  <c r="H79" i="16"/>
  <c r="J109" i="16"/>
  <c r="I109" i="16"/>
  <c r="J144" i="17"/>
  <c r="I144" i="17"/>
  <c r="J39" i="17"/>
  <c r="I39" i="17"/>
  <c r="J43" i="17"/>
  <c r="I43" i="17"/>
  <c r="J59" i="17"/>
  <c r="I59" i="17"/>
  <c r="I74" i="17"/>
  <c r="J74" i="17"/>
  <c r="X31" i="18"/>
  <c r="X71" i="18"/>
  <c r="I145" i="19"/>
  <c r="H145" i="19"/>
  <c r="I17" i="14"/>
  <c r="J17" i="14"/>
  <c r="J54" i="16"/>
  <c r="I54" i="16"/>
  <c r="K54" i="16"/>
  <c r="J57" i="16"/>
  <c r="I57" i="16"/>
  <c r="I75" i="16"/>
  <c r="J75" i="16"/>
  <c r="K86" i="16"/>
  <c r="I86" i="16"/>
  <c r="J86" i="16"/>
  <c r="J104" i="16"/>
  <c r="I104" i="16"/>
  <c r="J123" i="16"/>
  <c r="I123" i="16"/>
  <c r="K123" i="16"/>
  <c r="J126" i="16"/>
  <c r="I126" i="16"/>
  <c r="I144" i="16"/>
  <c r="J144" i="16"/>
  <c r="I155" i="16"/>
  <c r="J155" i="16"/>
  <c r="J16" i="17"/>
  <c r="I16" i="17"/>
  <c r="V17" i="17"/>
  <c r="U17" i="17"/>
  <c r="I31" i="17"/>
  <c r="J31" i="17"/>
  <c r="I42" i="17"/>
  <c r="J42" i="17"/>
  <c r="J60" i="17"/>
  <c r="I60" i="17"/>
  <c r="H65" i="17"/>
  <c r="I66" i="17"/>
  <c r="J66" i="17"/>
  <c r="J102" i="17"/>
  <c r="I102" i="17"/>
  <c r="J115" i="17"/>
  <c r="I115" i="17"/>
  <c r="J143" i="17"/>
  <c r="I143" i="17"/>
  <c r="I10" i="18"/>
  <c r="R18" i="18"/>
  <c r="Q18" i="18"/>
  <c r="X28" i="18"/>
  <c r="I38" i="18"/>
  <c r="X66" i="18"/>
  <c r="X114" i="18"/>
  <c r="I25" i="19"/>
  <c r="H25" i="19"/>
  <c r="I39" i="19"/>
  <c r="H39" i="19"/>
  <c r="Y68" i="19"/>
  <c r="X68" i="19"/>
  <c r="Q87" i="19"/>
  <c r="P87" i="19"/>
  <c r="L57" i="22"/>
  <c r="K57" i="22"/>
  <c r="J57" i="22"/>
  <c r="L15" i="12"/>
  <c r="J15" i="12"/>
  <c r="I15" i="12"/>
  <c r="L17" i="12"/>
  <c r="J17" i="12"/>
  <c r="I17" i="12"/>
  <c r="L19" i="12"/>
  <c r="I19" i="12"/>
  <c r="J19" i="12"/>
  <c r="L21" i="12"/>
  <c r="J21" i="12"/>
  <c r="I21" i="12"/>
  <c r="L23" i="12"/>
  <c r="J23" i="12"/>
  <c r="I23" i="12"/>
  <c r="L25" i="12"/>
  <c r="J25" i="12"/>
  <c r="I25" i="12"/>
  <c r="L27" i="12"/>
  <c r="I27" i="12"/>
  <c r="J27" i="12"/>
  <c r="L29" i="12"/>
  <c r="J29" i="12"/>
  <c r="I29" i="12"/>
  <c r="L31" i="12"/>
  <c r="J31" i="12"/>
  <c r="I31" i="12"/>
  <c r="L33" i="12"/>
  <c r="J33" i="12"/>
  <c r="I33" i="12"/>
  <c r="L35" i="12"/>
  <c r="I35" i="12"/>
  <c r="J35" i="12"/>
  <c r="L37" i="12"/>
  <c r="J37" i="12"/>
  <c r="I37" i="12"/>
  <c r="L39" i="12"/>
  <c r="J39" i="12"/>
  <c r="I39" i="12"/>
  <c r="L41" i="12"/>
  <c r="J41" i="12"/>
  <c r="I41" i="12"/>
  <c r="L43" i="12"/>
  <c r="I43" i="12"/>
  <c r="J43" i="12"/>
  <c r="L45" i="12"/>
  <c r="J45" i="12"/>
  <c r="I45" i="12"/>
  <c r="L47" i="12"/>
  <c r="J47" i="12"/>
  <c r="I47" i="12"/>
  <c r="L49" i="12"/>
  <c r="J49" i="12"/>
  <c r="I49" i="12"/>
  <c r="L51" i="12"/>
  <c r="I51" i="12"/>
  <c r="J51" i="12"/>
  <c r="L53" i="12"/>
  <c r="J53" i="12"/>
  <c r="I53" i="12"/>
  <c r="L55" i="12"/>
  <c r="J55" i="12"/>
  <c r="I55" i="12"/>
  <c r="L57" i="12"/>
  <c r="J57" i="12"/>
  <c r="I57" i="12"/>
  <c r="J16" i="14"/>
  <c r="I16" i="14"/>
  <c r="J25" i="14"/>
  <c r="I25" i="14"/>
  <c r="J26" i="14"/>
  <c r="I26" i="14"/>
  <c r="J27" i="14"/>
  <c r="I27" i="14"/>
  <c r="J28" i="14"/>
  <c r="I28" i="14"/>
  <c r="H37" i="14"/>
  <c r="J29" i="14"/>
  <c r="I29" i="14"/>
  <c r="J30" i="14"/>
  <c r="I30" i="14"/>
  <c r="J31" i="14"/>
  <c r="I31" i="14"/>
  <c r="J32" i="14"/>
  <c r="I32" i="14"/>
  <c r="J33" i="14"/>
  <c r="I33" i="14"/>
  <c r="J34" i="14"/>
  <c r="I34" i="14"/>
  <c r="J35" i="14"/>
  <c r="I35" i="14"/>
  <c r="J36" i="14"/>
  <c r="I36" i="14"/>
  <c r="J39" i="14"/>
  <c r="I39" i="14"/>
  <c r="J40" i="14"/>
  <c r="I40" i="14"/>
  <c r="J41" i="14"/>
  <c r="I41" i="14"/>
  <c r="J42" i="14"/>
  <c r="I42" i="14"/>
  <c r="H51" i="14"/>
  <c r="J43" i="14"/>
  <c r="I43" i="14"/>
  <c r="J44" i="14"/>
  <c r="I44" i="14"/>
  <c r="J45" i="14"/>
  <c r="I45" i="14"/>
  <c r="J46" i="14"/>
  <c r="I46" i="14"/>
  <c r="J47" i="14"/>
  <c r="I47" i="14"/>
  <c r="J48" i="14"/>
  <c r="I48" i="14"/>
  <c r="J49" i="14"/>
  <c r="I49" i="14"/>
  <c r="J50" i="14"/>
  <c r="I50" i="14"/>
  <c r="J53" i="14"/>
  <c r="I53" i="14"/>
  <c r="J54" i="14"/>
  <c r="I54" i="14"/>
  <c r="J55" i="14"/>
  <c r="I55" i="14"/>
  <c r="J56" i="14"/>
  <c r="I56" i="14"/>
  <c r="H65" i="14"/>
  <c r="J57" i="14"/>
  <c r="I57" i="14"/>
  <c r="J58" i="14"/>
  <c r="I58" i="14"/>
  <c r="J59" i="14"/>
  <c r="I59" i="14"/>
  <c r="J60" i="14"/>
  <c r="I60" i="14"/>
  <c r="J61" i="14"/>
  <c r="I61" i="14"/>
  <c r="J62" i="14"/>
  <c r="I62" i="14"/>
  <c r="J63" i="14"/>
  <c r="I63" i="14"/>
  <c r="J64" i="14"/>
  <c r="I64" i="14"/>
  <c r="J67" i="14"/>
  <c r="I67" i="14"/>
  <c r="J68" i="14"/>
  <c r="I68" i="14"/>
  <c r="J69" i="14"/>
  <c r="I69" i="14"/>
  <c r="J70" i="14"/>
  <c r="I70" i="14"/>
  <c r="H79" i="14"/>
  <c r="J71" i="14"/>
  <c r="I71" i="14"/>
  <c r="J72" i="14"/>
  <c r="I72" i="14"/>
  <c r="J73" i="14"/>
  <c r="I73" i="14"/>
  <c r="J74" i="14"/>
  <c r="I74" i="14"/>
  <c r="J75" i="14"/>
  <c r="I75" i="14"/>
  <c r="J76" i="14"/>
  <c r="I76" i="14"/>
  <c r="J77" i="14"/>
  <c r="I77" i="14"/>
  <c r="J78" i="14"/>
  <c r="I78" i="14"/>
  <c r="J81" i="14"/>
  <c r="I81" i="14"/>
  <c r="J82" i="14"/>
  <c r="I82" i="14"/>
  <c r="J83" i="14"/>
  <c r="I83" i="14"/>
  <c r="J84" i="14"/>
  <c r="I84" i="14"/>
  <c r="H93" i="14"/>
  <c r="J85" i="14"/>
  <c r="I85" i="14"/>
  <c r="J86" i="14"/>
  <c r="I86" i="14"/>
  <c r="J87" i="14"/>
  <c r="I87" i="14"/>
  <c r="J88" i="14"/>
  <c r="I88" i="14"/>
  <c r="J89" i="14"/>
  <c r="I89" i="14"/>
  <c r="J90" i="14"/>
  <c r="I90" i="14"/>
  <c r="J91" i="14"/>
  <c r="I91" i="14"/>
  <c r="J92" i="14"/>
  <c r="I92" i="14"/>
  <c r="J95" i="14"/>
  <c r="I95" i="14"/>
  <c r="J96" i="14"/>
  <c r="I96" i="14"/>
  <c r="J97" i="14"/>
  <c r="I97" i="14"/>
  <c r="J98" i="14"/>
  <c r="I98" i="14"/>
  <c r="H107" i="14"/>
  <c r="J99" i="14"/>
  <c r="I99" i="14"/>
  <c r="J100" i="14"/>
  <c r="I100" i="14"/>
  <c r="J101" i="14"/>
  <c r="I101" i="14"/>
  <c r="J102" i="14"/>
  <c r="I102" i="14"/>
  <c r="J103" i="14"/>
  <c r="I103" i="14"/>
  <c r="J104" i="14"/>
  <c r="I104" i="14"/>
  <c r="J105" i="14"/>
  <c r="I105" i="14"/>
  <c r="J106" i="14"/>
  <c r="I106" i="14"/>
  <c r="J109" i="14"/>
  <c r="I109" i="14"/>
  <c r="J110" i="14"/>
  <c r="I110" i="14"/>
  <c r="J111" i="14"/>
  <c r="I111" i="14"/>
  <c r="J112" i="14"/>
  <c r="I112" i="14"/>
  <c r="H121" i="14"/>
  <c r="J113" i="14"/>
  <c r="I113" i="14"/>
  <c r="J114" i="14"/>
  <c r="I114" i="14"/>
  <c r="J115" i="14"/>
  <c r="I115" i="14"/>
  <c r="J116" i="14"/>
  <c r="I116" i="14"/>
  <c r="J117" i="14"/>
  <c r="I117" i="14"/>
  <c r="J118" i="14"/>
  <c r="I118" i="14"/>
  <c r="J119" i="14"/>
  <c r="I119" i="14"/>
  <c r="J120" i="14"/>
  <c r="I120" i="14"/>
  <c r="J123" i="14"/>
  <c r="I123" i="14"/>
  <c r="J124" i="14"/>
  <c r="I124" i="14"/>
  <c r="J125" i="14"/>
  <c r="I125" i="14"/>
  <c r="J126" i="14"/>
  <c r="I126" i="14"/>
  <c r="H135" i="14"/>
  <c r="J127" i="14"/>
  <c r="I127" i="14"/>
  <c r="J128" i="14"/>
  <c r="I128" i="14"/>
  <c r="J129" i="14"/>
  <c r="I129" i="14"/>
  <c r="J130" i="14"/>
  <c r="I130" i="14"/>
  <c r="J131" i="14"/>
  <c r="I131" i="14"/>
  <c r="J132" i="14"/>
  <c r="I132" i="14"/>
  <c r="J133" i="14"/>
  <c r="I133" i="14"/>
  <c r="J134" i="14"/>
  <c r="I134" i="14"/>
  <c r="J137" i="14"/>
  <c r="I137" i="14"/>
  <c r="J138" i="14"/>
  <c r="I138" i="14"/>
  <c r="J139" i="14"/>
  <c r="I139" i="14"/>
  <c r="J140" i="14"/>
  <c r="I140" i="14"/>
  <c r="H149" i="14"/>
  <c r="J141" i="14"/>
  <c r="I141" i="14"/>
  <c r="J142" i="14"/>
  <c r="I142" i="14"/>
  <c r="J143" i="14"/>
  <c r="I143" i="14"/>
  <c r="J144" i="14"/>
  <c r="I144" i="14"/>
  <c r="J145" i="14"/>
  <c r="I145" i="14"/>
  <c r="J146" i="14"/>
  <c r="I146" i="14"/>
  <c r="J147" i="14"/>
  <c r="I147" i="14"/>
  <c r="J148" i="14"/>
  <c r="I148" i="14"/>
  <c r="J151" i="14"/>
  <c r="I151" i="14"/>
  <c r="J152" i="14"/>
  <c r="I152" i="14"/>
  <c r="J153" i="14"/>
  <c r="I153" i="14"/>
  <c r="J154" i="14"/>
  <c r="I154" i="14"/>
  <c r="H163" i="14"/>
  <c r="J155" i="14"/>
  <c r="I155" i="14"/>
  <c r="J156" i="14"/>
  <c r="I156" i="14"/>
  <c r="J157" i="14"/>
  <c r="I157" i="14"/>
  <c r="J158" i="14"/>
  <c r="I158" i="14"/>
  <c r="J159" i="14"/>
  <c r="I159" i="14"/>
  <c r="J160" i="14"/>
  <c r="I160" i="14"/>
  <c r="J161" i="14"/>
  <c r="I161" i="14"/>
  <c r="J162" i="14"/>
  <c r="I162" i="14"/>
  <c r="J16" i="16"/>
  <c r="I16" i="16"/>
  <c r="J28" i="16"/>
  <c r="I28" i="16"/>
  <c r="J31" i="16"/>
  <c r="I31" i="16"/>
  <c r="K60" i="16"/>
  <c r="J60" i="16"/>
  <c r="I60" i="16"/>
  <c r="J97" i="16"/>
  <c r="I97" i="16"/>
  <c r="H105" i="16"/>
  <c r="J100" i="16"/>
  <c r="K100" i="16"/>
  <c r="I100" i="16"/>
  <c r="I118" i="16"/>
  <c r="J118" i="16"/>
  <c r="J129" i="16"/>
  <c r="I129" i="16"/>
  <c r="I14" i="17"/>
  <c r="J14" i="17"/>
  <c r="J19" i="17"/>
  <c r="I19" i="17"/>
  <c r="J34" i="17"/>
  <c r="I34" i="17"/>
  <c r="J53" i="17"/>
  <c r="I53" i="17"/>
  <c r="J56" i="17"/>
  <c r="I56" i="17"/>
  <c r="J68" i="17"/>
  <c r="I68" i="17"/>
  <c r="J72" i="17"/>
  <c r="I72" i="17"/>
  <c r="J86" i="17"/>
  <c r="I86" i="17"/>
  <c r="I109" i="17"/>
  <c r="J109" i="17"/>
  <c r="X14" i="18"/>
  <c r="R19" i="18"/>
  <c r="Q19" i="18"/>
  <c r="R32" i="18"/>
  <c r="Q32" i="18"/>
  <c r="Q53" i="18"/>
  <c r="R53" i="18"/>
  <c r="X58" i="18"/>
  <c r="R80" i="18"/>
  <c r="Q80" i="18"/>
  <c r="W92" i="18"/>
  <c r="X93" i="18"/>
  <c r="Q122" i="18"/>
  <c r="R136" i="18"/>
  <c r="Q136" i="18"/>
  <c r="Y11" i="19"/>
  <c r="X11" i="19"/>
  <c r="I81" i="19"/>
  <c r="H81" i="19"/>
  <c r="X117" i="19"/>
  <c r="Y117" i="19"/>
  <c r="W17" i="22"/>
  <c r="X17" i="22"/>
  <c r="V17" i="22"/>
  <c r="J126" i="17"/>
  <c r="I126" i="17"/>
  <c r="J154" i="17"/>
  <c r="I154" i="17"/>
  <c r="X17" i="18"/>
  <c r="Q96" i="18"/>
  <c r="P104" i="18"/>
  <c r="R96" i="18"/>
  <c r="W147" i="19"/>
  <c r="Y139" i="19"/>
  <c r="X139" i="19"/>
  <c r="I142" i="19"/>
  <c r="H142" i="19"/>
  <c r="J27" i="16"/>
  <c r="I27" i="16"/>
  <c r="H35" i="16"/>
  <c r="J45" i="16"/>
  <c r="I45" i="16"/>
  <c r="K45" i="16"/>
  <c r="J48" i="16"/>
  <c r="I48" i="16"/>
  <c r="I67" i="16"/>
  <c r="J67" i="16"/>
  <c r="K96" i="16"/>
  <c r="J96" i="16"/>
  <c r="I96" i="16"/>
  <c r="J114" i="16"/>
  <c r="I114" i="16"/>
  <c r="J117" i="16"/>
  <c r="I117" i="16"/>
  <c r="R9" i="18"/>
  <c r="Q9" i="18"/>
  <c r="P8" i="18"/>
  <c r="R122" i="18" s="1"/>
  <c r="R127" i="18"/>
  <c r="Q127" i="18"/>
  <c r="Y15" i="19"/>
  <c r="X15" i="19"/>
  <c r="Y48" i="19"/>
  <c r="X48" i="19"/>
  <c r="Y75" i="19"/>
  <c r="X75" i="19"/>
  <c r="I13" i="14"/>
  <c r="J13" i="14"/>
  <c r="I21" i="14"/>
  <c r="J21" i="14"/>
  <c r="P20" i="18"/>
  <c r="R12" i="18"/>
  <c r="Q12" i="18"/>
  <c r="R25" i="18"/>
  <c r="Q25" i="18"/>
  <c r="R101" i="18"/>
  <c r="Q101" i="18"/>
  <c r="I74" i="19"/>
  <c r="H74" i="19"/>
  <c r="I16" i="19"/>
  <c r="H16" i="19"/>
  <c r="Y136" i="19"/>
  <c r="W135" i="19"/>
  <c r="X136" i="19"/>
  <c r="L104" i="22"/>
  <c r="K104" i="22"/>
  <c r="J104" i="22"/>
  <c r="L11" i="12"/>
  <c r="J11" i="12"/>
  <c r="I11" i="12"/>
  <c r="L16" i="12"/>
  <c r="J16" i="12"/>
  <c r="I16" i="12"/>
  <c r="L18" i="12"/>
  <c r="J18" i="12"/>
  <c r="I18" i="12"/>
  <c r="L20" i="12"/>
  <c r="I20" i="12"/>
  <c r="J20" i="12"/>
  <c r="L22" i="12"/>
  <c r="I22" i="12"/>
  <c r="J22" i="12"/>
  <c r="L24" i="12"/>
  <c r="J24" i="12"/>
  <c r="I24" i="12"/>
  <c r="L26" i="12"/>
  <c r="J26" i="12"/>
  <c r="I26" i="12"/>
  <c r="L28" i="12"/>
  <c r="I28" i="12"/>
  <c r="J28" i="12"/>
  <c r="L30" i="12"/>
  <c r="J30" i="12"/>
  <c r="I30" i="12"/>
  <c r="L32" i="12"/>
  <c r="J32" i="12"/>
  <c r="I32" i="12"/>
  <c r="L34" i="12"/>
  <c r="J34" i="12"/>
  <c r="I34" i="12"/>
  <c r="L36" i="12"/>
  <c r="I36" i="12"/>
  <c r="J36" i="12"/>
  <c r="L38" i="12"/>
  <c r="J38" i="12"/>
  <c r="I38" i="12"/>
  <c r="L40" i="12"/>
  <c r="J40" i="12"/>
  <c r="I40" i="12"/>
  <c r="L42" i="12"/>
  <c r="J42" i="12"/>
  <c r="I42" i="12"/>
  <c r="L44" i="12"/>
  <c r="I44" i="12"/>
  <c r="J44" i="12"/>
  <c r="L46" i="12"/>
  <c r="J46" i="12"/>
  <c r="I46" i="12"/>
  <c r="L48" i="12"/>
  <c r="J48" i="12"/>
  <c r="I48" i="12"/>
  <c r="L50" i="12"/>
  <c r="J50" i="12"/>
  <c r="I50" i="12"/>
  <c r="L52" i="12"/>
  <c r="I52" i="12"/>
  <c r="J52" i="12"/>
  <c r="L54" i="12"/>
  <c r="J54" i="12"/>
  <c r="I54" i="12"/>
  <c r="L56" i="12"/>
  <c r="J56" i="12"/>
  <c r="I56" i="12"/>
  <c r="I12" i="14"/>
  <c r="J12" i="14"/>
  <c r="I20" i="14"/>
  <c r="J20" i="14"/>
  <c r="H9" i="16"/>
  <c r="K138" i="16" s="1"/>
  <c r="J10" i="16"/>
  <c r="I10" i="16"/>
  <c r="K26" i="16"/>
  <c r="J26" i="16"/>
  <c r="I26" i="16"/>
  <c r="J44" i="16"/>
  <c r="I44" i="16"/>
  <c r="J62" i="16"/>
  <c r="I62" i="16"/>
  <c r="K62" i="16"/>
  <c r="H65" i="16"/>
  <c r="J66" i="16"/>
  <c r="I66" i="16"/>
  <c r="K66" i="16"/>
  <c r="I84" i="16"/>
  <c r="J84" i="16"/>
  <c r="K84" i="16"/>
  <c r="J20" i="17"/>
  <c r="I20" i="17"/>
  <c r="I40" i="17"/>
  <c r="J40" i="17"/>
  <c r="J69" i="17"/>
  <c r="I69" i="17"/>
  <c r="H77" i="17"/>
  <c r="J85" i="17"/>
  <c r="I85" i="17"/>
  <c r="P34" i="18"/>
  <c r="R26" i="18"/>
  <c r="Q26" i="18"/>
  <c r="R37" i="18"/>
  <c r="P36" i="18"/>
  <c r="Q37" i="18"/>
  <c r="Q61" i="18"/>
  <c r="R61" i="18"/>
  <c r="Q79" i="18"/>
  <c r="P78" i="18"/>
  <c r="R79" i="18"/>
  <c r="R89" i="18"/>
  <c r="Q89" i="18"/>
  <c r="R111" i="18"/>
  <c r="Q111" i="18"/>
  <c r="Y19" i="19"/>
  <c r="X19" i="19"/>
  <c r="Q27" i="19"/>
  <c r="O35" i="19"/>
  <c r="P27" i="19"/>
  <c r="I61" i="19"/>
  <c r="H61" i="19"/>
  <c r="H100" i="19"/>
  <c r="I100" i="19"/>
  <c r="W121" i="19"/>
  <c r="Y122" i="19"/>
  <c r="X122" i="19"/>
  <c r="P129" i="19"/>
  <c r="Q129" i="19"/>
  <c r="H152" i="19"/>
  <c r="I152" i="19"/>
  <c r="K110" i="22"/>
  <c r="L110" i="22"/>
  <c r="J110" i="22"/>
  <c r="Y31" i="19"/>
  <c r="X31" i="19"/>
  <c r="Q39" i="19"/>
  <c r="P39" i="19"/>
  <c r="Y45" i="19"/>
  <c r="X45" i="19"/>
  <c r="Q47" i="19"/>
  <c r="P47" i="19"/>
  <c r="Y61" i="19"/>
  <c r="X61" i="19"/>
  <c r="I13" i="19"/>
  <c r="G21" i="19"/>
  <c r="H13" i="19"/>
  <c r="H27" i="19"/>
  <c r="G35" i="19"/>
  <c r="I27" i="19"/>
  <c r="I46" i="19"/>
  <c r="H46" i="19"/>
  <c r="P84" i="19"/>
  <c r="Q84" i="19"/>
  <c r="X137" i="19"/>
  <c r="Y137" i="19"/>
  <c r="I43" i="19"/>
  <c r="H43" i="19"/>
  <c r="Q60" i="19"/>
  <c r="P60" i="19"/>
  <c r="Q62" i="19"/>
  <c r="P62" i="19"/>
  <c r="Y72" i="19"/>
  <c r="X72" i="19"/>
  <c r="Q90" i="19"/>
  <c r="P90" i="19"/>
  <c r="I99" i="19"/>
  <c r="H99" i="19"/>
  <c r="H141" i="19"/>
  <c r="I141" i="19"/>
  <c r="P15" i="19"/>
  <c r="Q15" i="19"/>
  <c r="P24" i="19"/>
  <c r="Q24" i="19"/>
  <c r="O23" i="19"/>
  <c r="Y27" i="19"/>
  <c r="W35" i="19"/>
  <c r="X27" i="19"/>
  <c r="Q34" i="19"/>
  <c r="P34" i="19"/>
  <c r="X38" i="19"/>
  <c r="W37" i="19"/>
  <c r="Y38" i="19"/>
  <c r="X46" i="19"/>
  <c r="Y46" i="19"/>
  <c r="Q73" i="19"/>
  <c r="P73" i="19"/>
  <c r="Y80" i="19"/>
  <c r="W79" i="19"/>
  <c r="X80" i="19"/>
  <c r="R108" i="19"/>
  <c r="O107" i="19"/>
  <c r="P108" i="19"/>
  <c r="Q108" i="19"/>
  <c r="Y118" i="19"/>
  <c r="X118" i="19"/>
  <c r="X132" i="19"/>
  <c r="Y132" i="19"/>
  <c r="R136" i="19"/>
  <c r="O135" i="19"/>
  <c r="P136" i="19"/>
  <c r="Q136" i="19"/>
  <c r="P142" i="19"/>
  <c r="Q142" i="19"/>
  <c r="W9" i="19"/>
  <c r="X10" i="19"/>
  <c r="Y10" i="19"/>
  <c r="Q17" i="19"/>
  <c r="P17" i="19"/>
  <c r="Y28" i="19"/>
  <c r="X28" i="19"/>
  <c r="P32" i="19"/>
  <c r="Q32" i="19"/>
  <c r="Y40" i="19"/>
  <c r="X40" i="19"/>
  <c r="Q44" i="19"/>
  <c r="P44" i="19"/>
  <c r="Y59" i="19"/>
  <c r="X59" i="19"/>
  <c r="Y70" i="19"/>
  <c r="X70" i="19"/>
  <c r="Q71" i="19"/>
  <c r="P71" i="19"/>
  <c r="X83" i="19"/>
  <c r="Y83" i="19"/>
  <c r="W91" i="19"/>
  <c r="P95" i="19"/>
  <c r="Q95" i="19"/>
  <c r="Q96" i="19"/>
  <c r="P96" i="19"/>
  <c r="Q99" i="19"/>
  <c r="P99" i="19"/>
  <c r="X124" i="19"/>
  <c r="Y124" i="19"/>
  <c r="X128" i="19"/>
  <c r="Y128" i="19"/>
  <c r="P138" i="19"/>
  <c r="Q138" i="19"/>
  <c r="P140" i="19"/>
  <c r="Q140" i="19"/>
  <c r="Q14" i="19"/>
  <c r="P14" i="19"/>
  <c r="Y18" i="19"/>
  <c r="X18" i="19"/>
  <c r="R26" i="19"/>
  <c r="Q26" i="19"/>
  <c r="P26" i="19"/>
  <c r="P41" i="19"/>
  <c r="O49" i="19"/>
  <c r="Q41" i="19"/>
  <c r="Y57" i="19"/>
  <c r="X57" i="19"/>
  <c r="Q58" i="19"/>
  <c r="P58" i="19"/>
  <c r="O77" i="19"/>
  <c r="Q69" i="19"/>
  <c r="P69" i="19"/>
  <c r="X76" i="19"/>
  <c r="Y76" i="19"/>
  <c r="Y87" i="19"/>
  <c r="X87" i="19"/>
  <c r="X89" i="19"/>
  <c r="Y89" i="19"/>
  <c r="P101" i="19"/>
  <c r="Q101" i="19"/>
  <c r="X130" i="19"/>
  <c r="Y130" i="19"/>
  <c r="P144" i="19"/>
  <c r="Q144" i="19"/>
  <c r="Q155" i="19"/>
  <c r="P155" i="19"/>
  <c r="L48" i="22"/>
  <c r="K48" i="22"/>
  <c r="J48" i="22"/>
  <c r="X12" i="19"/>
  <c r="Y12" i="19"/>
  <c r="Q13" i="19"/>
  <c r="O21" i="19"/>
  <c r="P13" i="19"/>
  <c r="Y24" i="19"/>
  <c r="X24" i="19"/>
  <c r="W23" i="19"/>
  <c r="Q31" i="19"/>
  <c r="P31" i="19"/>
  <c r="Q43" i="19"/>
  <c r="P43" i="19"/>
  <c r="Y55" i="19"/>
  <c r="X55" i="19"/>
  <c r="W63" i="19"/>
  <c r="W65" i="19"/>
  <c r="Y66" i="19"/>
  <c r="X66" i="19"/>
  <c r="Q67" i="19"/>
  <c r="P67" i="19"/>
  <c r="X98" i="19"/>
  <c r="Y98" i="19"/>
  <c r="Y101" i="19"/>
  <c r="X101" i="19"/>
  <c r="P110" i="19"/>
  <c r="Q110" i="19"/>
  <c r="Q113" i="19"/>
  <c r="R113" i="19"/>
  <c r="P113" i="19"/>
  <c r="P114" i="19"/>
  <c r="Q114" i="19"/>
  <c r="X143" i="19"/>
  <c r="Y143" i="19"/>
  <c r="O161" i="19"/>
  <c r="P153" i="19"/>
  <c r="Q153" i="19"/>
  <c r="I21" i="22"/>
  <c r="L13" i="22"/>
  <c r="K13" i="22"/>
  <c r="J13" i="22"/>
  <c r="L16" i="22"/>
  <c r="K16" i="22"/>
  <c r="J16" i="22"/>
  <c r="Q10" i="19"/>
  <c r="P10" i="19"/>
  <c r="O9" i="19"/>
  <c r="R95" i="19" s="1"/>
  <c r="X20" i="19"/>
  <c r="Y20" i="19"/>
  <c r="Y32" i="19"/>
  <c r="X32" i="19"/>
  <c r="Q40" i="19"/>
  <c r="P40" i="19"/>
  <c r="X44" i="19"/>
  <c r="Y44" i="19"/>
  <c r="Y53" i="19"/>
  <c r="X53" i="19"/>
  <c r="Q54" i="19"/>
  <c r="P54" i="19"/>
  <c r="P75" i="19"/>
  <c r="R75" i="19"/>
  <c r="Q75" i="19"/>
  <c r="X102" i="19"/>
  <c r="Y102" i="19"/>
  <c r="Y144" i="19"/>
  <c r="X144" i="19"/>
  <c r="X145" i="19"/>
  <c r="Y145" i="19"/>
  <c r="K17" i="26"/>
  <c r="J17" i="26"/>
  <c r="I17" i="26"/>
  <c r="Y14" i="19"/>
  <c r="X14" i="19"/>
  <c r="R18" i="19"/>
  <c r="Q18" i="19"/>
  <c r="P18" i="19"/>
  <c r="X29" i="19"/>
  <c r="Y29" i="19"/>
  <c r="P30" i="19"/>
  <c r="Q30" i="19"/>
  <c r="W49" i="19"/>
  <c r="Y41" i="19"/>
  <c r="X41" i="19"/>
  <c r="O51" i="19"/>
  <c r="Q52" i="19"/>
  <c r="P52" i="19"/>
  <c r="Y74" i="19"/>
  <c r="X74" i="19"/>
  <c r="X109" i="19"/>
  <c r="Y109" i="19"/>
  <c r="Y110" i="19"/>
  <c r="X110" i="19"/>
  <c r="X113" i="19"/>
  <c r="Y113" i="19"/>
  <c r="Q122" i="19"/>
  <c r="R122" i="19"/>
  <c r="P122" i="19"/>
  <c r="O121" i="19"/>
  <c r="P123" i="19"/>
  <c r="Q123" i="19"/>
  <c r="Q125" i="19"/>
  <c r="O133" i="19"/>
  <c r="P125" i="19"/>
  <c r="X152" i="19"/>
  <c r="Y152" i="19"/>
  <c r="L39" i="22"/>
  <c r="K39" i="22"/>
  <c r="J39" i="22"/>
  <c r="L53" i="22"/>
  <c r="K53" i="22"/>
  <c r="J53" i="22"/>
  <c r="R12" i="19"/>
  <c r="Q12" i="19"/>
  <c r="P12" i="19"/>
  <c r="X17" i="19"/>
  <c r="Y17" i="19"/>
  <c r="Q20" i="19"/>
  <c r="P20" i="19"/>
  <c r="Y26" i="19"/>
  <c r="X26" i="19"/>
  <c r="P29" i="19"/>
  <c r="Q29" i="19"/>
  <c r="Y34" i="19"/>
  <c r="X34" i="19"/>
  <c r="O37" i="19"/>
  <c r="Q38" i="19"/>
  <c r="P38" i="19"/>
  <c r="Y43" i="19"/>
  <c r="X43" i="19"/>
  <c r="Q46" i="19"/>
  <c r="P46" i="19"/>
  <c r="R48" i="19"/>
  <c r="Q48" i="19"/>
  <c r="P48" i="19"/>
  <c r="P53" i="19"/>
  <c r="Q53" i="19"/>
  <c r="Y54" i="19"/>
  <c r="X54" i="19"/>
  <c r="R57" i="19"/>
  <c r="Q57" i="19"/>
  <c r="P57" i="19"/>
  <c r="X58" i="19"/>
  <c r="Y58" i="19"/>
  <c r="Q61" i="19"/>
  <c r="P61" i="19"/>
  <c r="Y62" i="19"/>
  <c r="X62" i="19"/>
  <c r="O65" i="19"/>
  <c r="Q66" i="19"/>
  <c r="P66" i="19"/>
  <c r="Y67" i="19"/>
  <c r="X67" i="19"/>
  <c r="R70" i="19"/>
  <c r="P70" i="19"/>
  <c r="Q70" i="19"/>
  <c r="Y71" i="19"/>
  <c r="X71" i="19"/>
  <c r="Q74" i="19"/>
  <c r="P74" i="19"/>
  <c r="P80" i="19"/>
  <c r="O79" i="19"/>
  <c r="Q80" i="19"/>
  <c r="X85" i="19"/>
  <c r="Y85" i="19"/>
  <c r="K71" i="22"/>
  <c r="L71" i="22"/>
  <c r="J71" i="22"/>
  <c r="X14" i="22"/>
  <c r="W14" i="22"/>
  <c r="V14" i="22"/>
  <c r="K8" i="26"/>
  <c r="J8" i="26"/>
  <c r="I8" i="26"/>
  <c r="K79" i="26"/>
  <c r="J79" i="26"/>
  <c r="I79" i="26"/>
  <c r="K75" i="22"/>
  <c r="L75" i="22"/>
  <c r="J75" i="22"/>
  <c r="K130" i="22"/>
  <c r="L130" i="22"/>
  <c r="J130" i="22"/>
  <c r="K135" i="22"/>
  <c r="L135" i="22"/>
  <c r="J135" i="22"/>
  <c r="K139" i="22"/>
  <c r="L139" i="22"/>
  <c r="J139" i="22"/>
  <c r="I147" i="22"/>
  <c r="K143" i="22"/>
  <c r="L143" i="22"/>
  <c r="J143" i="22"/>
  <c r="F161" i="22"/>
  <c r="E76" i="26"/>
  <c r="J83" i="26"/>
  <c r="K83" i="26"/>
  <c r="I83" i="26"/>
  <c r="H104" i="26"/>
  <c r="K96" i="26"/>
  <c r="J96" i="26"/>
  <c r="I96" i="26"/>
  <c r="H12" i="30"/>
  <c r="D77" i="22"/>
  <c r="D119" i="22"/>
  <c r="J11" i="26"/>
  <c r="I11" i="26"/>
  <c r="K11" i="26"/>
  <c r="J23" i="26"/>
  <c r="K23" i="26"/>
  <c r="I23" i="26"/>
  <c r="D48" i="26"/>
  <c r="F76" i="26"/>
  <c r="X10" i="22"/>
  <c r="W10" i="22"/>
  <c r="V10" i="22"/>
  <c r="L14" i="22"/>
  <c r="K14" i="22"/>
  <c r="J14" i="22"/>
  <c r="E77" i="22"/>
  <c r="G48" i="26"/>
  <c r="F77" i="22"/>
  <c r="K28" i="26"/>
  <c r="J28" i="26"/>
  <c r="I28" i="26"/>
  <c r="I101" i="26"/>
  <c r="K101" i="26"/>
  <c r="J101" i="26"/>
  <c r="J10" i="22"/>
  <c r="K10" i="22"/>
  <c r="L10" i="22"/>
  <c r="U21" i="22"/>
  <c r="V13" i="22"/>
  <c r="X13" i="22"/>
  <c r="W13" i="22"/>
  <c r="X16" i="22"/>
  <c r="W16" i="22"/>
  <c r="V16" i="22"/>
  <c r="L30" i="22"/>
  <c r="K30" i="22"/>
  <c r="J30" i="22"/>
  <c r="K37" i="22"/>
  <c r="J37" i="22"/>
  <c r="L37" i="22"/>
  <c r="L87" i="22"/>
  <c r="K87" i="22"/>
  <c r="J87" i="22"/>
  <c r="D105" i="22"/>
  <c r="K157" i="26"/>
  <c r="J157" i="26"/>
  <c r="I157" i="26"/>
  <c r="F63" i="22"/>
  <c r="F105" i="22"/>
  <c r="I45" i="26"/>
  <c r="K45" i="26"/>
  <c r="J45" i="26"/>
  <c r="K158" i="26"/>
  <c r="J158" i="26"/>
  <c r="I158" i="26"/>
  <c r="K29" i="26"/>
  <c r="I29" i="26"/>
  <c r="J29" i="26"/>
  <c r="G76" i="26"/>
  <c r="K73" i="26"/>
  <c r="J73" i="26"/>
  <c r="I73" i="26"/>
  <c r="K116" i="26"/>
  <c r="J116" i="26"/>
  <c r="I116" i="26"/>
  <c r="J69" i="26"/>
  <c r="I69" i="26"/>
  <c r="K69" i="26"/>
  <c r="J74" i="26"/>
  <c r="K74" i="26"/>
  <c r="I74" i="26"/>
  <c r="D118" i="26"/>
  <c r="M98" i="28"/>
  <c r="L98" i="28"/>
  <c r="K98" i="28"/>
  <c r="J98" i="28"/>
  <c r="I98" i="28"/>
  <c r="H36" i="30"/>
  <c r="P21" i="22"/>
  <c r="E119" i="22"/>
  <c r="E34" i="26"/>
  <c r="D62" i="26"/>
  <c r="F90" i="26"/>
  <c r="K98" i="26"/>
  <c r="J98" i="26"/>
  <c r="I98" i="26"/>
  <c r="K153" i="26"/>
  <c r="I153" i="26"/>
  <c r="J153" i="26"/>
  <c r="M79" i="28"/>
  <c r="L79" i="28"/>
  <c r="K79" i="28"/>
  <c r="J79" i="28"/>
  <c r="I79" i="28"/>
  <c r="I155" i="26"/>
  <c r="K155" i="26"/>
  <c r="J155" i="26"/>
  <c r="K10" i="26"/>
  <c r="J10" i="26"/>
  <c r="I10" i="26"/>
  <c r="H34" i="26"/>
  <c r="K26" i="26"/>
  <c r="J26" i="26"/>
  <c r="I26" i="26"/>
  <c r="J31" i="26"/>
  <c r="K31" i="26"/>
  <c r="I31" i="26"/>
  <c r="F62" i="26"/>
  <c r="G90" i="26"/>
  <c r="K87" i="26"/>
  <c r="J87" i="26"/>
  <c r="I87" i="26"/>
  <c r="I93" i="26"/>
  <c r="K93" i="26"/>
  <c r="J93" i="26"/>
  <c r="M29" i="28"/>
  <c r="L29" i="28"/>
  <c r="K29" i="28"/>
  <c r="J29" i="28"/>
  <c r="I29" i="28"/>
  <c r="L82" i="28"/>
  <c r="K82" i="28"/>
  <c r="J82" i="28"/>
  <c r="I82" i="28"/>
  <c r="H90" i="28"/>
  <c r="M82" i="28"/>
  <c r="H77" i="30"/>
  <c r="F123" i="30"/>
  <c r="F171" i="30"/>
  <c r="I43" i="26"/>
  <c r="J43" i="26"/>
  <c r="K43" i="26"/>
  <c r="K82" i="26"/>
  <c r="J82" i="26"/>
  <c r="I82" i="26"/>
  <c r="H90" i="26"/>
  <c r="K99" i="26"/>
  <c r="I99" i="26"/>
  <c r="J99" i="26"/>
  <c r="M113" i="28"/>
  <c r="L113" i="28"/>
  <c r="K113" i="28"/>
  <c r="J113" i="28"/>
  <c r="I113" i="28"/>
  <c r="H236" i="30"/>
  <c r="K18" i="26"/>
  <c r="J18" i="26"/>
  <c r="I18" i="26"/>
  <c r="I24" i="26"/>
  <c r="K24" i="26"/>
  <c r="J24" i="26"/>
  <c r="I32" i="26"/>
  <c r="K32" i="26"/>
  <c r="J32" i="26"/>
  <c r="I46" i="26"/>
  <c r="K46" i="26"/>
  <c r="J46" i="26"/>
  <c r="J71" i="26"/>
  <c r="I71" i="26"/>
  <c r="K71" i="26"/>
  <c r="K80" i="26"/>
  <c r="J80" i="26"/>
  <c r="I80" i="26"/>
  <c r="K88" i="26"/>
  <c r="J88" i="26"/>
  <c r="I88" i="26"/>
  <c r="C118" i="26"/>
  <c r="F146" i="26"/>
  <c r="L47" i="28"/>
  <c r="K47" i="28"/>
  <c r="J47" i="28"/>
  <c r="I47" i="28"/>
  <c r="M47" i="28"/>
  <c r="H37" i="30"/>
  <c r="J117" i="26"/>
  <c r="K117" i="26"/>
  <c r="I117" i="26"/>
  <c r="K123" i="26"/>
  <c r="J123" i="26"/>
  <c r="I123" i="26"/>
  <c r="E62" i="28"/>
  <c r="M64" i="28"/>
  <c r="L64" i="28"/>
  <c r="K64" i="28"/>
  <c r="J64" i="28"/>
  <c r="I64" i="28"/>
  <c r="J18" i="30"/>
  <c r="J39" i="30"/>
  <c r="J104" i="30"/>
  <c r="H127" i="30"/>
  <c r="H237" i="30"/>
  <c r="D20" i="26"/>
  <c r="I14" i="26"/>
  <c r="J14" i="26"/>
  <c r="K14" i="26"/>
  <c r="G132" i="26"/>
  <c r="L13" i="28"/>
  <c r="K13" i="28"/>
  <c r="J13" i="28"/>
  <c r="I13" i="28"/>
  <c r="M13" i="28"/>
  <c r="F62" i="28"/>
  <c r="M148" i="28"/>
  <c r="L148" i="28"/>
  <c r="K148" i="28"/>
  <c r="J148" i="28"/>
  <c r="I148" i="28"/>
  <c r="J61" i="30"/>
  <c r="L104" i="30"/>
  <c r="F165" i="30"/>
  <c r="L195" i="30"/>
  <c r="C48" i="26"/>
  <c r="C62" i="26"/>
  <c r="D76" i="26"/>
  <c r="D90" i="26"/>
  <c r="H132" i="26"/>
  <c r="K124" i="26"/>
  <c r="J124" i="26"/>
  <c r="I124" i="26"/>
  <c r="K151" i="26"/>
  <c r="J151" i="26"/>
  <c r="I151" i="26"/>
  <c r="G90" i="28"/>
  <c r="J21" i="30"/>
  <c r="F109" i="30"/>
  <c r="E20" i="26"/>
  <c r="J16" i="26"/>
  <c r="I16" i="26"/>
  <c r="K16" i="26"/>
  <c r="K19" i="26"/>
  <c r="J19" i="26"/>
  <c r="I19" i="26"/>
  <c r="K47" i="26"/>
  <c r="I47" i="26"/>
  <c r="J47" i="26"/>
  <c r="J70" i="26"/>
  <c r="I70" i="26"/>
  <c r="K70" i="26"/>
  <c r="I84" i="26"/>
  <c r="K84" i="26"/>
  <c r="J84" i="26"/>
  <c r="K89" i="26"/>
  <c r="J89" i="26"/>
  <c r="I89" i="26"/>
  <c r="J95" i="26"/>
  <c r="I95" i="26"/>
  <c r="K95" i="26"/>
  <c r="K131" i="26"/>
  <c r="J131" i="26"/>
  <c r="I131" i="26"/>
  <c r="I138" i="26"/>
  <c r="H146" i="26"/>
  <c r="K138" i="26"/>
  <c r="J138" i="26"/>
  <c r="K144" i="26"/>
  <c r="I144" i="26"/>
  <c r="J144" i="26"/>
  <c r="C34" i="28"/>
  <c r="L116" i="28"/>
  <c r="K116" i="28"/>
  <c r="J116" i="28"/>
  <c r="I116" i="28"/>
  <c r="M116" i="28"/>
  <c r="L151" i="28"/>
  <c r="M151" i="28"/>
  <c r="K151" i="28"/>
  <c r="J151" i="28"/>
  <c r="I151" i="28"/>
  <c r="H33" i="30"/>
  <c r="H40" i="30"/>
  <c r="H54" i="30"/>
  <c r="H109" i="30"/>
  <c r="F150" i="30"/>
  <c r="F175" i="30"/>
  <c r="L211" i="30"/>
  <c r="K9" i="26"/>
  <c r="I9" i="26"/>
  <c r="J9" i="26"/>
  <c r="F20" i="26"/>
  <c r="K30" i="26"/>
  <c r="I30" i="26"/>
  <c r="J30" i="26"/>
  <c r="I44" i="26"/>
  <c r="J44" i="26"/>
  <c r="K44" i="26"/>
  <c r="I75" i="26"/>
  <c r="K75" i="26"/>
  <c r="J75" i="26"/>
  <c r="K81" i="26"/>
  <c r="J81" i="26"/>
  <c r="I81" i="26"/>
  <c r="K86" i="26"/>
  <c r="I86" i="26"/>
  <c r="J86" i="26"/>
  <c r="J100" i="26"/>
  <c r="I100" i="26"/>
  <c r="K100" i="26"/>
  <c r="K115" i="26"/>
  <c r="J115" i="26"/>
  <c r="I115" i="26"/>
  <c r="K125" i="26"/>
  <c r="I125" i="26"/>
  <c r="J125" i="26"/>
  <c r="J152" i="26"/>
  <c r="H160" i="26"/>
  <c r="K152" i="26"/>
  <c r="I152" i="26"/>
  <c r="M10" i="28"/>
  <c r="L10" i="28"/>
  <c r="K10" i="28"/>
  <c r="J10" i="28"/>
  <c r="I10" i="28"/>
  <c r="D34" i="28"/>
  <c r="J15" i="30"/>
  <c r="J54" i="30"/>
  <c r="K22" i="26"/>
  <c r="J22" i="26"/>
  <c r="I22" i="26"/>
  <c r="K27" i="26"/>
  <c r="J27" i="26"/>
  <c r="I27" i="26"/>
  <c r="I50" i="26"/>
  <c r="J50" i="26"/>
  <c r="K50" i="26"/>
  <c r="J72" i="26"/>
  <c r="I72" i="26"/>
  <c r="K72" i="26"/>
  <c r="K78" i="26"/>
  <c r="J78" i="26"/>
  <c r="I78" i="26"/>
  <c r="J92" i="26"/>
  <c r="K92" i="26"/>
  <c r="I92" i="26"/>
  <c r="K97" i="26"/>
  <c r="J97" i="26"/>
  <c r="I97" i="26"/>
  <c r="M44" i="28"/>
  <c r="L44" i="28"/>
  <c r="K44" i="28"/>
  <c r="J44" i="28"/>
  <c r="I44" i="28"/>
  <c r="D160" i="28"/>
  <c r="H9" i="30"/>
  <c r="F65" i="30"/>
  <c r="I129" i="26"/>
  <c r="K129" i="26"/>
  <c r="J129" i="26"/>
  <c r="J143" i="26"/>
  <c r="K143" i="26"/>
  <c r="I143" i="26"/>
  <c r="K150" i="26"/>
  <c r="J150" i="26"/>
  <c r="I150" i="26"/>
  <c r="M32" i="28"/>
  <c r="L32" i="28"/>
  <c r="K32" i="28"/>
  <c r="J32" i="28"/>
  <c r="I32" i="28"/>
  <c r="M67" i="28"/>
  <c r="L67" i="28"/>
  <c r="K67" i="28"/>
  <c r="J67" i="28"/>
  <c r="I67" i="28"/>
  <c r="M101" i="28"/>
  <c r="L101" i="28"/>
  <c r="K101" i="28"/>
  <c r="J101" i="28"/>
  <c r="I101" i="28"/>
  <c r="M136" i="28"/>
  <c r="L136" i="28"/>
  <c r="K136" i="28"/>
  <c r="J136" i="28"/>
  <c r="I136" i="28"/>
  <c r="E160" i="28"/>
  <c r="H13" i="30"/>
  <c r="H16" i="30"/>
  <c r="L31" i="30"/>
  <c r="J55" i="30"/>
  <c r="L62" i="30"/>
  <c r="J85" i="30"/>
  <c r="F100" i="30"/>
  <c r="J150" i="30"/>
  <c r="F166" i="30"/>
  <c r="J175" i="30"/>
  <c r="M27" i="28"/>
  <c r="L27" i="28"/>
  <c r="K27" i="28"/>
  <c r="J27" i="28"/>
  <c r="I27" i="28"/>
  <c r="D48" i="28"/>
  <c r="M61" i="28"/>
  <c r="L61" i="28"/>
  <c r="K61" i="28"/>
  <c r="J61" i="28"/>
  <c r="I61" i="28"/>
  <c r="F76" i="28"/>
  <c r="M96" i="28"/>
  <c r="L96" i="28"/>
  <c r="K96" i="28"/>
  <c r="J96" i="28"/>
  <c r="H104" i="28"/>
  <c r="I96" i="28"/>
  <c r="M130" i="28"/>
  <c r="L130" i="28"/>
  <c r="K130" i="28"/>
  <c r="J130" i="28"/>
  <c r="I130" i="28"/>
  <c r="M156" i="28"/>
  <c r="L156" i="28"/>
  <c r="K156" i="28"/>
  <c r="J156" i="28"/>
  <c r="I156" i="28"/>
  <c r="H10" i="30"/>
  <c r="J19" i="30"/>
  <c r="F63" i="30"/>
  <c r="L97" i="30"/>
  <c r="J106" i="30"/>
  <c r="F124" i="30"/>
  <c r="H130" i="30"/>
  <c r="J144" i="30"/>
  <c r="H151" i="30"/>
  <c r="L166" i="30"/>
  <c r="F219" i="30"/>
  <c r="C20" i="28"/>
  <c r="L30" i="28"/>
  <c r="K30" i="28"/>
  <c r="J30" i="28"/>
  <c r="I30" i="28"/>
  <c r="M30" i="28"/>
  <c r="E48" i="28"/>
  <c r="L65" i="28"/>
  <c r="K65" i="28"/>
  <c r="J65" i="28"/>
  <c r="I65" i="28"/>
  <c r="M65" i="28"/>
  <c r="G76" i="28"/>
  <c r="L99" i="28"/>
  <c r="K99" i="28"/>
  <c r="J99" i="28"/>
  <c r="I99" i="28"/>
  <c r="M99" i="28"/>
  <c r="L134" i="28"/>
  <c r="K134" i="28"/>
  <c r="J134" i="28"/>
  <c r="I134" i="28"/>
  <c r="M134" i="28"/>
  <c r="F56" i="30"/>
  <c r="L59" i="30"/>
  <c r="H63" i="30"/>
  <c r="J75" i="30"/>
  <c r="L82" i="30"/>
  <c r="F86" i="30"/>
  <c r="F98" i="30"/>
  <c r="F126" i="30"/>
  <c r="H100" i="31"/>
  <c r="I112" i="26"/>
  <c r="K112" i="26"/>
  <c r="J112" i="26"/>
  <c r="K127" i="26"/>
  <c r="I127" i="26"/>
  <c r="J127" i="26"/>
  <c r="K134" i="26"/>
  <c r="I134" i="26"/>
  <c r="J134" i="26"/>
  <c r="I140" i="26"/>
  <c r="K140" i="26"/>
  <c r="J140" i="26"/>
  <c r="E160" i="26"/>
  <c r="K159" i="26"/>
  <c r="J159" i="26"/>
  <c r="I159" i="26"/>
  <c r="M12" i="28"/>
  <c r="L12" i="28"/>
  <c r="H20" i="28"/>
  <c r="K12" i="28"/>
  <c r="J12" i="28"/>
  <c r="I12" i="28"/>
  <c r="M46" i="28"/>
  <c r="L46" i="28"/>
  <c r="K46" i="28"/>
  <c r="J46" i="28"/>
  <c r="I46" i="28"/>
  <c r="M81" i="28"/>
  <c r="L81" i="28"/>
  <c r="K81" i="28"/>
  <c r="J81" i="28"/>
  <c r="I81" i="28"/>
  <c r="M115" i="28"/>
  <c r="L115" i="28"/>
  <c r="K115" i="28"/>
  <c r="J115" i="28"/>
  <c r="I115" i="28"/>
  <c r="M150" i="28"/>
  <c r="L150" i="28"/>
  <c r="K150" i="28"/>
  <c r="J150" i="28"/>
  <c r="I150" i="28"/>
  <c r="H98" i="30"/>
  <c r="F107" i="30"/>
  <c r="J126" i="30"/>
  <c r="L153" i="30"/>
  <c r="H262" i="30"/>
  <c r="F34" i="26"/>
  <c r="F160" i="26"/>
  <c r="M141" i="28"/>
  <c r="L141" i="28"/>
  <c r="I141" i="28"/>
  <c r="K141" i="28"/>
  <c r="J141" i="28"/>
  <c r="M15" i="28"/>
  <c r="L15" i="28"/>
  <c r="K15" i="28"/>
  <c r="J15" i="28"/>
  <c r="I15" i="28"/>
  <c r="M50" i="28"/>
  <c r="L50" i="28"/>
  <c r="K50" i="28"/>
  <c r="J50" i="28"/>
  <c r="I50" i="28"/>
  <c r="M84" i="28"/>
  <c r="L84" i="28"/>
  <c r="K84" i="28"/>
  <c r="J84" i="28"/>
  <c r="I84" i="28"/>
  <c r="H39" i="30"/>
  <c r="H42" i="30"/>
  <c r="L53" i="30"/>
  <c r="H57" i="30"/>
  <c r="H64" i="30"/>
  <c r="L76" i="30"/>
  <c r="F80" i="30"/>
  <c r="H87" i="30"/>
  <c r="J98" i="30"/>
  <c r="L102" i="30"/>
  <c r="H107" i="30"/>
  <c r="L126" i="30"/>
  <c r="H189" i="30"/>
  <c r="F234" i="30"/>
  <c r="H253" i="30"/>
  <c r="I12" i="42"/>
  <c r="J12" i="42"/>
  <c r="H12" i="42"/>
  <c r="C146" i="28"/>
  <c r="F160" i="28"/>
  <c r="J9" i="30"/>
  <c r="J12" i="30"/>
  <c r="L18" i="30"/>
  <c r="F20" i="30"/>
  <c r="L21" i="30"/>
  <c r="J33" i="30"/>
  <c r="L42" i="30"/>
  <c r="L54" i="30"/>
  <c r="H56" i="30"/>
  <c r="L61" i="30"/>
  <c r="J63" i="30"/>
  <c r="H65" i="30"/>
  <c r="J77" i="30"/>
  <c r="H79" i="30"/>
  <c r="L84" i="30"/>
  <c r="H100" i="30"/>
  <c r="H105" i="30"/>
  <c r="F142" i="30"/>
  <c r="H145" i="30"/>
  <c r="F148" i="30"/>
  <c r="J171" i="30"/>
  <c r="J192" i="30"/>
  <c r="J214" i="30"/>
  <c r="F283" i="30"/>
  <c r="L16" i="31"/>
  <c r="C132" i="28"/>
  <c r="D146" i="28"/>
  <c r="L12" i="30"/>
  <c r="F14" i="30"/>
  <c r="L15" i="30"/>
  <c r="F17" i="30"/>
  <c r="J35" i="30"/>
  <c r="J60" i="30"/>
  <c r="H97" i="30"/>
  <c r="F99" i="30"/>
  <c r="J105" i="30"/>
  <c r="H142" i="30"/>
  <c r="L145" i="30"/>
  <c r="L151" i="30"/>
  <c r="F208" i="30"/>
  <c r="F240" i="30"/>
  <c r="J33" i="31"/>
  <c r="M38" i="28"/>
  <c r="L38" i="28"/>
  <c r="I38" i="28"/>
  <c r="K38" i="28"/>
  <c r="J38" i="28"/>
  <c r="C62" i="28"/>
  <c r="M55" i="28"/>
  <c r="L55" i="28"/>
  <c r="I55" i="28"/>
  <c r="K55" i="28"/>
  <c r="J55" i="28"/>
  <c r="D76" i="28"/>
  <c r="M72" i="28"/>
  <c r="L72" i="28"/>
  <c r="I72" i="28"/>
  <c r="K72" i="28"/>
  <c r="J72" i="28"/>
  <c r="E90" i="28"/>
  <c r="M89" i="28"/>
  <c r="L89" i="28"/>
  <c r="I89" i="28"/>
  <c r="K89" i="28"/>
  <c r="J89" i="28"/>
  <c r="F104" i="28"/>
  <c r="M107" i="28"/>
  <c r="L107" i="28"/>
  <c r="I107" i="28"/>
  <c r="K107" i="28"/>
  <c r="J107" i="28"/>
  <c r="L14" i="30"/>
  <c r="F16" i="30"/>
  <c r="L17" i="30"/>
  <c r="F19" i="30"/>
  <c r="L38" i="30"/>
  <c r="F40" i="30"/>
  <c r="L41" i="30"/>
  <c r="J53" i="30"/>
  <c r="H55" i="30"/>
  <c r="L60" i="30"/>
  <c r="H62" i="30"/>
  <c r="F64" i="30"/>
  <c r="F78" i="30"/>
  <c r="J83" i="30"/>
  <c r="H85" i="30"/>
  <c r="F101" i="30"/>
  <c r="J103" i="30"/>
  <c r="L105" i="30"/>
  <c r="H108" i="30"/>
  <c r="L119" i="30"/>
  <c r="H131" i="30"/>
  <c r="F149" i="30"/>
  <c r="N163" i="30"/>
  <c r="J208" i="30"/>
  <c r="H241" i="30"/>
  <c r="J86" i="31"/>
  <c r="L104" i="33"/>
  <c r="C48" i="28"/>
  <c r="D62" i="28"/>
  <c r="E76" i="28"/>
  <c r="F90" i="28"/>
  <c r="F10" i="30"/>
  <c r="L11" i="30"/>
  <c r="F13" i="30"/>
  <c r="H19" i="30"/>
  <c r="L32" i="30"/>
  <c r="F34" i="30"/>
  <c r="L35" i="30"/>
  <c r="H43" i="30"/>
  <c r="L86" i="30"/>
  <c r="F57" i="30"/>
  <c r="J62" i="30"/>
  <c r="J97" i="30"/>
  <c r="H99" i="30"/>
  <c r="F106" i="30"/>
  <c r="J108" i="30"/>
  <c r="N119" i="30"/>
  <c r="H125" i="30"/>
  <c r="H143" i="30"/>
  <c r="J146" i="30"/>
  <c r="J149" i="30"/>
  <c r="H173" i="30"/>
  <c r="F187" i="30"/>
  <c r="H195" i="30"/>
  <c r="F209" i="30"/>
  <c r="L233" i="30"/>
  <c r="J241" i="30"/>
  <c r="H274" i="30"/>
  <c r="L21" i="31"/>
  <c r="L103" i="30"/>
  <c r="H106" i="30"/>
  <c r="F108" i="30"/>
  <c r="N141" i="30"/>
  <c r="F143" i="30"/>
  <c r="H144" i="30"/>
  <c r="J145" i="30"/>
  <c r="H150" i="30"/>
  <c r="J151" i="30"/>
  <c r="J152" i="30"/>
  <c r="J163" i="30"/>
  <c r="J166" i="30"/>
  <c r="H171" i="30"/>
  <c r="L194" i="30"/>
  <c r="F237" i="30"/>
  <c r="J240" i="30"/>
  <c r="J9" i="31"/>
  <c r="L20" i="31"/>
  <c r="L65" i="31"/>
  <c r="F38" i="31"/>
  <c r="L58" i="31"/>
  <c r="H79" i="31"/>
  <c r="L9" i="30"/>
  <c r="F11" i="30"/>
  <c r="J13" i="30"/>
  <c r="J16" i="30"/>
  <c r="H17" i="30"/>
  <c r="H20" i="30"/>
  <c r="H31" i="30"/>
  <c r="H34" i="30"/>
  <c r="L36" i="30"/>
  <c r="F38" i="30"/>
  <c r="L39" i="30"/>
  <c r="J43" i="30"/>
  <c r="N53" i="30"/>
  <c r="J56" i="30"/>
  <c r="J64" i="30"/>
  <c r="N97" i="30"/>
  <c r="L98" i="30"/>
  <c r="J99" i="30"/>
  <c r="J100" i="30"/>
  <c r="H101" i="30"/>
  <c r="F102" i="30"/>
  <c r="F103" i="30"/>
  <c r="L106" i="30"/>
  <c r="J107" i="30"/>
  <c r="J109" i="30"/>
  <c r="F141" i="30"/>
  <c r="H148" i="30"/>
  <c r="L150" i="30"/>
  <c r="J165" i="30"/>
  <c r="L168" i="30"/>
  <c r="F170" i="30"/>
  <c r="H190" i="30"/>
  <c r="H218" i="30"/>
  <c r="J209" i="30"/>
  <c r="J229" i="30"/>
  <c r="J238" i="30"/>
  <c r="L258" i="30"/>
  <c r="L279" i="30"/>
  <c r="L40" i="31"/>
  <c r="F61" i="31"/>
  <c r="L97" i="31"/>
  <c r="L104" i="31"/>
  <c r="L16" i="33"/>
  <c r="J10" i="30"/>
  <c r="H11" i="30"/>
  <c r="H14" i="30"/>
  <c r="L16" i="30"/>
  <c r="F18" i="30"/>
  <c r="L19" i="30"/>
  <c r="F21" i="30"/>
  <c r="F32" i="30"/>
  <c r="L33" i="30"/>
  <c r="J37" i="30"/>
  <c r="H41" i="30"/>
  <c r="L99" i="30"/>
  <c r="H102" i="30"/>
  <c r="L107" i="30"/>
  <c r="L108" i="30"/>
  <c r="L109" i="30"/>
  <c r="J141" i="30"/>
  <c r="J142" i="30"/>
  <c r="L143" i="30"/>
  <c r="F146" i="30"/>
  <c r="F147" i="30"/>
  <c r="J148" i="30"/>
  <c r="L149" i="30"/>
  <c r="F152" i="30"/>
  <c r="F153" i="30"/>
  <c r="J170" i="30"/>
  <c r="F172" i="30"/>
  <c r="J190" i="30"/>
  <c r="J196" i="30"/>
  <c r="L209" i="30"/>
  <c r="L215" i="30"/>
  <c r="F218" i="30"/>
  <c r="L229" i="30"/>
  <c r="L232" i="30"/>
  <c r="L12" i="31"/>
  <c r="J17" i="31"/>
  <c r="N9" i="30"/>
  <c r="L10" i="30"/>
  <c r="F12" i="30"/>
  <c r="L13" i="30"/>
  <c r="F15" i="30"/>
  <c r="J17" i="30"/>
  <c r="J20" i="30"/>
  <c r="H21" i="30"/>
  <c r="J31" i="30"/>
  <c r="H35" i="30"/>
  <c r="H38" i="30"/>
  <c r="L40" i="30"/>
  <c r="F42" i="30"/>
  <c r="L43" i="30"/>
  <c r="J58" i="30"/>
  <c r="F97" i="30"/>
  <c r="L100" i="30"/>
  <c r="J101" i="30"/>
  <c r="J102" i="30"/>
  <c r="H103" i="30"/>
  <c r="F104" i="30"/>
  <c r="F105" i="30"/>
  <c r="L142" i="30"/>
  <c r="J147" i="30"/>
  <c r="L148" i="30"/>
  <c r="H153" i="30"/>
  <c r="J164" i="30"/>
  <c r="H167" i="30"/>
  <c r="F185" i="30"/>
  <c r="F191" i="30"/>
  <c r="L193" i="30"/>
  <c r="L196" i="30"/>
  <c r="H210" i="30"/>
  <c r="F255" i="30"/>
  <c r="F276" i="30"/>
  <c r="F83" i="31"/>
  <c r="J56" i="31"/>
  <c r="F9" i="30"/>
  <c r="J11" i="30"/>
  <c r="J14" i="30"/>
  <c r="H15" i="30"/>
  <c r="H18" i="30"/>
  <c r="L20" i="30"/>
  <c r="H32" i="30"/>
  <c r="L34" i="30"/>
  <c r="F36" i="30"/>
  <c r="L37" i="30"/>
  <c r="J41" i="30"/>
  <c r="H53" i="30"/>
  <c r="L57" i="30"/>
  <c r="L58" i="30"/>
  <c r="J59" i="30"/>
  <c r="H60" i="30"/>
  <c r="H61" i="30"/>
  <c r="H75" i="30"/>
  <c r="J81" i="30"/>
  <c r="L101" i="30"/>
  <c r="H104" i="30"/>
  <c r="L141" i="30"/>
  <c r="F144" i="30"/>
  <c r="F145" i="30"/>
  <c r="H146" i="30"/>
  <c r="L147" i="30"/>
  <c r="F151" i="30"/>
  <c r="H152" i="30"/>
  <c r="J153" i="30"/>
  <c r="H163" i="30"/>
  <c r="L164" i="30"/>
  <c r="J167" i="30"/>
  <c r="F169" i="30"/>
  <c r="L172" i="30"/>
  <c r="J174" i="30"/>
  <c r="N185" i="30"/>
  <c r="H188" i="30"/>
  <c r="H191" i="30"/>
  <c r="H194" i="30"/>
  <c r="J207" i="30"/>
  <c r="J210" i="30"/>
  <c r="J213" i="30"/>
  <c r="L251" i="30"/>
  <c r="J260" i="30"/>
  <c r="J281" i="30"/>
  <c r="J13" i="31"/>
  <c r="F31" i="31"/>
  <c r="J63" i="31"/>
  <c r="H107" i="31"/>
  <c r="F173" i="30"/>
  <c r="F174" i="30"/>
  <c r="H175" i="30"/>
  <c r="L230" i="30"/>
  <c r="L231" i="30"/>
  <c r="L238" i="30"/>
  <c r="H251" i="30"/>
  <c r="L252" i="30"/>
  <c r="J254" i="30"/>
  <c r="H256" i="30"/>
  <c r="L261" i="30"/>
  <c r="H263" i="30"/>
  <c r="L273" i="30"/>
  <c r="J275" i="30"/>
  <c r="F277" i="30"/>
  <c r="J282" i="30"/>
  <c r="H284" i="30"/>
  <c r="L10" i="31"/>
  <c r="L32" i="31"/>
  <c r="H37" i="31"/>
  <c r="J58" i="31"/>
  <c r="F63" i="31"/>
  <c r="J65" i="31"/>
  <c r="L76" i="31"/>
  <c r="F79" i="31"/>
  <c r="H81" i="31"/>
  <c r="H86" i="31"/>
  <c r="L102" i="31"/>
  <c r="L105" i="31"/>
  <c r="H108" i="31"/>
  <c r="L144" i="30"/>
  <c r="H147" i="30"/>
  <c r="L152" i="30"/>
  <c r="F167" i="30"/>
  <c r="F168" i="30"/>
  <c r="H169" i="30"/>
  <c r="J172" i="30"/>
  <c r="J173" i="30"/>
  <c r="L174" i="30"/>
  <c r="F232" i="30"/>
  <c r="H235" i="30"/>
  <c r="J236" i="30"/>
  <c r="N251" i="30"/>
  <c r="J11" i="31"/>
  <c r="L15" i="31"/>
  <c r="L19" i="31"/>
  <c r="H31" i="31"/>
  <c r="L31" i="33"/>
  <c r="L54" i="33"/>
  <c r="AL16" i="35"/>
  <c r="AK16" i="35"/>
  <c r="AJ16" i="35"/>
  <c r="F230" i="30"/>
  <c r="H233" i="30"/>
  <c r="H234" i="30"/>
  <c r="J235" i="30"/>
  <c r="H239" i="30"/>
  <c r="L240" i="30"/>
  <c r="L253" i="30"/>
  <c r="H255" i="30"/>
  <c r="F257" i="30"/>
  <c r="L260" i="30"/>
  <c r="J262" i="30"/>
  <c r="J274" i="30"/>
  <c r="H276" i="30"/>
  <c r="F278" i="30"/>
  <c r="L281" i="30"/>
  <c r="J283" i="30"/>
  <c r="F285" i="30"/>
  <c r="L9" i="31"/>
  <c r="L13" i="31"/>
  <c r="F36" i="31"/>
  <c r="J38" i="31"/>
  <c r="H43" i="31"/>
  <c r="H57" i="31"/>
  <c r="J59" i="31"/>
  <c r="J64" i="31"/>
  <c r="L75" i="31"/>
  <c r="H80" i="31"/>
  <c r="L82" i="31"/>
  <c r="H87" i="31"/>
  <c r="H101" i="31"/>
  <c r="L20" i="33"/>
  <c r="H141" i="30"/>
  <c r="L146" i="30"/>
  <c r="H149" i="30"/>
  <c r="F163" i="30"/>
  <c r="F164" i="30"/>
  <c r="H165" i="30"/>
  <c r="J168" i="30"/>
  <c r="J169" i="30"/>
  <c r="L170" i="30"/>
  <c r="H231" i="30"/>
  <c r="H232" i="30"/>
  <c r="J233" i="30"/>
  <c r="J239" i="30"/>
  <c r="H252" i="30"/>
  <c r="N9" i="31"/>
  <c r="L98" i="31"/>
  <c r="H229" i="30"/>
  <c r="H230" i="30"/>
  <c r="J231" i="30"/>
  <c r="L234" i="30"/>
  <c r="L235" i="30"/>
  <c r="F241" i="30"/>
  <c r="J252" i="30"/>
  <c r="H254" i="30"/>
  <c r="L259" i="30"/>
  <c r="H261" i="30"/>
  <c r="F263" i="30"/>
  <c r="J273" i="30"/>
  <c r="F275" i="30"/>
  <c r="J280" i="30"/>
  <c r="H282" i="30"/>
  <c r="F284" i="30"/>
  <c r="J10" i="31"/>
  <c r="J14" i="31"/>
  <c r="L18" i="31"/>
  <c r="F32" i="31"/>
  <c r="L34" i="31"/>
  <c r="F37" i="31"/>
  <c r="H39" i="31"/>
  <c r="F55" i="31"/>
  <c r="J57" i="31"/>
  <c r="F62" i="31"/>
  <c r="L64" i="31"/>
  <c r="H78" i="31"/>
  <c r="J80" i="31"/>
  <c r="H85" i="31"/>
  <c r="L87" i="31"/>
  <c r="L101" i="31"/>
  <c r="L18" i="33"/>
  <c r="L99" i="33"/>
  <c r="N17" i="35"/>
  <c r="AJ17" i="35"/>
  <c r="AK17" i="35"/>
  <c r="AL17" i="35"/>
  <c r="L163" i="30"/>
  <c r="H164" i="30"/>
  <c r="L165" i="30"/>
  <c r="H166" i="30"/>
  <c r="L167" i="30"/>
  <c r="H168" i="30"/>
  <c r="L169" i="30"/>
  <c r="H170" i="30"/>
  <c r="L171" i="30"/>
  <c r="H172" i="30"/>
  <c r="L173" i="30"/>
  <c r="H174" i="30"/>
  <c r="L175" i="30"/>
  <c r="F229" i="30"/>
  <c r="N229" i="30"/>
  <c r="J230" i="30"/>
  <c r="F231" i="30"/>
  <c r="J232" i="30"/>
  <c r="F233" i="30"/>
  <c r="J234" i="30"/>
  <c r="F235" i="30"/>
  <c r="L236" i="30"/>
  <c r="F238" i="30"/>
  <c r="F239" i="30"/>
  <c r="F251" i="30"/>
  <c r="L254" i="30"/>
  <c r="L255" i="30"/>
  <c r="F17" i="31"/>
  <c r="F20" i="31"/>
  <c r="F21" i="31"/>
  <c r="J31" i="31"/>
  <c r="F53" i="31"/>
  <c r="F54" i="31"/>
  <c r="J55" i="31"/>
  <c r="L56" i="31"/>
  <c r="H61" i="31"/>
  <c r="L62" i="31"/>
  <c r="H77" i="31"/>
  <c r="J78" i="31"/>
  <c r="L79" i="31"/>
  <c r="J84" i="31"/>
  <c r="L85" i="31"/>
  <c r="L86" i="31"/>
  <c r="L79" i="33"/>
  <c r="F31" i="30"/>
  <c r="N31" i="30"/>
  <c r="J32" i="30"/>
  <c r="F33" i="30"/>
  <c r="J34" i="30"/>
  <c r="F35" i="30"/>
  <c r="J36" i="30"/>
  <c r="F37" i="30"/>
  <c r="J38" i="30"/>
  <c r="F39" i="30"/>
  <c r="J40" i="30"/>
  <c r="F41" i="30"/>
  <c r="J42" i="30"/>
  <c r="F43" i="30"/>
  <c r="F11" i="31"/>
  <c r="F14" i="31"/>
  <c r="F15" i="31"/>
  <c r="F18" i="31"/>
  <c r="F19" i="31"/>
  <c r="H35" i="31"/>
  <c r="J36" i="31"/>
  <c r="J37" i="31"/>
  <c r="J42" i="31"/>
  <c r="J43" i="31"/>
  <c r="H99" i="31"/>
  <c r="L100" i="31"/>
  <c r="L103" i="31"/>
  <c r="H106" i="31"/>
  <c r="L58" i="33"/>
  <c r="H14" i="35"/>
  <c r="F9" i="39"/>
  <c r="F253" i="30"/>
  <c r="L256" i="30"/>
  <c r="L257" i="30"/>
  <c r="J258" i="30"/>
  <c r="H259" i="30"/>
  <c r="H260" i="30"/>
  <c r="F261" i="30"/>
  <c r="F9" i="31"/>
  <c r="F12" i="31"/>
  <c r="H13" i="31"/>
  <c r="H16" i="31"/>
  <c r="H17" i="31"/>
  <c r="H20" i="31"/>
  <c r="H21" i="31"/>
  <c r="H53" i="31"/>
  <c r="L54" i="31"/>
  <c r="F58" i="31"/>
  <c r="H59" i="31"/>
  <c r="J60" i="31"/>
  <c r="H65" i="31"/>
  <c r="F75" i="31"/>
  <c r="J76" i="31"/>
  <c r="L77" i="31"/>
  <c r="L78" i="31"/>
  <c r="F81" i="31"/>
  <c r="H82" i="31"/>
  <c r="L83" i="31"/>
  <c r="L84" i="31"/>
  <c r="F87" i="31"/>
  <c r="L106" i="31"/>
  <c r="H109" i="31"/>
  <c r="N75" i="30"/>
  <c r="F236" i="30"/>
  <c r="L237" i="30"/>
  <c r="H10" i="31"/>
  <c r="H11" i="31"/>
  <c r="H14" i="31"/>
  <c r="H15" i="31"/>
  <c r="J16" i="31"/>
  <c r="H18" i="31"/>
  <c r="J19" i="31"/>
  <c r="J20" i="31"/>
  <c r="J82" i="31"/>
  <c r="F33" i="31"/>
  <c r="J34" i="31"/>
  <c r="J35" i="31"/>
  <c r="L36" i="31"/>
  <c r="F39" i="31"/>
  <c r="F40" i="31"/>
  <c r="J41" i="31"/>
  <c r="L42" i="31"/>
  <c r="J98" i="31"/>
  <c r="L99" i="31"/>
  <c r="L12" i="33"/>
  <c r="L14" i="33"/>
  <c r="L21" i="33"/>
  <c r="L56" i="33"/>
  <c r="W32" i="35"/>
  <c r="V32" i="35"/>
  <c r="N8" i="40"/>
  <c r="L8" i="40"/>
  <c r="H9" i="31"/>
  <c r="H12" i="31"/>
  <c r="F13" i="31"/>
  <c r="L14" i="31"/>
  <c r="F16" i="31"/>
  <c r="L17" i="31"/>
  <c r="J18" i="31"/>
  <c r="J21" i="31"/>
  <c r="J32" i="31"/>
  <c r="L38" i="31"/>
  <c r="L80" i="31"/>
  <c r="L81" i="31"/>
  <c r="L109" i="31"/>
  <c r="I34" i="35"/>
  <c r="H34" i="35"/>
  <c r="L6" i="37"/>
  <c r="K6" i="37"/>
  <c r="F10" i="31"/>
  <c r="L11" i="31"/>
  <c r="J12" i="31"/>
  <c r="J15" i="31"/>
  <c r="H19" i="31"/>
  <c r="L60" i="31"/>
  <c r="L107" i="31"/>
  <c r="L108" i="31"/>
  <c r="N97" i="33"/>
  <c r="N11" i="35"/>
  <c r="AT12" i="35"/>
  <c r="AS12" i="35"/>
  <c r="AV12" i="35"/>
  <c r="AU12" i="35"/>
  <c r="AR12" i="35"/>
  <c r="I35" i="35"/>
  <c r="H35" i="35"/>
  <c r="Q6" i="37"/>
  <c r="P6" i="37"/>
  <c r="O6" i="37"/>
  <c r="R6" i="37"/>
  <c r="L128" i="37"/>
  <c r="O128" i="37"/>
  <c r="N128" i="37"/>
  <c r="M128" i="37"/>
  <c r="K128" i="37"/>
  <c r="L64" i="33"/>
  <c r="L108" i="33"/>
  <c r="AB11" i="35"/>
  <c r="H16" i="35"/>
  <c r="L77" i="33"/>
  <c r="L103" i="33"/>
  <c r="AS14" i="35"/>
  <c r="AU14" i="35"/>
  <c r="AV14" i="35"/>
  <c r="AT14" i="35"/>
  <c r="AR14" i="35"/>
  <c r="AK10" i="35"/>
  <c r="AJ10" i="35"/>
  <c r="AL10" i="35"/>
  <c r="AB15" i="35"/>
  <c r="I31" i="35"/>
  <c r="H31" i="35"/>
  <c r="N126" i="37"/>
  <c r="M126" i="37"/>
  <c r="L126" i="37"/>
  <c r="K126" i="37"/>
  <c r="O126" i="37"/>
  <c r="AB9" i="35"/>
  <c r="V14" i="35"/>
  <c r="W40" i="35"/>
  <c r="V40" i="35"/>
  <c r="M7" i="37"/>
  <c r="L7" i="37"/>
  <c r="K7" i="37"/>
  <c r="I9" i="37"/>
  <c r="H9" i="37"/>
  <c r="F11" i="37"/>
  <c r="G9" i="37"/>
  <c r="N11" i="38"/>
  <c r="M11" i="38"/>
  <c r="L11" i="38"/>
  <c r="I136" i="38"/>
  <c r="H136" i="38"/>
  <c r="G136" i="38"/>
  <c r="N9" i="40"/>
  <c r="L9" i="40"/>
  <c r="H12" i="35"/>
  <c r="V16" i="35"/>
  <c r="AL37" i="35"/>
  <c r="AK37" i="35"/>
  <c r="H17" i="35"/>
  <c r="W39" i="35"/>
  <c r="V39" i="35"/>
  <c r="T7" i="37"/>
  <c r="Q7" i="37"/>
  <c r="P7" i="37"/>
  <c r="S7" i="37"/>
  <c r="O7" i="37"/>
  <c r="R7" i="37"/>
  <c r="M9" i="37"/>
  <c r="L9" i="37"/>
  <c r="K9" i="37"/>
  <c r="J11" i="37"/>
  <c r="L53" i="31"/>
  <c r="L55" i="31"/>
  <c r="L57" i="31"/>
  <c r="N15" i="35"/>
  <c r="W36" i="35"/>
  <c r="V36" i="35"/>
  <c r="Q9" i="37"/>
  <c r="P9" i="37"/>
  <c r="T9" i="37"/>
  <c r="S9" i="37"/>
  <c r="N11" i="37"/>
  <c r="R9" i="37"/>
  <c r="O9" i="37"/>
  <c r="T7" i="38"/>
  <c r="AA19" i="38" s="1"/>
  <c r="Q7" i="38"/>
  <c r="P7" i="38"/>
  <c r="S7" i="38"/>
  <c r="R7" i="38"/>
  <c r="T12" i="38"/>
  <c r="S12" i="38"/>
  <c r="Q12" i="38"/>
  <c r="P12" i="38"/>
  <c r="R12" i="38"/>
  <c r="AT8" i="35"/>
  <c r="AS8" i="35"/>
  <c r="AV8" i="35"/>
  <c r="AU8" i="35"/>
  <c r="AR8" i="35"/>
  <c r="H10" i="35"/>
  <c r="V10" i="35"/>
  <c r="AK14" i="35"/>
  <c r="AL14" i="35"/>
  <c r="AJ14" i="35"/>
  <c r="AL18" i="35"/>
  <c r="AK18" i="35"/>
  <c r="AJ18" i="35"/>
  <c r="I38" i="35"/>
  <c r="H38" i="35"/>
  <c r="H125" i="37"/>
  <c r="G125" i="37"/>
  <c r="I125" i="37"/>
  <c r="F9" i="38"/>
  <c r="H136" i="40"/>
  <c r="I136" i="40"/>
  <c r="G136" i="40"/>
  <c r="AT16" i="35"/>
  <c r="AS16" i="35"/>
  <c r="AU16" i="35"/>
  <c r="AR16" i="35"/>
  <c r="AV16" i="35"/>
  <c r="V18" i="35"/>
  <c r="W31" i="35"/>
  <c r="V31" i="35"/>
  <c r="E129" i="37"/>
  <c r="K125" i="37"/>
  <c r="M125" i="37"/>
  <c r="L125" i="37"/>
  <c r="O125" i="37"/>
  <c r="N125" i="37"/>
  <c r="L9" i="38"/>
  <c r="N9" i="38"/>
  <c r="AA19" i="39"/>
  <c r="T7" i="39"/>
  <c r="S7" i="39"/>
  <c r="R7" i="39"/>
  <c r="Q7" i="39"/>
  <c r="P7" i="39"/>
  <c r="D9" i="44"/>
  <c r="V8" i="35"/>
  <c r="AL8" i="35"/>
  <c r="AK8" i="35"/>
  <c r="AJ8" i="35"/>
  <c r="N13" i="35"/>
  <c r="V38" i="35"/>
  <c r="W38" i="35"/>
  <c r="I39" i="35"/>
  <c r="H39" i="35"/>
  <c r="I7" i="37"/>
  <c r="H7" i="37"/>
  <c r="G7" i="37"/>
  <c r="I127" i="37"/>
  <c r="F129" i="37"/>
  <c r="H127" i="37"/>
  <c r="G127" i="37"/>
  <c r="J12" i="38"/>
  <c r="I12" i="38"/>
  <c r="H12" i="38"/>
  <c r="L134" i="38"/>
  <c r="K134" i="38"/>
  <c r="O134" i="38"/>
  <c r="N134" i="38"/>
  <c r="M134" i="38"/>
  <c r="M8" i="39"/>
  <c r="J8" i="39"/>
  <c r="I8" i="39"/>
  <c r="H8" i="39"/>
  <c r="H8" i="35"/>
  <c r="AS10" i="35"/>
  <c r="AV10" i="35"/>
  <c r="AU10" i="35"/>
  <c r="AT10" i="35"/>
  <c r="AR10" i="35"/>
  <c r="V12" i="35"/>
  <c r="AL12" i="35"/>
  <c r="AK12" i="35"/>
  <c r="AJ12" i="35"/>
  <c r="H18" i="35"/>
  <c r="AT18" i="35"/>
  <c r="AS18" i="35"/>
  <c r="AV18" i="35"/>
  <c r="AR18" i="35"/>
  <c r="AU18" i="35"/>
  <c r="H33" i="35"/>
  <c r="I33" i="35"/>
  <c r="I30" i="35"/>
  <c r="H30" i="35"/>
  <c r="W35" i="35"/>
  <c r="V35" i="35"/>
  <c r="C11" i="37"/>
  <c r="R9" i="38"/>
  <c r="Q9" i="38"/>
  <c r="S9" i="38"/>
  <c r="P9" i="38"/>
  <c r="T9" i="38"/>
  <c r="R7" i="40"/>
  <c r="S7" i="40"/>
  <c r="T7" i="40"/>
  <c r="AA19" i="40" s="1"/>
  <c r="Q7" i="40"/>
  <c r="P7" i="40"/>
  <c r="I9" i="41"/>
  <c r="H9" i="41"/>
  <c r="J9" i="41"/>
  <c r="G6" i="37"/>
  <c r="H6" i="37"/>
  <c r="G8" i="37"/>
  <c r="I8" i="37"/>
  <c r="H8" i="37"/>
  <c r="S8" i="37"/>
  <c r="R8" i="37"/>
  <c r="O8" i="37"/>
  <c r="T8" i="37"/>
  <c r="Q8" i="37"/>
  <c r="P8" i="37"/>
  <c r="D11" i="37"/>
  <c r="K10" i="37"/>
  <c r="M10" i="37"/>
  <c r="L10" i="37"/>
  <c r="F7" i="38"/>
  <c r="N9" i="39"/>
  <c r="L9" i="39"/>
  <c r="W34" i="35"/>
  <c r="V34" i="35"/>
  <c r="E11" i="37"/>
  <c r="N127" i="37"/>
  <c r="M127" i="37"/>
  <c r="J129" i="37"/>
  <c r="O127" i="37"/>
  <c r="L127" i="37"/>
  <c r="K127" i="37"/>
  <c r="F10" i="38"/>
  <c r="N6" i="39"/>
  <c r="M6" i="39"/>
  <c r="L6" i="39"/>
  <c r="J11" i="39"/>
  <c r="I11" i="39"/>
  <c r="H11" i="39"/>
  <c r="F6" i="40"/>
  <c r="J10" i="40"/>
  <c r="I10" i="40"/>
  <c r="H10" i="40"/>
  <c r="N139" i="41"/>
  <c r="O139" i="41"/>
  <c r="M139" i="41"/>
  <c r="L139" i="41"/>
  <c r="F11" i="43"/>
  <c r="J7" i="40"/>
  <c r="I7" i="40"/>
  <c r="H7" i="40"/>
  <c r="R7" i="41"/>
  <c r="Q7" i="41"/>
  <c r="P7" i="41"/>
  <c r="T7" i="41"/>
  <c r="S7" i="41"/>
  <c r="K8" i="37"/>
  <c r="M8" i="37"/>
  <c r="L8" i="37"/>
  <c r="G10" i="37"/>
  <c r="I10" i="37"/>
  <c r="H10" i="37"/>
  <c r="O10" i="37"/>
  <c r="S10" i="37"/>
  <c r="R10" i="37"/>
  <c r="Q10" i="37"/>
  <c r="P10" i="37"/>
  <c r="T10" i="37"/>
  <c r="O135" i="38"/>
  <c r="N135" i="38"/>
  <c r="M135" i="38"/>
  <c r="L135" i="38"/>
  <c r="K135" i="38"/>
  <c r="I137" i="38"/>
  <c r="H137" i="38"/>
  <c r="G137" i="38"/>
  <c r="R9" i="39"/>
  <c r="Q9" i="39"/>
  <c r="S9" i="39"/>
  <c r="P9" i="39"/>
  <c r="T9" i="39"/>
  <c r="P8" i="40"/>
  <c r="S8" i="40"/>
  <c r="T8" i="40"/>
  <c r="R8" i="40"/>
  <c r="Q8" i="40"/>
  <c r="J12" i="41"/>
  <c r="I12" i="41"/>
  <c r="H12" i="41"/>
  <c r="F146" i="41"/>
  <c r="G136" i="41"/>
  <c r="I136" i="41"/>
  <c r="H136" i="41"/>
  <c r="K136" i="41" s="1"/>
  <c r="I142" i="41"/>
  <c r="H142" i="41"/>
  <c r="K142" i="41" s="1"/>
  <c r="G142" i="41"/>
  <c r="F9" i="42"/>
  <c r="L8" i="38"/>
  <c r="N8" i="38"/>
  <c r="N9" i="41"/>
  <c r="M9" i="41"/>
  <c r="L9" i="41"/>
  <c r="M144" i="41"/>
  <c r="N144" i="41"/>
  <c r="L144" i="41"/>
  <c r="O144" i="41"/>
  <c r="L8" i="39"/>
  <c r="N8" i="39"/>
  <c r="T12" i="39"/>
  <c r="S12" i="39"/>
  <c r="P12" i="39"/>
  <c r="R12" i="39"/>
  <c r="Q12" i="39"/>
  <c r="I136" i="39"/>
  <c r="H136" i="39"/>
  <c r="G136" i="39"/>
  <c r="H137" i="39"/>
  <c r="I137" i="39"/>
  <c r="G137" i="39"/>
  <c r="J11" i="40"/>
  <c r="I11" i="40"/>
  <c r="H11" i="40"/>
  <c r="F8" i="41"/>
  <c r="H14" i="41"/>
  <c r="J14" i="41"/>
  <c r="I14" i="41"/>
  <c r="N6" i="43"/>
  <c r="M6" i="43"/>
  <c r="K16" i="43"/>
  <c r="L6" i="43"/>
  <c r="F11" i="38"/>
  <c r="M12" i="38"/>
  <c r="L12" i="38"/>
  <c r="N12" i="38"/>
  <c r="F12" i="39"/>
  <c r="F9" i="40"/>
  <c r="J11" i="41"/>
  <c r="I11" i="41"/>
  <c r="H11" i="41"/>
  <c r="R14" i="43"/>
  <c r="Q14" i="43"/>
  <c r="T14" i="43"/>
  <c r="S14" i="43"/>
  <c r="P14" i="43"/>
  <c r="I142" i="43"/>
  <c r="H142" i="43"/>
  <c r="G142" i="43"/>
  <c r="H138" i="38"/>
  <c r="G138" i="38"/>
  <c r="I138" i="38"/>
  <c r="N11" i="39"/>
  <c r="M11" i="39"/>
  <c r="L11" i="39"/>
  <c r="M136" i="39"/>
  <c r="L136" i="39"/>
  <c r="K136" i="39"/>
  <c r="O136" i="39"/>
  <c r="N136" i="39"/>
  <c r="I135" i="40"/>
  <c r="H135" i="40"/>
  <c r="G135" i="40"/>
  <c r="J11" i="38"/>
  <c r="I11" i="38"/>
  <c r="H11" i="38"/>
  <c r="Q11" i="38"/>
  <c r="P11" i="38"/>
  <c r="T11" i="38"/>
  <c r="S11" i="38"/>
  <c r="R11" i="38"/>
  <c r="F12" i="38"/>
  <c r="M137" i="38"/>
  <c r="L137" i="38"/>
  <c r="K137" i="38"/>
  <c r="O137" i="38"/>
  <c r="N137" i="38"/>
  <c r="H12" i="39"/>
  <c r="I12" i="39"/>
  <c r="J12" i="39"/>
  <c r="L137" i="39"/>
  <c r="K137" i="39"/>
  <c r="M137" i="39"/>
  <c r="O137" i="39"/>
  <c r="N137" i="39"/>
  <c r="O138" i="39"/>
  <c r="N138" i="39"/>
  <c r="K138" i="39"/>
  <c r="L138" i="39"/>
  <c r="M138" i="39"/>
  <c r="J7" i="41"/>
  <c r="I7" i="41"/>
  <c r="H7" i="41"/>
  <c r="F10" i="41"/>
  <c r="J13" i="41"/>
  <c r="I13" i="41"/>
  <c r="H13" i="41"/>
  <c r="D16" i="45"/>
  <c r="O138" i="38"/>
  <c r="N138" i="38"/>
  <c r="M138" i="38"/>
  <c r="K138" i="38"/>
  <c r="L138" i="38"/>
  <c r="F7" i="39"/>
  <c r="R11" i="39"/>
  <c r="T11" i="39"/>
  <c r="S11" i="39"/>
  <c r="Q11" i="39"/>
  <c r="P11" i="39"/>
  <c r="L12" i="40"/>
  <c r="M12" i="40"/>
  <c r="N12" i="40"/>
  <c r="O137" i="40"/>
  <c r="N137" i="40"/>
  <c r="K137" i="40"/>
  <c r="M137" i="40"/>
  <c r="L137" i="40"/>
  <c r="M7" i="41"/>
  <c r="L7" i="41"/>
  <c r="N7" i="41"/>
  <c r="E16" i="42"/>
  <c r="F16" i="42" s="1"/>
  <c r="F6" i="42"/>
  <c r="Q8" i="42"/>
  <c r="T8" i="42"/>
  <c r="S8" i="42"/>
  <c r="P8" i="42"/>
  <c r="R8" i="42"/>
  <c r="N135" i="39"/>
  <c r="M135" i="39"/>
  <c r="L135" i="39"/>
  <c r="K135" i="39"/>
  <c r="O135" i="39"/>
  <c r="N11" i="40"/>
  <c r="M11" i="40"/>
  <c r="L11" i="40"/>
  <c r="M136" i="40"/>
  <c r="L136" i="40"/>
  <c r="K136" i="40"/>
  <c r="O136" i="40"/>
  <c r="N136" i="40"/>
  <c r="F12" i="41"/>
  <c r="F13" i="41"/>
  <c r="F14" i="41"/>
  <c r="F15" i="41"/>
  <c r="C146" i="41"/>
  <c r="J7" i="42"/>
  <c r="I7" i="42"/>
  <c r="H7" i="42"/>
  <c r="Q12" i="42"/>
  <c r="T12" i="42"/>
  <c r="S12" i="42"/>
  <c r="R12" i="42"/>
  <c r="P12" i="42"/>
  <c r="M14" i="42"/>
  <c r="L14" i="42"/>
  <c r="N14" i="42"/>
  <c r="D146" i="42"/>
  <c r="G135" i="38"/>
  <c r="H135" i="38"/>
  <c r="I135" i="38"/>
  <c r="F11" i="39"/>
  <c r="L12" i="39"/>
  <c r="N12" i="39"/>
  <c r="M12" i="39"/>
  <c r="G138" i="39"/>
  <c r="I138" i="39"/>
  <c r="H138" i="39"/>
  <c r="F11" i="40"/>
  <c r="F12" i="40"/>
  <c r="F6" i="41"/>
  <c r="E16" i="41"/>
  <c r="F16" i="41" s="1"/>
  <c r="M145" i="41"/>
  <c r="L145" i="41"/>
  <c r="O145" i="41"/>
  <c r="N145" i="41"/>
  <c r="N136" i="38"/>
  <c r="M136" i="38"/>
  <c r="L136" i="38"/>
  <c r="K136" i="38"/>
  <c r="O136" i="38"/>
  <c r="I135" i="39"/>
  <c r="H135" i="39"/>
  <c r="G135" i="39"/>
  <c r="R11" i="40"/>
  <c r="T11" i="40"/>
  <c r="S11" i="40"/>
  <c r="Q11" i="40"/>
  <c r="P11" i="40"/>
  <c r="G134" i="40"/>
  <c r="I134" i="40"/>
  <c r="H134" i="40"/>
  <c r="F8" i="42"/>
  <c r="S11" i="42"/>
  <c r="T11" i="42"/>
  <c r="R11" i="42"/>
  <c r="Q11" i="42"/>
  <c r="P11" i="42"/>
  <c r="L13" i="42"/>
  <c r="N13" i="42"/>
  <c r="M13" i="42"/>
  <c r="S15" i="42"/>
  <c r="T15" i="42"/>
  <c r="R15" i="42"/>
  <c r="Q15" i="42"/>
  <c r="P15" i="42"/>
  <c r="L7" i="43"/>
  <c r="N7" i="43"/>
  <c r="M7" i="43"/>
  <c r="H12" i="43"/>
  <c r="J12" i="43"/>
  <c r="I12" i="43"/>
  <c r="D9" i="46"/>
  <c r="I138" i="40"/>
  <c r="H138" i="40"/>
  <c r="G138" i="40"/>
  <c r="F7" i="41"/>
  <c r="D146" i="41"/>
  <c r="M138" i="41"/>
  <c r="O138" i="41"/>
  <c r="L138" i="41"/>
  <c r="N138" i="41"/>
  <c r="R6" i="43"/>
  <c r="Q6" i="43"/>
  <c r="T6" i="43"/>
  <c r="P6" i="43"/>
  <c r="O16" i="43"/>
  <c r="S6" i="43"/>
  <c r="F9" i="43"/>
  <c r="N11" i="43"/>
  <c r="L11" i="43"/>
  <c r="M11" i="43"/>
  <c r="H137" i="40"/>
  <c r="G137" i="40"/>
  <c r="I137" i="40"/>
  <c r="M140" i="41"/>
  <c r="L140" i="41"/>
  <c r="O140" i="41"/>
  <c r="N140" i="41"/>
  <c r="J8" i="42"/>
  <c r="I8" i="42"/>
  <c r="H8" i="42"/>
  <c r="E146" i="42"/>
  <c r="D20" i="44"/>
  <c r="D10" i="46"/>
  <c r="H12" i="40"/>
  <c r="J12" i="40"/>
  <c r="I12" i="40"/>
  <c r="P12" i="40"/>
  <c r="R12" i="40"/>
  <c r="Q12" i="40"/>
  <c r="T12" i="40"/>
  <c r="S12" i="40"/>
  <c r="K138" i="40"/>
  <c r="N138" i="40"/>
  <c r="O138" i="40"/>
  <c r="M138" i="40"/>
  <c r="L138" i="40"/>
  <c r="O136" i="41"/>
  <c r="M136" i="41"/>
  <c r="N136" i="41"/>
  <c r="L136" i="41"/>
  <c r="J146" i="41"/>
  <c r="O141" i="41"/>
  <c r="M141" i="41"/>
  <c r="N141" i="41"/>
  <c r="L141" i="41"/>
  <c r="C16" i="42"/>
  <c r="F11" i="42"/>
  <c r="F12" i="42"/>
  <c r="J10" i="43"/>
  <c r="I10" i="43"/>
  <c r="H10" i="43"/>
  <c r="R12" i="43"/>
  <c r="P12" i="43"/>
  <c r="T12" i="43"/>
  <c r="S12" i="43"/>
  <c r="Q12" i="43"/>
  <c r="D146" i="43"/>
  <c r="M135" i="40"/>
  <c r="O135" i="40"/>
  <c r="N135" i="40"/>
  <c r="K135" i="40"/>
  <c r="L135" i="40"/>
  <c r="M143" i="41"/>
  <c r="O143" i="41"/>
  <c r="N143" i="41"/>
  <c r="L143" i="41"/>
  <c r="D16" i="42"/>
  <c r="T7" i="42"/>
  <c r="S7" i="42"/>
  <c r="R7" i="42"/>
  <c r="Q7" i="42"/>
  <c r="P7" i="42"/>
  <c r="F15" i="42"/>
  <c r="J6" i="43"/>
  <c r="I6" i="43"/>
  <c r="H6" i="43"/>
  <c r="G16" i="43"/>
  <c r="P8" i="43"/>
  <c r="T8" i="43"/>
  <c r="S8" i="43"/>
  <c r="R8" i="43"/>
  <c r="Q8" i="43"/>
  <c r="D13" i="46"/>
  <c r="R14" i="42"/>
  <c r="Q14" i="42"/>
  <c r="P14" i="42"/>
  <c r="T14" i="42"/>
  <c r="S14" i="42"/>
  <c r="J15" i="42"/>
  <c r="I15" i="42"/>
  <c r="H15" i="42"/>
  <c r="H9" i="43"/>
  <c r="J9" i="43"/>
  <c r="I9" i="43"/>
  <c r="L10" i="43"/>
  <c r="N10" i="43"/>
  <c r="M10" i="43"/>
  <c r="F15" i="43"/>
  <c r="O144" i="43"/>
  <c r="N144" i="43"/>
  <c r="M144" i="43"/>
  <c r="L144" i="43"/>
  <c r="D14" i="46"/>
  <c r="L142" i="41"/>
  <c r="O142" i="41"/>
  <c r="N142" i="41"/>
  <c r="M142" i="41"/>
  <c r="T10" i="42"/>
  <c r="Q10" i="42"/>
  <c r="P10" i="42"/>
  <c r="R10" i="42"/>
  <c r="S10" i="42"/>
  <c r="I11" i="42"/>
  <c r="H11" i="42"/>
  <c r="J11" i="42"/>
  <c r="J8" i="43"/>
  <c r="I8" i="43"/>
  <c r="H8" i="43"/>
  <c r="F14" i="43"/>
  <c r="O136" i="43"/>
  <c r="N136" i="43"/>
  <c r="M136" i="43"/>
  <c r="J146" i="43"/>
  <c r="L136" i="43"/>
  <c r="I138" i="43"/>
  <c r="H138" i="43"/>
  <c r="G138" i="43"/>
  <c r="D15" i="46"/>
  <c r="L12" i="42"/>
  <c r="M12" i="42"/>
  <c r="N12" i="42"/>
  <c r="H14" i="42"/>
  <c r="J14" i="42"/>
  <c r="I14" i="42"/>
  <c r="N141" i="43"/>
  <c r="M141" i="43"/>
  <c r="L141" i="43"/>
  <c r="O141" i="43"/>
  <c r="H143" i="43"/>
  <c r="G143" i="43"/>
  <c r="I143" i="43"/>
  <c r="D15" i="44"/>
  <c r="D10" i="45"/>
  <c r="D21" i="45"/>
  <c r="M137" i="41"/>
  <c r="L137" i="41"/>
  <c r="O137" i="41"/>
  <c r="N137" i="41"/>
  <c r="K16" i="42"/>
  <c r="N6" i="42"/>
  <c r="L6" i="42"/>
  <c r="M6" i="42"/>
  <c r="M7" i="42"/>
  <c r="N7" i="42"/>
  <c r="L7" i="42"/>
  <c r="I10" i="42"/>
  <c r="H10" i="42"/>
  <c r="J10" i="42"/>
  <c r="F13" i="42"/>
  <c r="E16" i="43"/>
  <c r="F16" i="43" s="1"/>
  <c r="F6" i="43"/>
  <c r="N8" i="43"/>
  <c r="M8" i="43"/>
  <c r="L8" i="43"/>
  <c r="T9" i="43"/>
  <c r="S9" i="43"/>
  <c r="R9" i="43"/>
  <c r="P9" i="43"/>
  <c r="Q9" i="43"/>
  <c r="J13" i="43"/>
  <c r="H13" i="43"/>
  <c r="I13" i="43"/>
  <c r="N14" i="43"/>
  <c r="L14" i="43"/>
  <c r="M14" i="43"/>
  <c r="M138" i="43"/>
  <c r="L138" i="43"/>
  <c r="O138" i="43"/>
  <c r="N138" i="43"/>
  <c r="I140" i="43"/>
  <c r="G140" i="43"/>
  <c r="H140" i="43"/>
  <c r="D18" i="46"/>
  <c r="C16" i="43"/>
  <c r="F7" i="43"/>
  <c r="F10" i="43"/>
  <c r="R10" i="43"/>
  <c r="Q10" i="43"/>
  <c r="T10" i="43"/>
  <c r="P10" i="43"/>
  <c r="S10" i="43"/>
  <c r="N12" i="43"/>
  <c r="M12" i="43"/>
  <c r="L12" i="43"/>
  <c r="F13" i="43"/>
  <c r="T13" i="43"/>
  <c r="S13" i="43"/>
  <c r="R13" i="43"/>
  <c r="P13" i="43"/>
  <c r="Q13" i="43"/>
  <c r="J14" i="43"/>
  <c r="I14" i="43"/>
  <c r="H14" i="43"/>
  <c r="N15" i="43"/>
  <c r="L15" i="43"/>
  <c r="M15" i="43"/>
  <c r="O142" i="43"/>
  <c r="M142" i="43"/>
  <c r="N142" i="43"/>
  <c r="L142" i="43"/>
  <c r="D11" i="46"/>
  <c r="D17" i="46"/>
  <c r="J6" i="42"/>
  <c r="I6" i="42"/>
  <c r="G16" i="42"/>
  <c r="H6" i="42"/>
  <c r="T6" i="42"/>
  <c r="S6" i="42"/>
  <c r="R6" i="42"/>
  <c r="Q6" i="42"/>
  <c r="P6" i="42"/>
  <c r="O16" i="42"/>
  <c r="F7" i="42"/>
  <c r="L8" i="42"/>
  <c r="M8" i="42"/>
  <c r="N8" i="42"/>
  <c r="N9" i="42"/>
  <c r="M9" i="42"/>
  <c r="L9" i="42"/>
  <c r="M10" i="42"/>
  <c r="N10" i="42"/>
  <c r="L10" i="42"/>
  <c r="D16" i="43"/>
  <c r="C146" i="43"/>
  <c r="D11" i="44"/>
  <c r="D16" i="44"/>
  <c r="D21" i="44"/>
  <c r="D12" i="45"/>
  <c r="D17" i="45"/>
  <c r="O139" i="43"/>
  <c r="L139" i="43"/>
  <c r="N139" i="43"/>
  <c r="M139" i="43"/>
  <c r="L143" i="43"/>
  <c r="N143" i="43"/>
  <c r="M143" i="43"/>
  <c r="O143" i="43"/>
  <c r="D12" i="44"/>
  <c r="D17" i="44"/>
  <c r="D8" i="45"/>
  <c r="D13" i="45"/>
  <c r="D18" i="45"/>
  <c r="D19" i="46"/>
  <c r="D8" i="44"/>
  <c r="D13" i="44"/>
  <c r="D19" i="44"/>
  <c r="D9" i="45"/>
  <c r="D14" i="45"/>
  <c r="D20" i="45"/>
  <c r="I9" i="42"/>
  <c r="H9" i="42"/>
  <c r="J9" i="42"/>
  <c r="T9" i="42"/>
  <c r="Q9" i="42"/>
  <c r="R9" i="42"/>
  <c r="P9" i="42"/>
  <c r="S9" i="42"/>
  <c r="F10" i="42"/>
  <c r="L11" i="42"/>
  <c r="N11" i="42"/>
  <c r="M11" i="42"/>
  <c r="J13" i="42"/>
  <c r="I13" i="42"/>
  <c r="H13" i="42"/>
  <c r="P13" i="42"/>
  <c r="T13" i="42"/>
  <c r="S13" i="42"/>
  <c r="R13" i="42"/>
  <c r="Q13" i="42"/>
  <c r="F14" i="42"/>
  <c r="M15" i="42"/>
  <c r="N15" i="42"/>
  <c r="L15" i="42"/>
  <c r="H7" i="43"/>
  <c r="J7" i="43"/>
  <c r="I7" i="43"/>
  <c r="P7" i="43"/>
  <c r="T7" i="43"/>
  <c r="R7" i="43"/>
  <c r="Q7" i="43"/>
  <c r="S7" i="43"/>
  <c r="F8" i="43"/>
  <c r="L9" i="43"/>
  <c r="N9" i="43"/>
  <c r="M9" i="43"/>
  <c r="H11" i="43"/>
  <c r="J11" i="43"/>
  <c r="I11" i="43"/>
  <c r="P11" i="43"/>
  <c r="T11" i="43"/>
  <c r="S11" i="43"/>
  <c r="R11" i="43"/>
  <c r="Q11" i="43"/>
  <c r="F12" i="43"/>
  <c r="L13" i="43"/>
  <c r="N13" i="43"/>
  <c r="M13" i="43"/>
  <c r="H15" i="43"/>
  <c r="J15" i="43"/>
  <c r="I15" i="43"/>
  <c r="P15" i="43"/>
  <c r="R15" i="43"/>
  <c r="Q15" i="43"/>
  <c r="T15" i="43"/>
  <c r="S15" i="43"/>
  <c r="D10" i="44"/>
  <c r="D14" i="44"/>
  <c r="D18" i="44"/>
  <c r="D11" i="45"/>
  <c r="D15" i="45"/>
  <c r="D19" i="45"/>
  <c r="D8" i="46"/>
  <c r="D12" i="46"/>
  <c r="D16" i="46"/>
  <c r="D20" i="46"/>
  <c r="D21" i="46"/>
  <c r="J56" i="2"/>
  <c r="L56" i="2"/>
  <c r="K56" i="2"/>
  <c r="L6" i="2"/>
  <c r="K6" i="2"/>
  <c r="J6" i="2"/>
  <c r="L152" i="3"/>
  <c r="K152" i="3"/>
  <c r="J152" i="3"/>
  <c r="K6" i="6"/>
  <c r="S6" i="6"/>
  <c r="V6" i="5"/>
  <c r="W6" i="5"/>
  <c r="E17" i="2"/>
  <c r="E18" i="2"/>
  <c r="J31" i="2"/>
  <c r="E62" i="13"/>
  <c r="E20" i="13"/>
  <c r="E104" i="13"/>
  <c r="E118" i="13"/>
  <c r="E146" i="13"/>
  <c r="E48" i="13"/>
  <c r="E34" i="13"/>
  <c r="E132" i="13"/>
  <c r="E90" i="13"/>
  <c r="E160" i="13"/>
  <c r="E76" i="13"/>
  <c r="P20" i="13"/>
  <c r="F17" i="2"/>
  <c r="F18" i="2"/>
  <c r="K31" i="2"/>
  <c r="J6" i="3"/>
  <c r="I6" i="5"/>
  <c r="G17" i="2"/>
  <c r="G18" i="2"/>
  <c r="L31" i="2"/>
  <c r="K6" i="3"/>
  <c r="J6" i="5"/>
  <c r="O23" i="14"/>
  <c r="O21" i="17"/>
  <c r="O9" i="17"/>
  <c r="W6" i="13"/>
  <c r="V6" i="13"/>
  <c r="P9" i="17"/>
  <c r="P21" i="17"/>
  <c r="U6" i="13"/>
  <c r="S21" i="17"/>
  <c r="S9" i="17"/>
  <c r="A12" i="12"/>
  <c r="C90" i="13"/>
  <c r="C132" i="13"/>
  <c r="C146" i="13"/>
  <c r="C34" i="13"/>
  <c r="C104" i="13"/>
  <c r="Q23" i="14"/>
  <c r="F161" i="16"/>
  <c r="F135" i="16"/>
  <c r="F49" i="16"/>
  <c r="F23" i="16"/>
  <c r="F91" i="16"/>
  <c r="F65" i="16"/>
  <c r="F9" i="16"/>
  <c r="F147" i="16"/>
  <c r="F121" i="16"/>
  <c r="F35" i="16"/>
  <c r="F79" i="16"/>
  <c r="F77" i="16"/>
  <c r="F63" i="16"/>
  <c r="F149" i="16"/>
  <c r="F51" i="16"/>
  <c r="F119" i="16"/>
  <c r="F107" i="16"/>
  <c r="K10" i="12"/>
  <c r="A11" i="12"/>
  <c r="K18" i="12"/>
  <c r="K27" i="12"/>
  <c r="K34" i="12"/>
  <c r="K43" i="12"/>
  <c r="F104" i="13"/>
  <c r="F146" i="13"/>
  <c r="F34" i="13"/>
  <c r="F160" i="13"/>
  <c r="F48" i="13"/>
  <c r="C48" i="13"/>
  <c r="F118" i="13"/>
  <c r="K20" i="12"/>
  <c r="K29" i="12"/>
  <c r="K36" i="12"/>
  <c r="K45" i="12"/>
  <c r="K52" i="12"/>
  <c r="F132" i="13"/>
  <c r="C160" i="13"/>
  <c r="R21" i="16"/>
  <c r="Q21" i="16"/>
  <c r="O9" i="16"/>
  <c r="S9" i="16"/>
  <c r="A13" i="12"/>
  <c r="A14" i="12"/>
  <c r="I5" i="12"/>
  <c r="Q20" i="13"/>
  <c r="C62" i="13"/>
  <c r="F133" i="16"/>
  <c r="D161" i="17"/>
  <c r="D135" i="17"/>
  <c r="D91" i="17"/>
  <c r="D65" i="17"/>
  <c r="D149" i="17"/>
  <c r="D121" i="17"/>
  <c r="D93" i="17"/>
  <c r="D49" i="17"/>
  <c r="D23" i="17"/>
  <c r="D147" i="17"/>
  <c r="D51" i="17"/>
  <c r="G148" i="18"/>
  <c r="G132" i="18"/>
  <c r="G106" i="18"/>
  <c r="G20" i="18"/>
  <c r="G90" i="18"/>
  <c r="G64" i="18"/>
  <c r="G76" i="18"/>
  <c r="G50" i="18"/>
  <c r="G92" i="18"/>
  <c r="G48" i="18"/>
  <c r="G146" i="18"/>
  <c r="G104" i="18"/>
  <c r="G120" i="18"/>
  <c r="G118" i="18"/>
  <c r="G22" i="18"/>
  <c r="G62" i="18"/>
  <c r="G8" i="18"/>
  <c r="G160" i="18"/>
  <c r="G34" i="18"/>
  <c r="S148" i="18"/>
  <c r="S76" i="18"/>
  <c r="S50" i="18"/>
  <c r="S146" i="18"/>
  <c r="S120" i="18"/>
  <c r="S34" i="18"/>
  <c r="S8" i="18"/>
  <c r="S160" i="18"/>
  <c r="S132" i="18"/>
  <c r="S106" i="18"/>
  <c r="S134" i="18"/>
  <c r="S90" i="18"/>
  <c r="S92" i="18"/>
  <c r="S48" i="18"/>
  <c r="S104" i="18"/>
  <c r="S22" i="18"/>
  <c r="S62" i="18"/>
  <c r="S36" i="18"/>
  <c r="S20" i="18"/>
  <c r="S118" i="18"/>
  <c r="S78" i="18"/>
  <c r="D76" i="13"/>
  <c r="E119" i="16"/>
  <c r="E93" i="16"/>
  <c r="E161" i="16"/>
  <c r="E135" i="16"/>
  <c r="E49" i="16"/>
  <c r="E23" i="16"/>
  <c r="E105" i="16"/>
  <c r="E79" i="16"/>
  <c r="Q9" i="16"/>
  <c r="P9" i="16"/>
  <c r="E35" i="16"/>
  <c r="E37" i="16"/>
  <c r="E133" i="16"/>
  <c r="E91" i="17"/>
  <c r="E65" i="17"/>
  <c r="E133" i="17"/>
  <c r="E107" i="17"/>
  <c r="E135" i="17"/>
  <c r="E49" i="17"/>
  <c r="E23" i="17"/>
  <c r="E9" i="17"/>
  <c r="E161" i="17"/>
  <c r="E35" i="17"/>
  <c r="R21" i="17"/>
  <c r="E51" i="17"/>
  <c r="D63" i="17"/>
  <c r="D105" i="17"/>
  <c r="E147" i="17"/>
  <c r="J6" i="18"/>
  <c r="I6" i="18"/>
  <c r="T146" i="18"/>
  <c r="T120" i="18"/>
  <c r="T34" i="18"/>
  <c r="T8" i="18"/>
  <c r="T104" i="18"/>
  <c r="T78" i="18"/>
  <c r="T90" i="18"/>
  <c r="T64" i="18"/>
  <c r="T92" i="18"/>
  <c r="T48" i="18"/>
  <c r="T50" i="18"/>
  <c r="T148" i="18"/>
  <c r="T106" i="18"/>
  <c r="T118" i="18"/>
  <c r="N22" i="18"/>
  <c r="D36" i="18"/>
  <c r="C78" i="18"/>
  <c r="S21" i="16"/>
  <c r="E63" i="16"/>
  <c r="G149" i="17"/>
  <c r="G105" i="17"/>
  <c r="G79" i="17"/>
  <c r="G77" i="17"/>
  <c r="G147" i="17"/>
  <c r="G119" i="17"/>
  <c r="G91" i="17"/>
  <c r="G63" i="17"/>
  <c r="G37" i="17"/>
  <c r="G21" i="17"/>
  <c r="G121" i="17"/>
  <c r="G93" i="17"/>
  <c r="G65" i="17"/>
  <c r="V7" i="17"/>
  <c r="U7" i="17"/>
  <c r="G9" i="17"/>
  <c r="D21" i="17"/>
  <c r="D77" i="17"/>
  <c r="D107" i="17"/>
  <c r="E121" i="17"/>
  <c r="E149" i="17"/>
  <c r="G36" i="18"/>
  <c r="D62" i="18"/>
  <c r="S64" i="18"/>
  <c r="G78" i="18"/>
  <c r="D20" i="13"/>
  <c r="O20" i="13"/>
  <c r="D62" i="13"/>
  <c r="G76" i="13"/>
  <c r="C37" i="14"/>
  <c r="C51" i="14"/>
  <c r="C65" i="14"/>
  <c r="C79" i="14"/>
  <c r="C93" i="14"/>
  <c r="C107" i="14"/>
  <c r="C121" i="14"/>
  <c r="C135" i="14"/>
  <c r="C149" i="14"/>
  <c r="C163" i="14"/>
  <c r="K7" i="16"/>
  <c r="W7" i="16"/>
  <c r="V7" i="16"/>
  <c r="E9" i="16"/>
  <c r="E65" i="16"/>
  <c r="E77" i="16"/>
  <c r="K7" i="17"/>
  <c r="J7" i="17"/>
  <c r="W7" i="17"/>
  <c r="E21" i="17"/>
  <c r="E77" i="17"/>
  <c r="E93" i="17"/>
  <c r="G107" i="17"/>
  <c r="C76" i="18"/>
  <c r="C50" i="18"/>
  <c r="C146" i="18"/>
  <c r="C120" i="18"/>
  <c r="C34" i="18"/>
  <c r="C8" i="18"/>
  <c r="C132" i="18"/>
  <c r="C106" i="18"/>
  <c r="C160" i="18"/>
  <c r="C64" i="18"/>
  <c r="C62" i="18"/>
  <c r="C134" i="18"/>
  <c r="C118" i="18"/>
  <c r="C90" i="18"/>
  <c r="C20" i="18"/>
  <c r="C36" i="18"/>
  <c r="C22" i="18"/>
  <c r="C92" i="18"/>
  <c r="M104" i="18"/>
  <c r="M78" i="18"/>
  <c r="M160" i="18"/>
  <c r="M62" i="18"/>
  <c r="M36" i="18"/>
  <c r="M134" i="18"/>
  <c r="M48" i="18"/>
  <c r="M148" i="18"/>
  <c r="M146" i="18"/>
  <c r="M106" i="18"/>
  <c r="M92" i="18"/>
  <c r="M90" i="18"/>
  <c r="M20" i="18"/>
  <c r="M132" i="18"/>
  <c r="M50" i="18"/>
  <c r="M34" i="18"/>
  <c r="M64" i="18"/>
  <c r="M22" i="18"/>
  <c r="M8" i="18"/>
  <c r="Y6" i="18"/>
  <c r="T22" i="18"/>
  <c r="M120" i="18"/>
  <c r="D132" i="13"/>
  <c r="U7" i="16"/>
  <c r="E21" i="16"/>
  <c r="I7" i="17"/>
  <c r="D79" i="17"/>
  <c r="D133" i="17"/>
  <c r="D146" i="18"/>
  <c r="D120" i="18"/>
  <c r="D34" i="18"/>
  <c r="D8" i="18"/>
  <c r="D160" i="18"/>
  <c r="D104" i="18"/>
  <c r="D78" i="18"/>
  <c r="D90" i="18"/>
  <c r="D64" i="18"/>
  <c r="D134" i="18"/>
  <c r="D132" i="18"/>
  <c r="D118" i="18"/>
  <c r="D148" i="18"/>
  <c r="D92" i="18"/>
  <c r="D76" i="18"/>
  <c r="D50" i="18"/>
  <c r="N160" i="18"/>
  <c r="N62" i="18"/>
  <c r="N36" i="18"/>
  <c r="N132" i="18"/>
  <c r="N106" i="18"/>
  <c r="N20" i="18"/>
  <c r="N148" i="18"/>
  <c r="N118" i="18"/>
  <c r="N92" i="18"/>
  <c r="N146" i="18"/>
  <c r="N104" i="18"/>
  <c r="N64" i="18"/>
  <c r="N50" i="18"/>
  <c r="N48" i="18"/>
  <c r="N78" i="18"/>
  <c r="N34" i="18"/>
  <c r="N76" i="18"/>
  <c r="N134" i="18"/>
  <c r="N90" i="18"/>
  <c r="N8" i="18"/>
  <c r="N120" i="18"/>
  <c r="G134" i="18"/>
  <c r="H21" i="22"/>
  <c r="H119" i="22"/>
  <c r="H105" i="22"/>
  <c r="H161" i="22"/>
  <c r="H133" i="22"/>
  <c r="H77" i="22"/>
  <c r="K7" i="22"/>
  <c r="H49" i="22"/>
  <c r="H35" i="22"/>
  <c r="J7" i="22"/>
  <c r="H91" i="22"/>
  <c r="H147" i="22"/>
  <c r="H63" i="22"/>
  <c r="D21" i="16"/>
  <c r="O21" i="16"/>
  <c r="D37" i="16"/>
  <c r="G51" i="16"/>
  <c r="D63" i="16"/>
  <c r="G77" i="16"/>
  <c r="C107" i="16"/>
  <c r="C133" i="16"/>
  <c r="D149" i="16"/>
  <c r="F133" i="17"/>
  <c r="F107" i="17"/>
  <c r="F149" i="17"/>
  <c r="C21" i="17"/>
  <c r="C37" i="17"/>
  <c r="F51" i="17"/>
  <c r="C63" i="17"/>
  <c r="F79" i="17"/>
  <c r="C147" i="17"/>
  <c r="E160" i="18"/>
  <c r="E104" i="18"/>
  <c r="E78" i="18"/>
  <c r="E62" i="18"/>
  <c r="E36" i="18"/>
  <c r="E148" i="18"/>
  <c r="E134" i="18"/>
  <c r="E48" i="18"/>
  <c r="E132" i="18"/>
  <c r="E92" i="18"/>
  <c r="E90" i="18"/>
  <c r="E120" i="18"/>
  <c r="E76" i="18"/>
  <c r="O148" i="18"/>
  <c r="O132" i="18"/>
  <c r="O106" i="18"/>
  <c r="O20" i="18"/>
  <c r="O90" i="18"/>
  <c r="O64" i="18"/>
  <c r="O76" i="18"/>
  <c r="O50" i="18"/>
  <c r="O104" i="18"/>
  <c r="O62" i="18"/>
  <c r="O160" i="18"/>
  <c r="O134" i="18"/>
  <c r="O120" i="18"/>
  <c r="O118" i="18"/>
  <c r="L22" i="18"/>
  <c r="V22" i="18"/>
  <c r="K64" i="18"/>
  <c r="K90" i="18"/>
  <c r="F160" i="18"/>
  <c r="M65" i="19"/>
  <c r="F62" i="18"/>
  <c r="F36" i="18"/>
  <c r="F132" i="18"/>
  <c r="F106" i="18"/>
  <c r="F20" i="18"/>
  <c r="F118" i="18"/>
  <c r="F92" i="18"/>
  <c r="F134" i="18"/>
  <c r="F90" i="18"/>
  <c r="F50" i="18"/>
  <c r="F48" i="18"/>
  <c r="F148" i="18"/>
  <c r="F78" i="18"/>
  <c r="F146" i="18"/>
  <c r="R6" i="18"/>
  <c r="Q6" i="18"/>
  <c r="F76" i="18"/>
  <c r="L106" i="18"/>
  <c r="O146" i="18"/>
  <c r="C51" i="16"/>
  <c r="C77" i="16"/>
  <c r="D93" i="16"/>
  <c r="G107" i="16"/>
  <c r="D119" i="16"/>
  <c r="G133" i="16"/>
  <c r="F77" i="17"/>
  <c r="F105" i="17"/>
  <c r="C121" i="17"/>
  <c r="C149" i="17"/>
  <c r="K76" i="18"/>
  <c r="K50" i="18"/>
  <c r="K146" i="18"/>
  <c r="K120" i="18"/>
  <c r="K34" i="18"/>
  <c r="K8" i="18"/>
  <c r="K132" i="18"/>
  <c r="K106" i="18"/>
  <c r="K118" i="18"/>
  <c r="K78" i="18"/>
  <c r="K36" i="18"/>
  <c r="K148" i="18"/>
  <c r="K160" i="18"/>
  <c r="K134" i="18"/>
  <c r="U104" i="18"/>
  <c r="U78" i="18"/>
  <c r="U62" i="18"/>
  <c r="U36" i="18"/>
  <c r="U134" i="18"/>
  <c r="U48" i="18"/>
  <c r="U50" i="18"/>
  <c r="U118" i="18"/>
  <c r="U148" i="18"/>
  <c r="U146" i="18"/>
  <c r="U106" i="18"/>
  <c r="L20" i="18"/>
  <c r="F22" i="18"/>
  <c r="U64" i="18"/>
  <c r="V90" i="18"/>
  <c r="O92" i="18"/>
  <c r="E118" i="18"/>
  <c r="F120" i="18"/>
  <c r="U160" i="18"/>
  <c r="J7" i="19"/>
  <c r="F7" i="19"/>
  <c r="H7" i="19"/>
  <c r="M79" i="19"/>
  <c r="G9" i="16"/>
  <c r="R9" i="16"/>
  <c r="C35" i="16"/>
  <c r="D51" i="16"/>
  <c r="G65" i="16"/>
  <c r="D77" i="16"/>
  <c r="G91" i="16"/>
  <c r="C121" i="16"/>
  <c r="C147" i="16"/>
  <c r="C119" i="17"/>
  <c r="C93" i="17"/>
  <c r="C161" i="17"/>
  <c r="C135" i="17"/>
  <c r="F9" i="17"/>
  <c r="Q9" i="17"/>
  <c r="C51" i="17"/>
  <c r="C79" i="17"/>
  <c r="C107" i="17"/>
  <c r="L146" i="18"/>
  <c r="L120" i="18"/>
  <c r="L34" i="18"/>
  <c r="L8" i="18"/>
  <c r="L104" i="18"/>
  <c r="L78" i="18"/>
  <c r="L90" i="18"/>
  <c r="L64" i="18"/>
  <c r="L76" i="18"/>
  <c r="L36" i="18"/>
  <c r="L148" i="18"/>
  <c r="L134" i="18"/>
  <c r="L132" i="18"/>
  <c r="L92" i="18"/>
  <c r="V62" i="18"/>
  <c r="V36" i="18"/>
  <c r="V160" i="18"/>
  <c r="V132" i="18"/>
  <c r="V106" i="18"/>
  <c r="V20" i="18"/>
  <c r="V118" i="18"/>
  <c r="V92" i="18"/>
  <c r="V120" i="18"/>
  <c r="V76" i="18"/>
  <c r="V104" i="18"/>
  <c r="V64" i="18"/>
  <c r="V48" i="18"/>
  <c r="E64" i="18"/>
  <c r="M147" i="19"/>
  <c r="M121" i="19"/>
  <c r="M119" i="19"/>
  <c r="M93" i="19"/>
  <c r="M91" i="19"/>
  <c r="M35" i="19"/>
  <c r="M9" i="19"/>
  <c r="M135" i="19"/>
  <c r="M105" i="19"/>
  <c r="M63" i="19"/>
  <c r="M21" i="19"/>
  <c r="M133" i="19"/>
  <c r="M23" i="19"/>
  <c r="L7" i="19"/>
  <c r="M51" i="19"/>
  <c r="M161" i="19"/>
  <c r="M149" i="19"/>
  <c r="M107" i="19"/>
  <c r="M77" i="19"/>
  <c r="M37" i="19"/>
  <c r="R21" i="22"/>
  <c r="U7" i="19"/>
  <c r="V49" i="19"/>
  <c r="S21" i="22"/>
  <c r="V147" i="19"/>
  <c r="V121" i="19"/>
  <c r="V119" i="19"/>
  <c r="V93" i="19"/>
  <c r="V91" i="19"/>
  <c r="V77" i="19"/>
  <c r="V65" i="19"/>
  <c r="V63" i="19"/>
  <c r="V51" i="19"/>
  <c r="V79" i="19"/>
  <c r="V35" i="19"/>
  <c r="V9" i="19"/>
  <c r="V149" i="19"/>
  <c r="V107" i="19"/>
  <c r="V21" i="19"/>
  <c r="V135" i="19"/>
  <c r="V105" i="19"/>
  <c r="V37" i="19"/>
  <c r="V161" i="19"/>
  <c r="T21" i="22"/>
  <c r="V7" i="22"/>
  <c r="G147" i="22"/>
  <c r="G91" i="22"/>
  <c r="G133" i="22"/>
  <c r="G77" i="22"/>
  <c r="G119" i="22"/>
  <c r="G105" i="22"/>
  <c r="G161" i="22"/>
  <c r="G49" i="22"/>
  <c r="G35" i="22"/>
  <c r="N133" i="19"/>
  <c r="N107" i="19"/>
  <c r="N105" i="19"/>
  <c r="N77" i="19"/>
  <c r="N65" i="19"/>
  <c r="N63" i="19"/>
  <c r="N51" i="19"/>
  <c r="N147" i="19"/>
  <c r="R7" i="19"/>
  <c r="X7" i="19"/>
  <c r="N21" i="19"/>
  <c r="N93" i="19"/>
  <c r="N135" i="19"/>
  <c r="G21" i="22"/>
  <c r="G63" i="22"/>
  <c r="D96" i="30"/>
  <c r="F96" i="30"/>
  <c r="L7" i="22"/>
  <c r="X7" i="22"/>
  <c r="W7" i="22"/>
  <c r="F8" i="30"/>
  <c r="H8" i="30"/>
  <c r="C119" i="22"/>
  <c r="C63" i="22"/>
  <c r="C161" i="22"/>
  <c r="C105" i="22"/>
  <c r="C49" i="22"/>
  <c r="C147" i="22"/>
  <c r="C77" i="22"/>
  <c r="C133" i="22"/>
  <c r="C35" i="22"/>
  <c r="C21" i="22"/>
  <c r="D21" i="22"/>
  <c r="E161" i="22"/>
  <c r="E105" i="22"/>
  <c r="E147" i="22"/>
  <c r="E91" i="22"/>
  <c r="E35" i="22"/>
  <c r="E133" i="22"/>
  <c r="E21" i="22"/>
  <c r="Q21" i="22"/>
  <c r="D35" i="22"/>
  <c r="D63" i="22"/>
  <c r="F119" i="22"/>
  <c r="D133" i="22"/>
  <c r="F21" i="22"/>
  <c r="F35" i="22"/>
  <c r="D49" i="22"/>
  <c r="E63" i="22"/>
  <c r="F133" i="22"/>
  <c r="D147" i="22"/>
  <c r="G146" i="26"/>
  <c r="G34" i="26"/>
  <c r="G104" i="26"/>
  <c r="G118" i="26"/>
  <c r="G62" i="26"/>
  <c r="G20" i="26"/>
  <c r="G160" i="26"/>
  <c r="I6" i="26"/>
  <c r="N30" i="30"/>
  <c r="C90" i="26"/>
  <c r="C76" i="26"/>
  <c r="C20" i="26"/>
  <c r="C132" i="26"/>
  <c r="C160" i="26"/>
  <c r="C146" i="26"/>
  <c r="C104" i="26"/>
  <c r="C34" i="26"/>
  <c r="D160" i="26"/>
  <c r="D132" i="26"/>
  <c r="D146" i="26"/>
  <c r="D104" i="26"/>
  <c r="D34" i="26"/>
  <c r="E62" i="26"/>
  <c r="E48" i="26"/>
  <c r="E118" i="26"/>
  <c r="F132" i="26"/>
  <c r="F104" i="26"/>
  <c r="F48" i="26"/>
  <c r="F118" i="26"/>
  <c r="H74" i="30"/>
  <c r="F74" i="30"/>
  <c r="E90" i="26"/>
  <c r="E132" i="26"/>
  <c r="E146" i="26"/>
  <c r="J30" i="30"/>
  <c r="F87" i="30"/>
  <c r="F85" i="30"/>
  <c r="F83" i="30"/>
  <c r="F81" i="30"/>
  <c r="F79" i="30"/>
  <c r="F77" i="30"/>
  <c r="F75" i="30"/>
  <c r="F52" i="30"/>
  <c r="F84" i="30"/>
  <c r="F76" i="30"/>
  <c r="F62" i="30"/>
  <c r="F54" i="30"/>
  <c r="F61" i="30"/>
  <c r="F53" i="30"/>
  <c r="F82" i="30"/>
  <c r="F60" i="30"/>
  <c r="F59" i="30"/>
  <c r="F58" i="30"/>
  <c r="F130" i="30"/>
  <c r="J127" i="30"/>
  <c r="F128" i="30"/>
  <c r="J125" i="30"/>
  <c r="F120" i="30"/>
  <c r="L130" i="30"/>
  <c r="L129" i="30"/>
  <c r="J128" i="30"/>
  <c r="F127" i="30"/>
  <c r="L123" i="30"/>
  <c r="J122" i="30"/>
  <c r="J121" i="30"/>
  <c r="J120" i="30"/>
  <c r="J119" i="30"/>
  <c r="J129" i="30"/>
  <c r="H128" i="30"/>
  <c r="L124" i="30"/>
  <c r="J123" i="30"/>
  <c r="H121" i="30"/>
  <c r="H119" i="30"/>
  <c r="L131" i="30"/>
  <c r="J130" i="30"/>
  <c r="H129" i="30"/>
  <c r="J124" i="30"/>
  <c r="H123" i="30"/>
  <c r="H122" i="30"/>
  <c r="H120" i="30"/>
  <c r="F119" i="30"/>
  <c r="J131" i="30"/>
  <c r="F129" i="30"/>
  <c r="L125" i="30"/>
  <c r="F122" i="30"/>
  <c r="F121" i="30"/>
  <c r="F131" i="30"/>
  <c r="L128" i="30"/>
  <c r="L127" i="30"/>
  <c r="H126" i="30"/>
  <c r="F125" i="30"/>
  <c r="L122" i="30"/>
  <c r="L120" i="30"/>
  <c r="L121" i="30"/>
  <c r="H124" i="30"/>
  <c r="G160" i="28"/>
  <c r="F55" i="30"/>
  <c r="G132" i="28"/>
  <c r="G20" i="28"/>
  <c r="G146" i="28"/>
  <c r="G34" i="28"/>
  <c r="G48" i="28"/>
  <c r="G62" i="28"/>
  <c r="G118" i="28"/>
  <c r="M6" i="28"/>
  <c r="L6" i="28"/>
  <c r="K6" i="28"/>
  <c r="G104" i="28"/>
  <c r="N228" i="30"/>
  <c r="D20" i="28"/>
  <c r="E34" i="28"/>
  <c r="F48" i="28"/>
  <c r="C118" i="28"/>
  <c r="D132" i="28"/>
  <c r="E146" i="28"/>
  <c r="H86" i="30"/>
  <c r="H84" i="30"/>
  <c r="H82" i="30"/>
  <c r="H80" i="30"/>
  <c r="H78" i="30"/>
  <c r="H76" i="30"/>
  <c r="N52" i="30"/>
  <c r="J118" i="30"/>
  <c r="J162" i="30"/>
  <c r="E20" i="28"/>
  <c r="F34" i="28"/>
  <c r="C104" i="28"/>
  <c r="D118" i="28"/>
  <c r="E132" i="28"/>
  <c r="F146" i="28"/>
  <c r="J86" i="30"/>
  <c r="J84" i="30"/>
  <c r="J82" i="30"/>
  <c r="J80" i="30"/>
  <c r="J78" i="30"/>
  <c r="J76" i="30"/>
  <c r="L55" i="30"/>
  <c r="L56" i="30"/>
  <c r="J57" i="30"/>
  <c r="H58" i="30"/>
  <c r="H59" i="30"/>
  <c r="L63" i="30"/>
  <c r="L64" i="30"/>
  <c r="J65" i="30"/>
  <c r="L78" i="30"/>
  <c r="J79" i="30"/>
  <c r="H81" i="30"/>
  <c r="J87" i="30"/>
  <c r="F162" i="30"/>
  <c r="F184" i="30"/>
  <c r="D184" i="30"/>
  <c r="N30" i="31"/>
  <c r="N31" i="31"/>
  <c r="N75" i="31"/>
  <c r="N97" i="31"/>
  <c r="N53" i="31"/>
  <c r="F20" i="28"/>
  <c r="C90" i="28"/>
  <c r="D104" i="28"/>
  <c r="E118" i="28"/>
  <c r="F132" i="28"/>
  <c r="L87" i="30"/>
  <c r="L85" i="30"/>
  <c r="L83" i="30"/>
  <c r="L81" i="30"/>
  <c r="L79" i="30"/>
  <c r="L77" i="30"/>
  <c r="L75" i="30"/>
  <c r="C76" i="28"/>
  <c r="D90" i="28"/>
  <c r="E104" i="28"/>
  <c r="F118" i="28"/>
  <c r="C160" i="28"/>
  <c r="L65" i="30"/>
  <c r="L80" i="30"/>
  <c r="H83" i="30"/>
  <c r="N96" i="30"/>
  <c r="F189" i="30"/>
  <c r="H192" i="30"/>
  <c r="H193" i="30"/>
  <c r="J194" i="30"/>
  <c r="L197" i="30"/>
  <c r="J206" i="30"/>
  <c r="F207" i="30"/>
  <c r="H208" i="30"/>
  <c r="J211" i="30"/>
  <c r="J212" i="30"/>
  <c r="L213" i="30"/>
  <c r="L43" i="33"/>
  <c r="L30" i="33"/>
  <c r="N118" i="30"/>
  <c r="J140" i="30"/>
  <c r="H186" i="30"/>
  <c r="H187" i="30"/>
  <c r="J188" i="30"/>
  <c r="L191" i="30"/>
  <c r="L192" i="30"/>
  <c r="L207" i="30"/>
  <c r="F216" i="30"/>
  <c r="F217" i="30"/>
  <c r="H285" i="30"/>
  <c r="L284" i="30"/>
  <c r="H283" i="30"/>
  <c r="L282" i="30"/>
  <c r="H281" i="30"/>
  <c r="L280" i="30"/>
  <c r="H279" i="30"/>
  <c r="L278" i="30"/>
  <c r="H277" i="30"/>
  <c r="L276" i="30"/>
  <c r="H275" i="30"/>
  <c r="L274" i="30"/>
  <c r="H273" i="30"/>
  <c r="L285" i="30"/>
  <c r="F282" i="30"/>
  <c r="F281" i="30"/>
  <c r="H280" i="30"/>
  <c r="J279" i="30"/>
  <c r="J278" i="30"/>
  <c r="L277" i="30"/>
  <c r="F274" i="30"/>
  <c r="F273" i="30"/>
  <c r="J285" i="30"/>
  <c r="J284" i="30"/>
  <c r="L283" i="30"/>
  <c r="F280" i="30"/>
  <c r="F279" i="30"/>
  <c r="H278" i="30"/>
  <c r="J277" i="30"/>
  <c r="J276" i="30"/>
  <c r="L275" i="30"/>
  <c r="N273" i="30"/>
  <c r="H185" i="30"/>
  <c r="J186" i="30"/>
  <c r="L189" i="30"/>
  <c r="L190" i="30"/>
  <c r="F197" i="30"/>
  <c r="H219" i="30"/>
  <c r="L218" i="30"/>
  <c r="H217" i="30"/>
  <c r="L216" i="30"/>
  <c r="H215" i="30"/>
  <c r="L214" i="30"/>
  <c r="H213" i="30"/>
  <c r="L212" i="30"/>
  <c r="H211" i="30"/>
  <c r="L210" i="30"/>
  <c r="H209" i="30"/>
  <c r="L208" i="30"/>
  <c r="H207" i="30"/>
  <c r="F214" i="30"/>
  <c r="F215" i="30"/>
  <c r="H216" i="30"/>
  <c r="J219" i="30"/>
  <c r="H250" i="30"/>
  <c r="L187" i="30"/>
  <c r="L188" i="30"/>
  <c r="F195" i="30"/>
  <c r="N207" i="30"/>
  <c r="F212" i="30"/>
  <c r="F213" i="30"/>
  <c r="H214" i="30"/>
  <c r="J217" i="30"/>
  <c r="J218" i="30"/>
  <c r="L219" i="30"/>
  <c r="L96" i="31"/>
  <c r="J197" i="30"/>
  <c r="F196" i="30"/>
  <c r="J195" i="30"/>
  <c r="F194" i="30"/>
  <c r="J193" i="30"/>
  <c r="F192" i="30"/>
  <c r="J191" i="30"/>
  <c r="F190" i="30"/>
  <c r="J189" i="30"/>
  <c r="F188" i="30"/>
  <c r="J187" i="30"/>
  <c r="F186" i="30"/>
  <c r="J185" i="30"/>
  <c r="L185" i="30"/>
  <c r="L186" i="30"/>
  <c r="F193" i="30"/>
  <c r="H196" i="30"/>
  <c r="H197" i="30"/>
  <c r="F210" i="30"/>
  <c r="F211" i="30"/>
  <c r="H212" i="30"/>
  <c r="J215" i="30"/>
  <c r="J216" i="30"/>
  <c r="L217" i="30"/>
  <c r="M95" i="31"/>
  <c r="N96" i="31" s="1"/>
  <c r="M51" i="31"/>
  <c r="N52" i="31" s="1"/>
  <c r="N8" i="31"/>
  <c r="J256" i="30"/>
  <c r="H257" i="30"/>
  <c r="H258" i="30"/>
  <c r="F259" i="30"/>
  <c r="L262" i="30"/>
  <c r="L263" i="30"/>
  <c r="H52" i="31"/>
  <c r="F59" i="31"/>
  <c r="F60" i="31"/>
  <c r="N30" i="33"/>
  <c r="L241" i="30"/>
  <c r="H240" i="30"/>
  <c r="L239" i="30"/>
  <c r="H238" i="30"/>
  <c r="J237" i="30"/>
  <c r="N250" i="30"/>
  <c r="J272" i="30"/>
  <c r="H8" i="31"/>
  <c r="F108" i="31"/>
  <c r="F106" i="31"/>
  <c r="F104" i="31"/>
  <c r="F102" i="31"/>
  <c r="F100" i="31"/>
  <c r="F98" i="31"/>
  <c r="F86" i="31"/>
  <c r="F84" i="31"/>
  <c r="F82" i="31"/>
  <c r="F80" i="31"/>
  <c r="F78" i="31"/>
  <c r="F76" i="31"/>
  <c r="F109" i="31"/>
  <c r="F107" i="31"/>
  <c r="F105" i="31"/>
  <c r="F103" i="31"/>
  <c r="F101" i="31"/>
  <c r="F99" i="31"/>
  <c r="F65" i="31"/>
  <c r="F64" i="31"/>
  <c r="F57" i="31"/>
  <c r="F56" i="31"/>
  <c r="F85" i="31"/>
  <c r="F77" i="31"/>
  <c r="F43" i="31"/>
  <c r="F42" i="31"/>
  <c r="F35" i="31"/>
  <c r="F34" i="31"/>
  <c r="F41" i="31"/>
  <c r="F74" i="31"/>
  <c r="J263" i="30"/>
  <c r="F262" i="30"/>
  <c r="J261" i="30"/>
  <c r="F260" i="30"/>
  <c r="J259" i="30"/>
  <c r="F258" i="30"/>
  <c r="J257" i="30"/>
  <c r="F256" i="30"/>
  <c r="J255" i="30"/>
  <c r="F254" i="30"/>
  <c r="J253" i="30"/>
  <c r="F252" i="30"/>
  <c r="J251" i="30"/>
  <c r="F97" i="31"/>
  <c r="N74" i="33"/>
  <c r="H64" i="31"/>
  <c r="H62" i="31"/>
  <c r="H60" i="31"/>
  <c r="H58" i="31"/>
  <c r="H56" i="31"/>
  <c r="H54" i="31"/>
  <c r="H42" i="31"/>
  <c r="H40" i="31"/>
  <c r="H38" i="31"/>
  <c r="H36" i="31"/>
  <c r="H34" i="31"/>
  <c r="H32" i="31"/>
  <c r="H33" i="31"/>
  <c r="J39" i="31"/>
  <c r="J40" i="31"/>
  <c r="H41" i="31"/>
  <c r="H75" i="31"/>
  <c r="H76" i="31"/>
  <c r="H83" i="31"/>
  <c r="H84" i="31"/>
  <c r="H104" i="31"/>
  <c r="H105" i="31"/>
  <c r="L98" i="33"/>
  <c r="L86" i="33"/>
  <c r="L85" i="33"/>
  <c r="L42" i="33"/>
  <c r="L40" i="33"/>
  <c r="L38" i="33"/>
  <c r="L36" i="33"/>
  <c r="L34" i="33"/>
  <c r="L32" i="33"/>
  <c r="L19" i="33"/>
  <c r="L11" i="33"/>
  <c r="L102" i="33"/>
  <c r="L101" i="33"/>
  <c r="L83" i="33"/>
  <c r="L63" i="33"/>
  <c r="L61" i="33"/>
  <c r="L59" i="33"/>
  <c r="L57" i="33"/>
  <c r="L55" i="33"/>
  <c r="L53" i="33"/>
  <c r="L17" i="33"/>
  <c r="L106" i="33"/>
  <c r="L105" i="33"/>
  <c r="L41" i="33"/>
  <c r="L39" i="33"/>
  <c r="L37" i="33"/>
  <c r="L35" i="33"/>
  <c r="L107" i="33"/>
  <c r="L60" i="33"/>
  <c r="L33" i="33"/>
  <c r="L15" i="33"/>
  <c r="L100" i="33"/>
  <c r="L84" i="33"/>
  <c r="L76" i="33"/>
  <c r="L62" i="33"/>
  <c r="L10" i="33"/>
  <c r="L82" i="33"/>
  <c r="L81" i="33"/>
  <c r="L13" i="33"/>
  <c r="L9" i="33"/>
  <c r="L78" i="33"/>
  <c r="J109" i="31"/>
  <c r="J107" i="31"/>
  <c r="J105" i="31"/>
  <c r="J103" i="31"/>
  <c r="J101" i="31"/>
  <c r="J99" i="31"/>
  <c r="J97" i="31"/>
  <c r="J87" i="31"/>
  <c r="J85" i="31"/>
  <c r="J83" i="31"/>
  <c r="J81" i="31"/>
  <c r="J79" i="31"/>
  <c r="J77" i="31"/>
  <c r="J75" i="31"/>
  <c r="J108" i="31"/>
  <c r="J106" i="31"/>
  <c r="J104" i="31"/>
  <c r="J102" i="31"/>
  <c r="J100" i="31"/>
  <c r="J53" i="31"/>
  <c r="J54" i="31"/>
  <c r="H55" i="31"/>
  <c r="J61" i="31"/>
  <c r="J62" i="31"/>
  <c r="H63" i="31"/>
  <c r="H97" i="31"/>
  <c r="H98" i="31"/>
  <c r="H102" i="31"/>
  <c r="H103" i="31"/>
  <c r="L80" i="33"/>
  <c r="H7" i="35"/>
  <c r="AL29" i="35"/>
  <c r="AK29" i="35"/>
  <c r="M5" i="37"/>
  <c r="L5" i="37"/>
  <c r="D129" i="37"/>
  <c r="N123" i="37"/>
  <c r="O123" i="37"/>
  <c r="L31" i="31"/>
  <c r="L33" i="31"/>
  <c r="L35" i="31"/>
  <c r="L37" i="31"/>
  <c r="L39" i="31"/>
  <c r="L41" i="31"/>
  <c r="L43" i="31"/>
  <c r="T5" i="37"/>
  <c r="Q5" i="37"/>
  <c r="P5" i="37"/>
  <c r="S5" i="37"/>
  <c r="O5" i="37"/>
  <c r="L59" i="31"/>
  <c r="L61" i="31"/>
  <c r="L63" i="31"/>
  <c r="AB16" i="35"/>
  <c r="AB12" i="35"/>
  <c r="AB8" i="35"/>
  <c r="AB18" i="35"/>
  <c r="AB14" i="35"/>
  <c r="AB10" i="35"/>
  <c r="AB13" i="35"/>
  <c r="AB17" i="35"/>
  <c r="AB7" i="35"/>
  <c r="I5" i="38"/>
  <c r="J5" i="38"/>
  <c r="O135" i="42"/>
  <c r="M135" i="42"/>
  <c r="N135" i="42"/>
  <c r="L135" i="42"/>
  <c r="K135" i="42"/>
  <c r="V7" i="35"/>
  <c r="N9" i="35"/>
  <c r="V29" i="35"/>
  <c r="C129" i="37"/>
  <c r="I5" i="37"/>
  <c r="H5" i="37"/>
  <c r="L5" i="38"/>
  <c r="N18" i="35"/>
  <c r="N14" i="35"/>
  <c r="N10" i="35"/>
  <c r="N16" i="35"/>
  <c r="N12" i="35"/>
  <c r="N8" i="35"/>
  <c r="W29" i="35"/>
  <c r="G5" i="37"/>
  <c r="M5" i="38"/>
  <c r="I133" i="38"/>
  <c r="H133" i="38"/>
  <c r="G133" i="38"/>
  <c r="V9" i="35"/>
  <c r="H11" i="35"/>
  <c r="V13" i="35"/>
  <c r="H15" i="35"/>
  <c r="V17" i="35"/>
  <c r="F6" i="38"/>
  <c r="G135" i="42"/>
  <c r="I135" i="42"/>
  <c r="Q5" i="38"/>
  <c r="J5" i="39"/>
  <c r="I5" i="39"/>
  <c r="AU7" i="35"/>
  <c r="H9" i="35"/>
  <c r="V11" i="35"/>
  <c r="H13" i="35"/>
  <c r="V15" i="35"/>
  <c r="I123" i="37"/>
  <c r="S5" i="38"/>
  <c r="T5" i="38"/>
  <c r="F8" i="38"/>
  <c r="O133" i="38"/>
  <c r="M5" i="40"/>
  <c r="F10" i="39"/>
  <c r="H133" i="39"/>
  <c r="G133" i="39"/>
  <c r="Q5" i="40"/>
  <c r="P5" i="40"/>
  <c r="L5" i="39"/>
  <c r="I133" i="39"/>
  <c r="R5" i="40"/>
  <c r="N5" i="41"/>
  <c r="M5" i="41"/>
  <c r="L5" i="41"/>
  <c r="L135" i="41"/>
  <c r="M135" i="41"/>
  <c r="H135" i="41"/>
  <c r="I135" i="41"/>
  <c r="G135" i="41"/>
  <c r="M5" i="39"/>
  <c r="F6" i="39"/>
  <c r="O133" i="39"/>
  <c r="L133" i="39"/>
  <c r="S5" i="40"/>
  <c r="T5" i="41"/>
  <c r="Q5" i="41"/>
  <c r="P5" i="41"/>
  <c r="N5" i="39"/>
  <c r="K133" i="39"/>
  <c r="I5" i="40"/>
  <c r="H5" i="40"/>
  <c r="T5" i="40"/>
  <c r="R5" i="41"/>
  <c r="Q5" i="42"/>
  <c r="T5" i="42"/>
  <c r="S5" i="42"/>
  <c r="R5" i="42"/>
  <c r="P5" i="42"/>
  <c r="R5" i="39"/>
  <c r="Q5" i="39"/>
  <c r="F8" i="39"/>
  <c r="M133" i="39"/>
  <c r="S5" i="41"/>
  <c r="L133" i="40"/>
  <c r="K133" i="40"/>
  <c r="C16" i="41"/>
  <c r="F10" i="40"/>
  <c r="O133" i="40"/>
  <c r="I5" i="41"/>
  <c r="F7" i="40"/>
  <c r="F8" i="40"/>
  <c r="F11" i="41"/>
  <c r="F9" i="41"/>
  <c r="D16" i="41"/>
  <c r="E146" i="41"/>
  <c r="N135" i="41"/>
  <c r="I5" i="42"/>
  <c r="J5" i="42"/>
  <c r="H5" i="42"/>
  <c r="T5" i="43"/>
  <c r="S5" i="43"/>
  <c r="P5" i="43"/>
  <c r="F5" i="43"/>
  <c r="Q5" i="43"/>
  <c r="R5" i="43"/>
  <c r="C146" i="42"/>
  <c r="J5" i="43"/>
  <c r="H135" i="43"/>
  <c r="E146" i="43"/>
  <c r="L135" i="43"/>
  <c r="K135" i="43"/>
  <c r="R153" i="19" l="1"/>
  <c r="R99" i="19"/>
  <c r="R32" i="19"/>
  <c r="R24" i="19"/>
  <c r="K40" i="16"/>
  <c r="R38" i="19"/>
  <c r="R125" i="19"/>
  <c r="R155" i="19"/>
  <c r="R101" i="19"/>
  <c r="R138" i="19"/>
  <c r="R96" i="19"/>
  <c r="K155" i="16"/>
  <c r="K75" i="16"/>
  <c r="K71" i="16"/>
  <c r="K20" i="16"/>
  <c r="K83" i="16"/>
  <c r="K146" i="16"/>
  <c r="K143" i="16"/>
  <c r="L96" i="33"/>
  <c r="R123" i="19"/>
  <c r="R30" i="19"/>
  <c r="R67" i="19"/>
  <c r="R62" i="19"/>
  <c r="R39" i="19"/>
  <c r="R27" i="19"/>
  <c r="K10" i="16"/>
  <c r="K117" i="16"/>
  <c r="K16" i="16"/>
  <c r="K144" i="16"/>
  <c r="R15" i="18"/>
  <c r="R74" i="19"/>
  <c r="R61" i="19"/>
  <c r="R46" i="19"/>
  <c r="R20" i="19"/>
  <c r="R40" i="19"/>
  <c r="R10" i="19"/>
  <c r="R110" i="19"/>
  <c r="R43" i="19"/>
  <c r="R69" i="19"/>
  <c r="R44" i="19"/>
  <c r="R142" i="19"/>
  <c r="R15" i="19"/>
  <c r="K67" i="16"/>
  <c r="K31" i="16"/>
  <c r="K109" i="16"/>
  <c r="K43" i="16"/>
  <c r="K18" i="16"/>
  <c r="K53" i="16"/>
  <c r="R86" i="19"/>
  <c r="R52" i="19"/>
  <c r="R54" i="19"/>
  <c r="R114" i="19"/>
  <c r="R144" i="19"/>
  <c r="R41" i="19"/>
  <c r="R14" i="19"/>
  <c r="R71" i="19"/>
  <c r="K114" i="16"/>
  <c r="K129" i="16"/>
  <c r="K97" i="16"/>
  <c r="K57" i="16"/>
  <c r="R56" i="19"/>
  <c r="K103" i="16"/>
  <c r="K127" i="16"/>
  <c r="R98" i="18"/>
  <c r="K152" i="16"/>
  <c r="R53" i="19"/>
  <c r="R13" i="19"/>
  <c r="R140" i="19"/>
  <c r="R17" i="19"/>
  <c r="R73" i="19"/>
  <c r="R34" i="19"/>
  <c r="R90" i="19"/>
  <c r="R60" i="19"/>
  <c r="R84" i="19"/>
  <c r="R47" i="19"/>
  <c r="R129" i="19"/>
  <c r="K44" i="16"/>
  <c r="K28" i="16"/>
  <c r="R87" i="19"/>
  <c r="K126" i="16"/>
  <c r="K104" i="16"/>
  <c r="K80" i="16"/>
  <c r="R29" i="18"/>
  <c r="K14" i="16"/>
  <c r="K32" i="16"/>
  <c r="K69" i="16"/>
  <c r="K122" i="16"/>
  <c r="K74" i="16"/>
  <c r="R80" i="19"/>
  <c r="R66" i="19"/>
  <c r="R29" i="19"/>
  <c r="R31" i="19"/>
  <c r="R58" i="19"/>
  <c r="K48" i="16"/>
  <c r="K27" i="16"/>
  <c r="K118" i="16"/>
  <c r="K34" i="16"/>
  <c r="K156" i="16"/>
  <c r="I137" i="43"/>
  <c r="H137" i="43"/>
  <c r="G137" i="43"/>
  <c r="O140" i="43"/>
  <c r="N140" i="43"/>
  <c r="M140" i="43"/>
  <c r="L140" i="43"/>
  <c r="N137" i="43"/>
  <c r="L137" i="43"/>
  <c r="O137" i="43"/>
  <c r="M137" i="43"/>
  <c r="N145" i="43"/>
  <c r="M145" i="43"/>
  <c r="O145" i="43"/>
  <c r="L145" i="43"/>
  <c r="I145" i="43"/>
  <c r="H145" i="43"/>
  <c r="G145" i="43"/>
  <c r="H139" i="43"/>
  <c r="K139" i="43" s="1"/>
  <c r="G139" i="43"/>
  <c r="I139" i="43"/>
  <c r="G136" i="43"/>
  <c r="I136" i="43"/>
  <c r="F146" i="43"/>
  <c r="H136" i="43"/>
  <c r="K136" i="43" s="1"/>
  <c r="G144" i="43"/>
  <c r="I144" i="43"/>
  <c r="H144" i="43"/>
  <c r="H141" i="43"/>
  <c r="I141" i="43"/>
  <c r="G141" i="43"/>
  <c r="J6" i="41"/>
  <c r="G16" i="41"/>
  <c r="I6" i="41"/>
  <c r="H6" i="41"/>
  <c r="J10" i="41"/>
  <c r="H10" i="41"/>
  <c r="I10" i="41"/>
  <c r="J15" i="41"/>
  <c r="H15" i="41"/>
  <c r="I15" i="41"/>
  <c r="H8" i="41"/>
  <c r="J8" i="41"/>
  <c r="I8" i="41"/>
  <c r="O134" i="40"/>
  <c r="N134" i="40"/>
  <c r="M134" i="40"/>
  <c r="L134" i="40"/>
  <c r="K134" i="40"/>
  <c r="M9" i="40"/>
  <c r="J9" i="40"/>
  <c r="H9" i="40"/>
  <c r="I9" i="40"/>
  <c r="L10" i="39"/>
  <c r="N10" i="39"/>
  <c r="M10" i="39"/>
  <c r="T8" i="39"/>
  <c r="S8" i="39"/>
  <c r="Q8" i="39"/>
  <c r="P8" i="39"/>
  <c r="R8" i="39"/>
  <c r="N7" i="39"/>
  <c r="M7" i="39"/>
  <c r="L7" i="39"/>
  <c r="P6" i="39"/>
  <c r="S6" i="39"/>
  <c r="R6" i="39"/>
  <c r="Q6" i="39"/>
  <c r="T6" i="39"/>
  <c r="P10" i="39"/>
  <c r="AA20" i="39"/>
  <c r="T10" i="39"/>
  <c r="S10" i="39"/>
  <c r="R10" i="39"/>
  <c r="Q10" i="39"/>
  <c r="H8" i="40"/>
  <c r="M8" i="40"/>
  <c r="J8" i="40"/>
  <c r="I8" i="40"/>
  <c r="J6" i="40"/>
  <c r="I6" i="40"/>
  <c r="H6" i="40"/>
  <c r="T9" i="41"/>
  <c r="Q9" i="41"/>
  <c r="P9" i="41"/>
  <c r="S9" i="41"/>
  <c r="R9" i="41"/>
  <c r="T15" i="41"/>
  <c r="S15" i="41"/>
  <c r="P15" i="41"/>
  <c r="R15" i="41"/>
  <c r="Q15" i="41"/>
  <c r="T6" i="41"/>
  <c r="S6" i="41"/>
  <c r="R6" i="41"/>
  <c r="O16" i="41"/>
  <c r="Q6" i="41"/>
  <c r="P6" i="41"/>
  <c r="T10" i="41"/>
  <c r="S10" i="41"/>
  <c r="R10" i="41"/>
  <c r="P10" i="41"/>
  <c r="Q10" i="41"/>
  <c r="T11" i="41"/>
  <c r="S11" i="41"/>
  <c r="R11" i="41"/>
  <c r="Q11" i="41"/>
  <c r="P11" i="41"/>
  <c r="T12" i="41"/>
  <c r="S12" i="41"/>
  <c r="R12" i="41"/>
  <c r="Q12" i="41"/>
  <c r="P12" i="41"/>
  <c r="R13" i="41"/>
  <c r="T13" i="41"/>
  <c r="S13" i="41"/>
  <c r="Q13" i="41"/>
  <c r="P13" i="41"/>
  <c r="P14" i="41"/>
  <c r="T14" i="41"/>
  <c r="S14" i="41"/>
  <c r="R14" i="41"/>
  <c r="Q14" i="41"/>
  <c r="P8" i="41"/>
  <c r="S8" i="41"/>
  <c r="R8" i="41"/>
  <c r="Q8" i="41"/>
  <c r="T8" i="41"/>
  <c r="K134" i="39"/>
  <c r="O134" i="39"/>
  <c r="M134" i="39"/>
  <c r="L134" i="39"/>
  <c r="N134" i="39"/>
  <c r="I140" i="41"/>
  <c r="H140" i="41"/>
  <c r="K140" i="41" s="1"/>
  <c r="G140" i="41"/>
  <c r="H137" i="41"/>
  <c r="K137" i="41" s="1"/>
  <c r="I137" i="41"/>
  <c r="G137" i="41"/>
  <c r="H144" i="41"/>
  <c r="K144" i="41" s="1"/>
  <c r="I144" i="41"/>
  <c r="G144" i="41"/>
  <c r="G138" i="41"/>
  <c r="I138" i="41"/>
  <c r="H138" i="41"/>
  <c r="K138" i="41" s="1"/>
  <c r="I145" i="41"/>
  <c r="G145" i="41"/>
  <c r="H145" i="41"/>
  <c r="K145" i="41" s="1"/>
  <c r="H139" i="41"/>
  <c r="K139" i="41" s="1"/>
  <c r="I139" i="41"/>
  <c r="G139" i="41"/>
  <c r="H143" i="41"/>
  <c r="K143" i="41" s="1"/>
  <c r="I143" i="41"/>
  <c r="G143" i="41"/>
  <c r="G141" i="41"/>
  <c r="I141" i="41"/>
  <c r="H141" i="41"/>
  <c r="K141" i="41" s="1"/>
  <c r="N8" i="41"/>
  <c r="M8" i="41"/>
  <c r="L8" i="41"/>
  <c r="L6" i="41"/>
  <c r="K16" i="41"/>
  <c r="N6" i="41"/>
  <c r="M6" i="41"/>
  <c r="L10" i="41"/>
  <c r="N10" i="41"/>
  <c r="M10" i="41"/>
  <c r="L13" i="41"/>
  <c r="N13" i="41"/>
  <c r="M13" i="41"/>
  <c r="L14" i="41"/>
  <c r="N14" i="41"/>
  <c r="M14" i="41"/>
  <c r="N15" i="41"/>
  <c r="L15" i="41"/>
  <c r="M15" i="41"/>
  <c r="N11" i="41"/>
  <c r="M11" i="41"/>
  <c r="L11" i="41"/>
  <c r="L12" i="41"/>
  <c r="N12" i="41"/>
  <c r="M12" i="41"/>
  <c r="S6" i="40"/>
  <c r="Q6" i="40"/>
  <c r="P6" i="40"/>
  <c r="T6" i="40"/>
  <c r="R6" i="40"/>
  <c r="S9" i="40"/>
  <c r="T9" i="40"/>
  <c r="R9" i="40"/>
  <c r="Q9" i="40"/>
  <c r="P9" i="40"/>
  <c r="T10" i="40"/>
  <c r="AA20" i="40" s="1"/>
  <c r="S10" i="40"/>
  <c r="Q10" i="40"/>
  <c r="P10" i="40"/>
  <c r="R10" i="40"/>
  <c r="G134" i="39"/>
  <c r="I134" i="39"/>
  <c r="H134" i="39"/>
  <c r="H142" i="42"/>
  <c r="I142" i="42"/>
  <c r="G142" i="42"/>
  <c r="L10" i="40"/>
  <c r="N10" i="40"/>
  <c r="M10" i="40"/>
  <c r="N7" i="40"/>
  <c r="M7" i="40"/>
  <c r="L7" i="40"/>
  <c r="N6" i="40"/>
  <c r="M6" i="40"/>
  <c r="L6" i="40"/>
  <c r="N10" i="38"/>
  <c r="M10" i="38"/>
  <c r="L10" i="38"/>
  <c r="T8" i="38"/>
  <c r="S8" i="38"/>
  <c r="R8" i="38"/>
  <c r="Q8" i="38"/>
  <c r="P8" i="38"/>
  <c r="N7" i="38"/>
  <c r="M7" i="38"/>
  <c r="L7" i="38"/>
  <c r="N6" i="38"/>
  <c r="M6" i="38"/>
  <c r="L6" i="38"/>
  <c r="V30" i="35"/>
  <c r="W30" i="35"/>
  <c r="H36" i="35"/>
  <c r="I36" i="35"/>
  <c r="V33" i="35"/>
  <c r="W33" i="35"/>
  <c r="AR17" i="35"/>
  <c r="AV17" i="35"/>
  <c r="AU17" i="35"/>
  <c r="AS17" i="35"/>
  <c r="AT17" i="35"/>
  <c r="AR13" i="35"/>
  <c r="AU13" i="35"/>
  <c r="AS13" i="35"/>
  <c r="AV13" i="35"/>
  <c r="AT13" i="35"/>
  <c r="AJ13" i="35"/>
  <c r="AL13" i="35"/>
  <c r="AK13" i="35"/>
  <c r="AR9" i="35"/>
  <c r="AU9" i="35"/>
  <c r="AT9" i="35"/>
  <c r="AS9" i="35"/>
  <c r="AV9" i="35"/>
  <c r="AJ9" i="35"/>
  <c r="AL9" i="35"/>
  <c r="AK9" i="35"/>
  <c r="J7" i="39"/>
  <c r="I7" i="39"/>
  <c r="H7" i="39"/>
  <c r="J9" i="39"/>
  <c r="I9" i="39"/>
  <c r="M9" i="39"/>
  <c r="H9" i="39"/>
  <c r="H6" i="39"/>
  <c r="I6" i="39"/>
  <c r="J6" i="39"/>
  <c r="H10" i="39"/>
  <c r="J10" i="39"/>
  <c r="I10" i="39"/>
  <c r="T6" i="38"/>
  <c r="S6" i="38"/>
  <c r="P6" i="38"/>
  <c r="R6" i="38"/>
  <c r="Q6" i="38"/>
  <c r="P10" i="38"/>
  <c r="T10" i="38"/>
  <c r="Q10" i="38"/>
  <c r="S10" i="38"/>
  <c r="R10" i="38"/>
  <c r="AA20" i="38"/>
  <c r="I128" i="37"/>
  <c r="H128" i="37"/>
  <c r="G128" i="37"/>
  <c r="H124" i="37"/>
  <c r="G124" i="37"/>
  <c r="I126" i="37"/>
  <c r="H126" i="37"/>
  <c r="G126" i="37"/>
  <c r="I37" i="35"/>
  <c r="H37" i="35"/>
  <c r="I141" i="42"/>
  <c r="H141" i="42"/>
  <c r="G141" i="42"/>
  <c r="I136" i="42"/>
  <c r="F146" i="42"/>
  <c r="H136" i="42"/>
  <c r="K136" i="42" s="1"/>
  <c r="G136" i="42"/>
  <c r="G143" i="42"/>
  <c r="I143" i="42"/>
  <c r="H143" i="42"/>
  <c r="I145" i="42"/>
  <c r="H145" i="42"/>
  <c r="G145" i="42"/>
  <c r="H138" i="42"/>
  <c r="K138" i="42" s="1"/>
  <c r="G138" i="42"/>
  <c r="I138" i="42"/>
  <c r="G139" i="42"/>
  <c r="I139" i="42"/>
  <c r="H139" i="42"/>
  <c r="I137" i="42"/>
  <c r="H137" i="42"/>
  <c r="G137" i="42"/>
  <c r="I144" i="42"/>
  <c r="G144" i="42"/>
  <c r="H144" i="42"/>
  <c r="K144" i="42" s="1"/>
  <c r="I140" i="42"/>
  <c r="H140" i="42"/>
  <c r="G140" i="42"/>
  <c r="O124" i="37"/>
  <c r="L124" i="37"/>
  <c r="N124" i="37"/>
  <c r="M124" i="37"/>
  <c r="H40" i="35"/>
  <c r="I40" i="35"/>
  <c r="V37" i="35"/>
  <c r="W37" i="35"/>
  <c r="H32" i="35"/>
  <c r="I32" i="35"/>
  <c r="AV15" i="35"/>
  <c r="AU15" i="35"/>
  <c r="AT15" i="35"/>
  <c r="AR15" i="35"/>
  <c r="AS15" i="35"/>
  <c r="AK15" i="35"/>
  <c r="AJ15" i="35"/>
  <c r="AL15" i="35"/>
  <c r="AV11" i="35"/>
  <c r="AQ22" i="35"/>
  <c r="AU11" i="35"/>
  <c r="AS11" i="35"/>
  <c r="AT11" i="35"/>
  <c r="AR11" i="35"/>
  <c r="AL11" i="35"/>
  <c r="AK11" i="35"/>
  <c r="AJ11" i="35"/>
  <c r="H134" i="38"/>
  <c r="G134" i="38"/>
  <c r="I134" i="38"/>
  <c r="I8" i="38"/>
  <c r="H8" i="38"/>
  <c r="M8" i="38"/>
  <c r="J8" i="38"/>
  <c r="O138" i="42"/>
  <c r="N138" i="42"/>
  <c r="L138" i="42"/>
  <c r="M138" i="42"/>
  <c r="N140" i="42"/>
  <c r="L140" i="42"/>
  <c r="O140" i="42"/>
  <c r="M140" i="42"/>
  <c r="O139" i="42"/>
  <c r="N139" i="42"/>
  <c r="M139" i="42"/>
  <c r="L139" i="42"/>
  <c r="O141" i="42"/>
  <c r="N141" i="42"/>
  <c r="M141" i="42"/>
  <c r="L141" i="42"/>
  <c r="L142" i="42"/>
  <c r="N142" i="42"/>
  <c r="M142" i="42"/>
  <c r="O142" i="42"/>
  <c r="M137" i="42"/>
  <c r="O137" i="42"/>
  <c r="N137" i="42"/>
  <c r="L137" i="42"/>
  <c r="M145" i="42"/>
  <c r="N145" i="42"/>
  <c r="L145" i="42"/>
  <c r="O145" i="42"/>
  <c r="O143" i="42"/>
  <c r="N143" i="42"/>
  <c r="M143" i="42"/>
  <c r="L143" i="42"/>
  <c r="M136" i="42"/>
  <c r="L136" i="42"/>
  <c r="J146" i="42"/>
  <c r="O136" i="42"/>
  <c r="N136" i="42"/>
  <c r="O144" i="42"/>
  <c r="N144" i="42"/>
  <c r="M144" i="42"/>
  <c r="L144" i="42"/>
  <c r="J7" i="38"/>
  <c r="I7" i="38"/>
  <c r="H7" i="38"/>
  <c r="J9" i="38"/>
  <c r="I9" i="38"/>
  <c r="M9" i="38"/>
  <c r="H9" i="38"/>
  <c r="J6" i="38"/>
  <c r="I6" i="38"/>
  <c r="H6" i="38"/>
  <c r="H10" i="38"/>
  <c r="J10" i="38"/>
  <c r="I10" i="38"/>
  <c r="AL32" i="35"/>
  <c r="AK32" i="35"/>
  <c r="AL36" i="35"/>
  <c r="AK36" i="35"/>
  <c r="AL33" i="35"/>
  <c r="AK33" i="35"/>
  <c r="AL40" i="35"/>
  <c r="AK40" i="35"/>
  <c r="AK34" i="35"/>
  <c r="AL34" i="35"/>
  <c r="AL31" i="35"/>
  <c r="AK31" i="35"/>
  <c r="AL39" i="35"/>
  <c r="AK39" i="35"/>
  <c r="AK30" i="35"/>
  <c r="AL30" i="35"/>
  <c r="AK38" i="35"/>
  <c r="AL38" i="35"/>
  <c r="AK35" i="35"/>
  <c r="AL35" i="35"/>
  <c r="N9" i="33"/>
  <c r="N96" i="33"/>
  <c r="N53" i="33"/>
  <c r="K87" i="33"/>
  <c r="L75" i="33"/>
  <c r="L65" i="33"/>
  <c r="L52" i="33"/>
  <c r="N52" i="33"/>
  <c r="L97" i="33"/>
  <c r="K109" i="33"/>
  <c r="N75" i="33"/>
  <c r="L74" i="33"/>
  <c r="N31" i="33"/>
  <c r="M144" i="28"/>
  <c r="L144" i="28"/>
  <c r="K144" i="28"/>
  <c r="I144" i="28"/>
  <c r="J144" i="28"/>
  <c r="M127" i="28"/>
  <c r="L127" i="28"/>
  <c r="K127" i="28"/>
  <c r="J127" i="28"/>
  <c r="I127" i="28"/>
  <c r="M110" i="28"/>
  <c r="L110" i="28"/>
  <c r="K110" i="28"/>
  <c r="H118" i="28"/>
  <c r="J110" i="28"/>
  <c r="I110" i="28"/>
  <c r="M93" i="28"/>
  <c r="L93" i="28"/>
  <c r="K93" i="28"/>
  <c r="J93" i="28"/>
  <c r="I93" i="28"/>
  <c r="M75" i="28"/>
  <c r="L75" i="28"/>
  <c r="K75" i="28"/>
  <c r="J75" i="28"/>
  <c r="I75" i="28"/>
  <c r="M58" i="28"/>
  <c r="L58" i="28"/>
  <c r="K58" i="28"/>
  <c r="J58" i="28"/>
  <c r="I58" i="28"/>
  <c r="M41" i="28"/>
  <c r="L41" i="28"/>
  <c r="K41" i="28"/>
  <c r="J41" i="28"/>
  <c r="I41" i="28"/>
  <c r="M24" i="28"/>
  <c r="L24" i="28"/>
  <c r="K24" i="28"/>
  <c r="J24" i="28"/>
  <c r="I24" i="28"/>
  <c r="K8" i="28"/>
  <c r="J8" i="28"/>
  <c r="I8" i="28"/>
  <c r="M8" i="28"/>
  <c r="L8" i="28"/>
  <c r="K16" i="28"/>
  <c r="J16" i="28"/>
  <c r="I16" i="28"/>
  <c r="M16" i="28"/>
  <c r="L16" i="28"/>
  <c r="K25" i="28"/>
  <c r="J25" i="28"/>
  <c r="I25" i="28"/>
  <c r="M25" i="28"/>
  <c r="L25" i="28"/>
  <c r="K33" i="28"/>
  <c r="J33" i="28"/>
  <c r="I33" i="28"/>
  <c r="M33" i="28"/>
  <c r="L33" i="28"/>
  <c r="K42" i="28"/>
  <c r="J42" i="28"/>
  <c r="I42" i="28"/>
  <c r="M42" i="28"/>
  <c r="L42" i="28"/>
  <c r="K51" i="28"/>
  <c r="J51" i="28"/>
  <c r="I51" i="28"/>
  <c r="M51" i="28"/>
  <c r="L51" i="28"/>
  <c r="K59" i="28"/>
  <c r="J59" i="28"/>
  <c r="I59" i="28"/>
  <c r="M59" i="28"/>
  <c r="L59" i="28"/>
  <c r="K68" i="28"/>
  <c r="J68" i="28"/>
  <c r="I68" i="28"/>
  <c r="H76" i="28"/>
  <c r="M68" i="28"/>
  <c r="L68" i="28"/>
  <c r="K85" i="28"/>
  <c r="J85" i="28"/>
  <c r="I85" i="28"/>
  <c r="M85" i="28"/>
  <c r="L85" i="28"/>
  <c r="K94" i="28"/>
  <c r="J94" i="28"/>
  <c r="I94" i="28"/>
  <c r="M94" i="28"/>
  <c r="L94" i="28"/>
  <c r="K102" i="28"/>
  <c r="J102" i="28"/>
  <c r="I102" i="28"/>
  <c r="M102" i="28"/>
  <c r="L102" i="28"/>
  <c r="K111" i="28"/>
  <c r="J111" i="28"/>
  <c r="I111" i="28"/>
  <c r="M111" i="28"/>
  <c r="L111" i="28"/>
  <c r="K120" i="28"/>
  <c r="J120" i="28"/>
  <c r="I120" i="28"/>
  <c r="M120" i="28"/>
  <c r="L120" i="28"/>
  <c r="K128" i="28"/>
  <c r="J128" i="28"/>
  <c r="I128" i="28"/>
  <c r="M128" i="28"/>
  <c r="L128" i="28"/>
  <c r="K137" i="28"/>
  <c r="J137" i="28"/>
  <c r="I137" i="28"/>
  <c r="M137" i="28"/>
  <c r="L137" i="28"/>
  <c r="K145" i="28"/>
  <c r="J145" i="28"/>
  <c r="I145" i="28"/>
  <c r="M145" i="28"/>
  <c r="L145" i="28"/>
  <c r="I152" i="28"/>
  <c r="L152" i="28"/>
  <c r="K152" i="28"/>
  <c r="J152" i="28"/>
  <c r="M152" i="28"/>
  <c r="H160" i="28"/>
  <c r="J157" i="28"/>
  <c r="L157" i="28"/>
  <c r="K157" i="28"/>
  <c r="I157" i="28"/>
  <c r="M157" i="28"/>
  <c r="J11" i="28"/>
  <c r="I11" i="28"/>
  <c r="L11" i="28"/>
  <c r="K11" i="28"/>
  <c r="M11" i="28"/>
  <c r="J19" i="28"/>
  <c r="I19" i="28"/>
  <c r="M19" i="28"/>
  <c r="L19" i="28"/>
  <c r="K19" i="28"/>
  <c r="J28" i="28"/>
  <c r="I28" i="28"/>
  <c r="L28" i="28"/>
  <c r="K28" i="28"/>
  <c r="M28" i="28"/>
  <c r="J37" i="28"/>
  <c r="I37" i="28"/>
  <c r="M37" i="28"/>
  <c r="L37" i="28"/>
  <c r="K37" i="28"/>
  <c r="J45" i="28"/>
  <c r="I45" i="28"/>
  <c r="L45" i="28"/>
  <c r="K45" i="28"/>
  <c r="M45" i="28"/>
  <c r="J54" i="28"/>
  <c r="I54" i="28"/>
  <c r="H62" i="28"/>
  <c r="M54" i="28"/>
  <c r="L54" i="28"/>
  <c r="K54" i="28"/>
  <c r="J71" i="28"/>
  <c r="I71" i="28"/>
  <c r="M71" i="28"/>
  <c r="L71" i="28"/>
  <c r="K71" i="28"/>
  <c r="J80" i="28"/>
  <c r="I80" i="28"/>
  <c r="L80" i="28"/>
  <c r="K80" i="28"/>
  <c r="M80" i="28"/>
  <c r="J88" i="28"/>
  <c r="I88" i="28"/>
  <c r="M88" i="28"/>
  <c r="L88" i="28"/>
  <c r="K88" i="28"/>
  <c r="J97" i="28"/>
  <c r="I97" i="28"/>
  <c r="L97" i="28"/>
  <c r="K97" i="28"/>
  <c r="M97" i="28"/>
  <c r="J106" i="28"/>
  <c r="I106" i="28"/>
  <c r="M106" i="28"/>
  <c r="L106" i="28"/>
  <c r="K106" i="28"/>
  <c r="J114" i="28"/>
  <c r="I114" i="28"/>
  <c r="L114" i="28"/>
  <c r="K114" i="28"/>
  <c r="M114" i="28"/>
  <c r="J123" i="28"/>
  <c r="I123" i="28"/>
  <c r="M123" i="28"/>
  <c r="L123" i="28"/>
  <c r="K123" i="28"/>
  <c r="J131" i="28"/>
  <c r="I131" i="28"/>
  <c r="L131" i="28"/>
  <c r="K131" i="28"/>
  <c r="M131" i="28"/>
  <c r="J140" i="28"/>
  <c r="I140" i="28"/>
  <c r="M140" i="28"/>
  <c r="L140" i="28"/>
  <c r="K140" i="28"/>
  <c r="J149" i="28"/>
  <c r="I149" i="28"/>
  <c r="L149" i="28"/>
  <c r="K149" i="28"/>
  <c r="M149" i="28"/>
  <c r="J153" i="28"/>
  <c r="I153" i="28"/>
  <c r="M153" i="28"/>
  <c r="L153" i="28"/>
  <c r="K153" i="28"/>
  <c r="J158" i="28"/>
  <c r="I158" i="28"/>
  <c r="M158" i="28"/>
  <c r="L158" i="28"/>
  <c r="K158" i="28"/>
  <c r="I14" i="28"/>
  <c r="K14" i="28"/>
  <c r="J14" i="28"/>
  <c r="M14" i="28"/>
  <c r="L14" i="28"/>
  <c r="I23" i="28"/>
  <c r="M23" i="28"/>
  <c r="L23" i="28"/>
  <c r="K23" i="28"/>
  <c r="J23" i="28"/>
  <c r="I31" i="28"/>
  <c r="K31" i="28"/>
  <c r="J31" i="28"/>
  <c r="L31" i="28"/>
  <c r="M31" i="28"/>
  <c r="I40" i="28"/>
  <c r="H48" i="28"/>
  <c r="M40" i="28"/>
  <c r="L40" i="28"/>
  <c r="K40" i="28"/>
  <c r="J40" i="28"/>
  <c r="I57" i="28"/>
  <c r="M57" i="28"/>
  <c r="L57" i="28"/>
  <c r="K57" i="28"/>
  <c r="J57" i="28"/>
  <c r="I66" i="28"/>
  <c r="K66" i="28"/>
  <c r="J66" i="28"/>
  <c r="M66" i="28"/>
  <c r="L66" i="28"/>
  <c r="I74" i="28"/>
  <c r="M74" i="28"/>
  <c r="L74" i="28"/>
  <c r="K74" i="28"/>
  <c r="J74" i="28"/>
  <c r="I83" i="28"/>
  <c r="K83" i="28"/>
  <c r="J83" i="28"/>
  <c r="M83" i="28"/>
  <c r="L83" i="28"/>
  <c r="I92" i="28"/>
  <c r="M92" i="28"/>
  <c r="L92" i="28"/>
  <c r="K92" i="28"/>
  <c r="J92" i="28"/>
  <c r="I100" i="28"/>
  <c r="K100" i="28"/>
  <c r="J100" i="28"/>
  <c r="M100" i="28"/>
  <c r="L100" i="28"/>
  <c r="I109" i="28"/>
  <c r="M109" i="28"/>
  <c r="L109" i="28"/>
  <c r="K109" i="28"/>
  <c r="J109" i="28"/>
  <c r="I117" i="28"/>
  <c r="K117" i="28"/>
  <c r="J117" i="28"/>
  <c r="M117" i="28"/>
  <c r="L117" i="28"/>
  <c r="I126" i="28"/>
  <c r="M126" i="28"/>
  <c r="L126" i="28"/>
  <c r="K126" i="28"/>
  <c r="J126" i="28"/>
  <c r="I135" i="28"/>
  <c r="K135" i="28"/>
  <c r="J135" i="28"/>
  <c r="M135" i="28"/>
  <c r="L135" i="28"/>
  <c r="I143" i="28"/>
  <c r="M143" i="28"/>
  <c r="L143" i="28"/>
  <c r="K143" i="28"/>
  <c r="J143" i="28"/>
  <c r="M9" i="28"/>
  <c r="L9" i="28"/>
  <c r="K9" i="28"/>
  <c r="J9" i="28"/>
  <c r="I9" i="28"/>
  <c r="M17" i="28"/>
  <c r="J17" i="28"/>
  <c r="I17" i="28"/>
  <c r="L17" i="28"/>
  <c r="K17" i="28"/>
  <c r="H34" i="28"/>
  <c r="M26" i="28"/>
  <c r="L26" i="28"/>
  <c r="K26" i="28"/>
  <c r="J26" i="28"/>
  <c r="I26" i="28"/>
  <c r="M43" i="28"/>
  <c r="L43" i="28"/>
  <c r="K43" i="28"/>
  <c r="J43" i="28"/>
  <c r="I43" i="28"/>
  <c r="M52" i="28"/>
  <c r="J52" i="28"/>
  <c r="I52" i="28"/>
  <c r="L52" i="28"/>
  <c r="K52" i="28"/>
  <c r="M60" i="28"/>
  <c r="L60" i="28"/>
  <c r="K60" i="28"/>
  <c r="J60" i="28"/>
  <c r="I60" i="28"/>
  <c r="M69" i="28"/>
  <c r="J69" i="28"/>
  <c r="I69" i="28"/>
  <c r="K69" i="28"/>
  <c r="L69" i="28"/>
  <c r="M78" i="28"/>
  <c r="L78" i="28"/>
  <c r="K78" i="28"/>
  <c r="J78" i="28"/>
  <c r="I78" i="28"/>
  <c r="M86" i="28"/>
  <c r="J86" i="28"/>
  <c r="I86" i="28"/>
  <c r="L86" i="28"/>
  <c r="K86" i="28"/>
  <c r="M95" i="28"/>
  <c r="L95" i="28"/>
  <c r="K95" i="28"/>
  <c r="J95" i="28"/>
  <c r="I95" i="28"/>
  <c r="M103" i="28"/>
  <c r="J103" i="28"/>
  <c r="I103" i="28"/>
  <c r="K103" i="28"/>
  <c r="L103" i="28"/>
  <c r="M112" i="28"/>
  <c r="L112" i="28"/>
  <c r="K112" i="28"/>
  <c r="J112" i="28"/>
  <c r="I112" i="28"/>
  <c r="M121" i="28"/>
  <c r="J121" i="28"/>
  <c r="I121" i="28"/>
  <c r="L121" i="28"/>
  <c r="K121" i="28"/>
  <c r="M129" i="28"/>
  <c r="L129" i="28"/>
  <c r="K129" i="28"/>
  <c r="J129" i="28"/>
  <c r="I129" i="28"/>
  <c r="H146" i="28"/>
  <c r="M138" i="28"/>
  <c r="J138" i="28"/>
  <c r="I138" i="28"/>
  <c r="L138" i="28"/>
  <c r="K138" i="28"/>
  <c r="K154" i="28"/>
  <c r="J154" i="28"/>
  <c r="I154" i="28"/>
  <c r="M154" i="28"/>
  <c r="L154" i="28"/>
  <c r="L159" i="28"/>
  <c r="J159" i="28"/>
  <c r="I159" i="28"/>
  <c r="M159" i="28"/>
  <c r="K159" i="28"/>
  <c r="M155" i="28"/>
  <c r="L155" i="28"/>
  <c r="K155" i="28"/>
  <c r="J155" i="28"/>
  <c r="I155" i="28"/>
  <c r="M124" i="28"/>
  <c r="L124" i="28"/>
  <c r="I124" i="28"/>
  <c r="K124" i="28"/>
  <c r="J124" i="28"/>
  <c r="H132" i="28"/>
  <c r="L142" i="28"/>
  <c r="K142" i="28"/>
  <c r="J142" i="28"/>
  <c r="I142" i="28"/>
  <c r="M142" i="28"/>
  <c r="L125" i="28"/>
  <c r="K125" i="28"/>
  <c r="J125" i="28"/>
  <c r="I125" i="28"/>
  <c r="M125" i="28"/>
  <c r="L108" i="28"/>
  <c r="K108" i="28"/>
  <c r="J108" i="28"/>
  <c r="I108" i="28"/>
  <c r="M108" i="28"/>
  <c r="L73" i="28"/>
  <c r="K73" i="28"/>
  <c r="J73" i="28"/>
  <c r="I73" i="28"/>
  <c r="M73" i="28"/>
  <c r="L56" i="28"/>
  <c r="K56" i="28"/>
  <c r="J56" i="28"/>
  <c r="I56" i="28"/>
  <c r="M56" i="28"/>
  <c r="L39" i="28"/>
  <c r="K39" i="28"/>
  <c r="J39" i="28"/>
  <c r="I39" i="28"/>
  <c r="M39" i="28"/>
  <c r="L22" i="28"/>
  <c r="K22" i="28"/>
  <c r="J22" i="28"/>
  <c r="I22" i="28"/>
  <c r="M22" i="28"/>
  <c r="M139" i="28"/>
  <c r="L139" i="28"/>
  <c r="K139" i="28"/>
  <c r="J139" i="28"/>
  <c r="I139" i="28"/>
  <c r="M122" i="28"/>
  <c r="L122" i="28"/>
  <c r="K122" i="28"/>
  <c r="J122" i="28"/>
  <c r="I122" i="28"/>
  <c r="M87" i="28"/>
  <c r="L87" i="28"/>
  <c r="K87" i="28"/>
  <c r="J87" i="28"/>
  <c r="I87" i="28"/>
  <c r="M70" i="28"/>
  <c r="L70" i="28"/>
  <c r="K70" i="28"/>
  <c r="J70" i="28"/>
  <c r="I70" i="28"/>
  <c r="M53" i="28"/>
  <c r="L53" i="28"/>
  <c r="K53" i="28"/>
  <c r="J53" i="28"/>
  <c r="I53" i="28"/>
  <c r="M36" i="28"/>
  <c r="L36" i="28"/>
  <c r="K36" i="28"/>
  <c r="J36" i="28"/>
  <c r="I36" i="28"/>
  <c r="M18" i="28"/>
  <c r="L18" i="28"/>
  <c r="K18" i="28"/>
  <c r="J18" i="28"/>
  <c r="I18" i="28"/>
  <c r="J126" i="26"/>
  <c r="K126" i="26"/>
  <c r="I126" i="26"/>
  <c r="I110" i="26"/>
  <c r="H118" i="26"/>
  <c r="K110" i="26"/>
  <c r="J110" i="26"/>
  <c r="J109" i="26"/>
  <c r="I109" i="26"/>
  <c r="K109" i="26"/>
  <c r="K108" i="26"/>
  <c r="I108" i="26"/>
  <c r="J108" i="26"/>
  <c r="I107" i="26"/>
  <c r="K107" i="26"/>
  <c r="J107" i="26"/>
  <c r="K106" i="26"/>
  <c r="I106" i="26"/>
  <c r="J106" i="26"/>
  <c r="K103" i="26"/>
  <c r="J103" i="26"/>
  <c r="I103" i="26"/>
  <c r="I41" i="26"/>
  <c r="K41" i="26"/>
  <c r="J41" i="26"/>
  <c r="J40" i="26"/>
  <c r="K40" i="26"/>
  <c r="H48" i="26"/>
  <c r="I40" i="26"/>
  <c r="K39" i="26"/>
  <c r="J39" i="26"/>
  <c r="I39" i="26"/>
  <c r="K38" i="26"/>
  <c r="I38" i="26"/>
  <c r="J38" i="26"/>
  <c r="K37" i="26"/>
  <c r="J37" i="26"/>
  <c r="I37" i="26"/>
  <c r="I36" i="26"/>
  <c r="K36" i="26"/>
  <c r="J36" i="26"/>
  <c r="K15" i="26"/>
  <c r="J15" i="26"/>
  <c r="I15" i="26"/>
  <c r="J25" i="26"/>
  <c r="I25" i="26"/>
  <c r="K25" i="26"/>
  <c r="K33" i="26"/>
  <c r="J33" i="26"/>
  <c r="I33" i="26"/>
  <c r="I42" i="26"/>
  <c r="K42" i="26"/>
  <c r="J42" i="26"/>
  <c r="J51" i="26"/>
  <c r="K51" i="26"/>
  <c r="I51" i="26"/>
  <c r="K59" i="26"/>
  <c r="I59" i="26"/>
  <c r="J59" i="26"/>
  <c r="H76" i="26"/>
  <c r="J68" i="26"/>
  <c r="I68" i="26"/>
  <c r="K68" i="26"/>
  <c r="K85" i="26"/>
  <c r="I85" i="26"/>
  <c r="J85" i="26"/>
  <c r="K94" i="26"/>
  <c r="I94" i="26"/>
  <c r="J94" i="26"/>
  <c r="I102" i="26"/>
  <c r="J102" i="26"/>
  <c r="K102" i="26"/>
  <c r="I111" i="26"/>
  <c r="J111" i="26"/>
  <c r="K111" i="26"/>
  <c r="J120" i="26"/>
  <c r="I120" i="26"/>
  <c r="K120" i="26"/>
  <c r="J128" i="26"/>
  <c r="K128" i="26"/>
  <c r="I128" i="26"/>
  <c r="J137" i="26"/>
  <c r="K137" i="26"/>
  <c r="I137" i="26"/>
  <c r="J145" i="26"/>
  <c r="I145" i="26"/>
  <c r="K145" i="26"/>
  <c r="J154" i="26"/>
  <c r="I154" i="26"/>
  <c r="K154" i="26"/>
  <c r="J113" i="26"/>
  <c r="I113" i="26"/>
  <c r="K113" i="26"/>
  <c r="K122" i="26"/>
  <c r="J122" i="26"/>
  <c r="I122" i="26"/>
  <c r="K130" i="26"/>
  <c r="J130" i="26"/>
  <c r="I130" i="26"/>
  <c r="I139" i="26"/>
  <c r="K139" i="26"/>
  <c r="J139" i="26"/>
  <c r="J148" i="26"/>
  <c r="I148" i="26"/>
  <c r="K148" i="26"/>
  <c r="K156" i="26"/>
  <c r="J156" i="26"/>
  <c r="I156" i="26"/>
  <c r="J141" i="26"/>
  <c r="I141" i="26"/>
  <c r="K141" i="26"/>
  <c r="J135" i="26"/>
  <c r="K135" i="26"/>
  <c r="I135" i="26"/>
  <c r="I121" i="26"/>
  <c r="K121" i="26"/>
  <c r="J121" i="26"/>
  <c r="I58" i="26"/>
  <c r="K58" i="26"/>
  <c r="J58" i="26"/>
  <c r="J57" i="26"/>
  <c r="K57" i="26"/>
  <c r="I57" i="26"/>
  <c r="K56" i="26"/>
  <c r="J56" i="26"/>
  <c r="I56" i="26"/>
  <c r="J55" i="26"/>
  <c r="K55" i="26"/>
  <c r="I55" i="26"/>
  <c r="J54" i="26"/>
  <c r="H62" i="26"/>
  <c r="K54" i="26"/>
  <c r="I54" i="26"/>
  <c r="J53" i="26"/>
  <c r="K53" i="26"/>
  <c r="I53" i="26"/>
  <c r="J52" i="26"/>
  <c r="I52" i="26"/>
  <c r="K52" i="26"/>
  <c r="J13" i="26"/>
  <c r="K13" i="26"/>
  <c r="I13" i="26"/>
  <c r="K149" i="26"/>
  <c r="J149" i="26"/>
  <c r="I149" i="26"/>
  <c r="K142" i="26"/>
  <c r="J142" i="26"/>
  <c r="I142" i="26"/>
  <c r="K136" i="26"/>
  <c r="I136" i="26"/>
  <c r="J136" i="26"/>
  <c r="K114" i="26"/>
  <c r="J114" i="26"/>
  <c r="I114" i="26"/>
  <c r="I67" i="26"/>
  <c r="J67" i="26"/>
  <c r="K67" i="26"/>
  <c r="J66" i="26"/>
  <c r="I66" i="26"/>
  <c r="K66" i="26"/>
  <c r="K65" i="26"/>
  <c r="I65" i="26"/>
  <c r="J65" i="26"/>
  <c r="K64" i="26"/>
  <c r="I64" i="26"/>
  <c r="J64" i="26"/>
  <c r="K61" i="26"/>
  <c r="I61" i="26"/>
  <c r="J61" i="26"/>
  <c r="K60" i="26"/>
  <c r="I60" i="26"/>
  <c r="J60" i="26"/>
  <c r="K12" i="26"/>
  <c r="I12" i="26"/>
  <c r="J12" i="26"/>
  <c r="H20" i="26"/>
  <c r="K58" i="22"/>
  <c r="L58" i="22"/>
  <c r="J58" i="22"/>
  <c r="L40" i="22"/>
  <c r="K40" i="22"/>
  <c r="J40" i="22"/>
  <c r="L26" i="22"/>
  <c r="J26" i="22"/>
  <c r="K26" i="22"/>
  <c r="J15" i="22"/>
  <c r="L15" i="22"/>
  <c r="K15" i="22"/>
  <c r="K113" i="22"/>
  <c r="L113" i="22"/>
  <c r="J113" i="22"/>
  <c r="K93" i="22"/>
  <c r="L93" i="22"/>
  <c r="J93" i="22"/>
  <c r="K74" i="22"/>
  <c r="J74" i="22"/>
  <c r="L74" i="22"/>
  <c r="K54" i="22"/>
  <c r="L54" i="22"/>
  <c r="J54" i="22"/>
  <c r="K41" i="22"/>
  <c r="L41" i="22"/>
  <c r="J41" i="22"/>
  <c r="I49" i="22"/>
  <c r="L27" i="22"/>
  <c r="K27" i="22"/>
  <c r="J27" i="22"/>
  <c r="I35" i="22"/>
  <c r="L47" i="22"/>
  <c r="K47" i="22"/>
  <c r="J47" i="22"/>
  <c r="K24" i="22"/>
  <c r="L24" i="22"/>
  <c r="J24" i="22"/>
  <c r="L17" i="22"/>
  <c r="K17" i="22"/>
  <c r="J17" i="22"/>
  <c r="L109" i="22"/>
  <c r="K109" i="22"/>
  <c r="J109" i="22"/>
  <c r="K88" i="22"/>
  <c r="L88" i="22"/>
  <c r="J88" i="22"/>
  <c r="L70" i="22"/>
  <c r="K70" i="22"/>
  <c r="J70" i="22"/>
  <c r="L52" i="22"/>
  <c r="K52" i="22"/>
  <c r="J52" i="22"/>
  <c r="K28" i="22"/>
  <c r="L28" i="22"/>
  <c r="J28" i="22"/>
  <c r="X18" i="22"/>
  <c r="W18" i="22"/>
  <c r="V18" i="22"/>
  <c r="X12" i="22"/>
  <c r="W12" i="22"/>
  <c r="V12" i="22"/>
  <c r="L11" i="22"/>
  <c r="K11" i="22"/>
  <c r="J11" i="22"/>
  <c r="W11" i="22"/>
  <c r="V11" i="22"/>
  <c r="X11" i="22"/>
  <c r="W19" i="22"/>
  <c r="V19" i="22"/>
  <c r="X19" i="22"/>
  <c r="V20" i="22"/>
  <c r="W20" i="22"/>
  <c r="X20" i="22"/>
  <c r="X9" i="22"/>
  <c r="V9" i="22"/>
  <c r="W9" i="22"/>
  <c r="X15" i="22"/>
  <c r="W15" i="22"/>
  <c r="V15" i="22"/>
  <c r="K19" i="22"/>
  <c r="J19" i="22"/>
  <c r="L19" i="22"/>
  <c r="K31" i="22"/>
  <c r="J31" i="22"/>
  <c r="L31" i="22"/>
  <c r="K43" i="22"/>
  <c r="J43" i="22"/>
  <c r="L43" i="22"/>
  <c r="K66" i="22"/>
  <c r="J66" i="22"/>
  <c r="L66" i="22"/>
  <c r="K67" i="22"/>
  <c r="L67" i="22"/>
  <c r="J67" i="22"/>
  <c r="K83" i="22"/>
  <c r="J83" i="22"/>
  <c r="L83" i="22"/>
  <c r="I91" i="22"/>
  <c r="K84" i="22"/>
  <c r="L84" i="22"/>
  <c r="J84" i="22"/>
  <c r="K100" i="22"/>
  <c r="J100" i="22"/>
  <c r="L100" i="22"/>
  <c r="K101" i="22"/>
  <c r="L101" i="22"/>
  <c r="J101" i="22"/>
  <c r="K117" i="22"/>
  <c r="L117" i="22"/>
  <c r="J117" i="22"/>
  <c r="K152" i="22"/>
  <c r="L152" i="22"/>
  <c r="J152" i="22"/>
  <c r="J9" i="22"/>
  <c r="L9" i="22"/>
  <c r="K9" i="22"/>
  <c r="K20" i="22"/>
  <c r="J20" i="22"/>
  <c r="L20" i="22"/>
  <c r="K32" i="22"/>
  <c r="J32" i="22"/>
  <c r="L32" i="22"/>
  <c r="J44" i="22"/>
  <c r="L44" i="22"/>
  <c r="K44" i="22"/>
  <c r="K122" i="22"/>
  <c r="J122" i="22"/>
  <c r="L122" i="22"/>
  <c r="K156" i="22"/>
  <c r="J156" i="22"/>
  <c r="L156" i="22"/>
  <c r="K12" i="22"/>
  <c r="J12" i="22"/>
  <c r="L12" i="22"/>
  <c r="J23" i="22"/>
  <c r="K23" i="22"/>
  <c r="L23" i="22"/>
  <c r="L34" i="22"/>
  <c r="K34" i="22"/>
  <c r="J34" i="22"/>
  <c r="K45" i="22"/>
  <c r="L45" i="22"/>
  <c r="J45" i="22"/>
  <c r="L61" i="22"/>
  <c r="K61" i="22"/>
  <c r="J61" i="22"/>
  <c r="K62" i="22"/>
  <c r="L62" i="22"/>
  <c r="J62" i="22"/>
  <c r="L79" i="22"/>
  <c r="J79" i="22"/>
  <c r="K79" i="22"/>
  <c r="K80" i="22"/>
  <c r="L80" i="22"/>
  <c r="J80" i="22"/>
  <c r="L96" i="22"/>
  <c r="K96" i="22"/>
  <c r="J96" i="22"/>
  <c r="K97" i="22"/>
  <c r="I105" i="22"/>
  <c r="J97" i="22"/>
  <c r="L97" i="22"/>
  <c r="K126" i="22"/>
  <c r="L126" i="22"/>
  <c r="J126" i="22"/>
  <c r="K160" i="22"/>
  <c r="L160" i="22"/>
  <c r="J160" i="22"/>
  <c r="K114" i="22"/>
  <c r="L114" i="22"/>
  <c r="J114" i="22"/>
  <c r="K118" i="22"/>
  <c r="L118" i="22"/>
  <c r="J118" i="22"/>
  <c r="K123" i="22"/>
  <c r="L123" i="22"/>
  <c r="J123" i="22"/>
  <c r="K127" i="22"/>
  <c r="L127" i="22"/>
  <c r="J127" i="22"/>
  <c r="K131" i="22"/>
  <c r="J131" i="22"/>
  <c r="L131" i="22"/>
  <c r="K136" i="22"/>
  <c r="L136" i="22"/>
  <c r="J136" i="22"/>
  <c r="K140" i="22"/>
  <c r="L140" i="22"/>
  <c r="J140" i="22"/>
  <c r="K144" i="22"/>
  <c r="L144" i="22"/>
  <c r="J144" i="22"/>
  <c r="K149" i="22"/>
  <c r="L149" i="22"/>
  <c r="J149" i="22"/>
  <c r="K153" i="22"/>
  <c r="I161" i="22"/>
  <c r="L153" i="22"/>
  <c r="J153" i="22"/>
  <c r="K157" i="22"/>
  <c r="L157" i="22"/>
  <c r="J157" i="22"/>
  <c r="L18" i="22"/>
  <c r="K18" i="22"/>
  <c r="J18" i="22"/>
  <c r="L25" i="22"/>
  <c r="K25" i="22"/>
  <c r="J25" i="22"/>
  <c r="L29" i="22"/>
  <c r="K29" i="22"/>
  <c r="J29" i="22"/>
  <c r="J33" i="22"/>
  <c r="L33" i="22"/>
  <c r="K33" i="22"/>
  <c r="L38" i="22"/>
  <c r="K38" i="22"/>
  <c r="J38" i="22"/>
  <c r="L42" i="22"/>
  <c r="K42" i="22"/>
  <c r="J42" i="22"/>
  <c r="J46" i="22"/>
  <c r="K46" i="22"/>
  <c r="L46" i="22"/>
  <c r="L51" i="22"/>
  <c r="K51" i="22"/>
  <c r="J51" i="22"/>
  <c r="K55" i="22"/>
  <c r="I63" i="22"/>
  <c r="L55" i="22"/>
  <c r="J55" i="22"/>
  <c r="K59" i="22"/>
  <c r="L59" i="22"/>
  <c r="J59" i="22"/>
  <c r="K68" i="22"/>
  <c r="L68" i="22"/>
  <c r="J68" i="22"/>
  <c r="K72" i="22"/>
  <c r="L72" i="22"/>
  <c r="J72" i="22"/>
  <c r="K76" i="22"/>
  <c r="J76" i="22"/>
  <c r="L76" i="22"/>
  <c r="K81" i="22"/>
  <c r="J81" i="22"/>
  <c r="L81" i="22"/>
  <c r="K85" i="22"/>
  <c r="L85" i="22"/>
  <c r="J85" i="22"/>
  <c r="K89" i="22"/>
  <c r="J89" i="22"/>
  <c r="L89" i="22"/>
  <c r="K94" i="22"/>
  <c r="L94" i="22"/>
  <c r="J94" i="22"/>
  <c r="K98" i="22"/>
  <c r="J98" i="22"/>
  <c r="L98" i="22"/>
  <c r="K102" i="22"/>
  <c r="L102" i="22"/>
  <c r="J102" i="22"/>
  <c r="K107" i="22"/>
  <c r="L107" i="22"/>
  <c r="J107" i="22"/>
  <c r="K111" i="22"/>
  <c r="I119" i="22"/>
  <c r="L111" i="22"/>
  <c r="J111" i="22"/>
  <c r="K115" i="22"/>
  <c r="L115" i="22"/>
  <c r="J115" i="22"/>
  <c r="K124" i="22"/>
  <c r="L124" i="22"/>
  <c r="J124" i="22"/>
  <c r="K128" i="22"/>
  <c r="L128" i="22"/>
  <c r="J128" i="22"/>
  <c r="K132" i="22"/>
  <c r="L132" i="22"/>
  <c r="J132" i="22"/>
  <c r="K137" i="22"/>
  <c r="L137" i="22"/>
  <c r="J137" i="22"/>
  <c r="K141" i="22"/>
  <c r="J141" i="22"/>
  <c r="L141" i="22"/>
  <c r="K145" i="22"/>
  <c r="L145" i="22"/>
  <c r="J145" i="22"/>
  <c r="K150" i="22"/>
  <c r="L150" i="22"/>
  <c r="J150" i="22"/>
  <c r="K154" i="22"/>
  <c r="L154" i="22"/>
  <c r="J154" i="22"/>
  <c r="K158" i="22"/>
  <c r="J158" i="22"/>
  <c r="L158" i="22"/>
  <c r="K56" i="22"/>
  <c r="J56" i="22"/>
  <c r="L56" i="22"/>
  <c r="L60" i="22"/>
  <c r="J60" i="22"/>
  <c r="K60" i="22"/>
  <c r="K65" i="22"/>
  <c r="J65" i="22"/>
  <c r="L65" i="22"/>
  <c r="I77" i="22"/>
  <c r="L69" i="22"/>
  <c r="K69" i="22"/>
  <c r="J69" i="22"/>
  <c r="L73" i="22"/>
  <c r="K73" i="22"/>
  <c r="J73" i="22"/>
  <c r="K82" i="22"/>
  <c r="J82" i="22"/>
  <c r="L82" i="22"/>
  <c r="L86" i="22"/>
  <c r="K86" i="22"/>
  <c r="J86" i="22"/>
  <c r="L90" i="22"/>
  <c r="K90" i="22"/>
  <c r="J90" i="22"/>
  <c r="K95" i="22"/>
  <c r="J95" i="22"/>
  <c r="L95" i="22"/>
  <c r="K99" i="22"/>
  <c r="J99" i="22"/>
  <c r="L99" i="22"/>
  <c r="L103" i="22"/>
  <c r="K103" i="22"/>
  <c r="J103" i="22"/>
  <c r="J108" i="22"/>
  <c r="K108" i="22"/>
  <c r="L108" i="22"/>
  <c r="K112" i="22"/>
  <c r="J112" i="22"/>
  <c r="L112" i="22"/>
  <c r="J116" i="22"/>
  <c r="K116" i="22"/>
  <c r="L116" i="22"/>
  <c r="J121" i="22"/>
  <c r="K121" i="22"/>
  <c r="L121" i="22"/>
  <c r="I133" i="22"/>
  <c r="J125" i="22"/>
  <c r="K125" i="22"/>
  <c r="L125" i="22"/>
  <c r="J129" i="22"/>
  <c r="K129" i="22"/>
  <c r="L129" i="22"/>
  <c r="L138" i="22"/>
  <c r="K138" i="22"/>
  <c r="J138" i="22"/>
  <c r="L142" i="22"/>
  <c r="K142" i="22"/>
  <c r="J142" i="22"/>
  <c r="K146" i="22"/>
  <c r="J146" i="22"/>
  <c r="L146" i="22"/>
  <c r="J151" i="22"/>
  <c r="L151" i="22"/>
  <c r="K151" i="22"/>
  <c r="L155" i="22"/>
  <c r="K155" i="22"/>
  <c r="J155" i="22"/>
  <c r="L159" i="22"/>
  <c r="K159" i="22"/>
  <c r="J159" i="22"/>
  <c r="Q160" i="19"/>
  <c r="R160" i="19"/>
  <c r="P160" i="19"/>
  <c r="Y157" i="19"/>
  <c r="X157" i="19"/>
  <c r="R151" i="19"/>
  <c r="Q151" i="19"/>
  <c r="P151" i="19"/>
  <c r="W149" i="19"/>
  <c r="X150" i="19"/>
  <c r="Y150" i="19"/>
  <c r="Q139" i="19"/>
  <c r="O147" i="19"/>
  <c r="R139" i="19"/>
  <c r="P139" i="19"/>
  <c r="R127" i="19"/>
  <c r="P127" i="19"/>
  <c r="Q127" i="19"/>
  <c r="R112" i="19"/>
  <c r="P112" i="19"/>
  <c r="Q112" i="19"/>
  <c r="Y104" i="19"/>
  <c r="X104" i="19"/>
  <c r="P97" i="19"/>
  <c r="O105" i="19"/>
  <c r="R97" i="19"/>
  <c r="Q97" i="19"/>
  <c r="R82" i="19"/>
  <c r="P82" i="19"/>
  <c r="Q82" i="19"/>
  <c r="X81" i="19"/>
  <c r="Y81" i="19"/>
  <c r="Y73" i="19"/>
  <c r="X73" i="19"/>
  <c r="R72" i="19"/>
  <c r="Q72" i="19"/>
  <c r="P72" i="19"/>
  <c r="W77" i="19"/>
  <c r="X69" i="19"/>
  <c r="Y69" i="19"/>
  <c r="R68" i="19"/>
  <c r="Q68" i="19"/>
  <c r="P68" i="19"/>
  <c r="Y60" i="19"/>
  <c r="X60" i="19"/>
  <c r="R59" i="19"/>
  <c r="Q59" i="19"/>
  <c r="P59" i="19"/>
  <c r="Y56" i="19"/>
  <c r="X56" i="19"/>
  <c r="R55" i="19"/>
  <c r="O63" i="19"/>
  <c r="Q55" i="19"/>
  <c r="P55" i="19"/>
  <c r="X52" i="19"/>
  <c r="Y52" i="19"/>
  <c r="W51" i="19"/>
  <c r="Y47" i="19"/>
  <c r="X47" i="19"/>
  <c r="R42" i="19"/>
  <c r="Q42" i="19"/>
  <c r="P42" i="19"/>
  <c r="Y39" i="19"/>
  <c r="X39" i="19"/>
  <c r="R33" i="19"/>
  <c r="P33" i="19"/>
  <c r="Q33" i="19"/>
  <c r="Y30" i="19"/>
  <c r="X30" i="19"/>
  <c r="R25" i="19"/>
  <c r="Q25" i="19"/>
  <c r="P25" i="19"/>
  <c r="R16" i="19"/>
  <c r="Q16" i="19"/>
  <c r="P16" i="19"/>
  <c r="W21" i="19"/>
  <c r="Y13" i="19"/>
  <c r="X13" i="19"/>
  <c r="Q81" i="19"/>
  <c r="P81" i="19"/>
  <c r="R81" i="19"/>
  <c r="Q89" i="19"/>
  <c r="R89" i="19"/>
  <c r="P89" i="19"/>
  <c r="Q98" i="19"/>
  <c r="R98" i="19"/>
  <c r="P98" i="19"/>
  <c r="Q115" i="19"/>
  <c r="P115" i="19"/>
  <c r="R115" i="19"/>
  <c r="Q124" i="19"/>
  <c r="P124" i="19"/>
  <c r="R124" i="19"/>
  <c r="Q132" i="19"/>
  <c r="R132" i="19"/>
  <c r="P132" i="19"/>
  <c r="Q141" i="19"/>
  <c r="R141" i="19"/>
  <c r="P141" i="19"/>
  <c r="Q150" i="19"/>
  <c r="P150" i="19"/>
  <c r="R150" i="19"/>
  <c r="O149" i="19"/>
  <c r="R157" i="19"/>
  <c r="Q157" i="19"/>
  <c r="P157" i="19"/>
  <c r="Q83" i="19"/>
  <c r="O91" i="19"/>
  <c r="R83" i="19"/>
  <c r="P83" i="19"/>
  <c r="Q100" i="19"/>
  <c r="P100" i="19"/>
  <c r="R100" i="19"/>
  <c r="Q109" i="19"/>
  <c r="R109" i="19"/>
  <c r="P109" i="19"/>
  <c r="Q117" i="19"/>
  <c r="R117" i="19"/>
  <c r="P117" i="19"/>
  <c r="Q126" i="19"/>
  <c r="R126" i="19"/>
  <c r="P126" i="19"/>
  <c r="Q143" i="19"/>
  <c r="P143" i="19"/>
  <c r="R143" i="19"/>
  <c r="Q152" i="19"/>
  <c r="R152" i="19"/>
  <c r="P152" i="19"/>
  <c r="Q158" i="19"/>
  <c r="P158" i="19"/>
  <c r="R158" i="19"/>
  <c r="R76" i="19"/>
  <c r="P76" i="19"/>
  <c r="Q76" i="19"/>
  <c r="P85" i="19"/>
  <c r="R85" i="19"/>
  <c r="Q85" i="19"/>
  <c r="O93" i="19"/>
  <c r="R94" i="19"/>
  <c r="Q94" i="19"/>
  <c r="P94" i="19"/>
  <c r="R102" i="19"/>
  <c r="P102" i="19"/>
  <c r="Q102" i="19"/>
  <c r="O119" i="19"/>
  <c r="Q111" i="19"/>
  <c r="R111" i="19"/>
  <c r="P111" i="19"/>
  <c r="R128" i="19"/>
  <c r="Q128" i="19"/>
  <c r="P128" i="19"/>
  <c r="R137" i="19"/>
  <c r="Q137" i="19"/>
  <c r="P137" i="19"/>
  <c r="Q145" i="19"/>
  <c r="P145" i="19"/>
  <c r="R145" i="19"/>
  <c r="Q154" i="19"/>
  <c r="P154" i="19"/>
  <c r="R154" i="19"/>
  <c r="Q159" i="19"/>
  <c r="P159" i="19"/>
  <c r="R159" i="19"/>
  <c r="Y153" i="19"/>
  <c r="X153" i="19"/>
  <c r="W161" i="19"/>
  <c r="X141" i="19"/>
  <c r="Y141" i="19"/>
  <c r="Q130" i="19"/>
  <c r="P130" i="19"/>
  <c r="R130" i="19"/>
  <c r="X126" i="19"/>
  <c r="Y126" i="19"/>
  <c r="R118" i="19"/>
  <c r="P118" i="19"/>
  <c r="Q118" i="19"/>
  <c r="X111" i="19"/>
  <c r="W119" i="19"/>
  <c r="Y111" i="19"/>
  <c r="R103" i="19"/>
  <c r="P103" i="19"/>
  <c r="Q103" i="19"/>
  <c r="X96" i="19"/>
  <c r="Y96" i="19"/>
  <c r="P88" i="19"/>
  <c r="Q88" i="19"/>
  <c r="R88" i="19"/>
  <c r="Y84" i="19"/>
  <c r="X84" i="19"/>
  <c r="R45" i="19"/>
  <c r="P45" i="19"/>
  <c r="Q45" i="19"/>
  <c r="X42" i="19"/>
  <c r="Y42" i="19"/>
  <c r="X33" i="19"/>
  <c r="Y33" i="19"/>
  <c r="R28" i="19"/>
  <c r="P28" i="19"/>
  <c r="Q28" i="19"/>
  <c r="X25" i="19"/>
  <c r="Y25" i="19"/>
  <c r="R19" i="19"/>
  <c r="P19" i="19"/>
  <c r="Q19" i="19"/>
  <c r="X16" i="19"/>
  <c r="Y16" i="19"/>
  <c r="R11" i="19"/>
  <c r="P11" i="19"/>
  <c r="Q11" i="19"/>
  <c r="Y86" i="19"/>
  <c r="X86" i="19"/>
  <c r="Y95" i="19"/>
  <c r="X95" i="19"/>
  <c r="Y103" i="19"/>
  <c r="X103" i="19"/>
  <c r="Y112" i="19"/>
  <c r="X112" i="19"/>
  <c r="Y129" i="19"/>
  <c r="X129" i="19"/>
  <c r="Y138" i="19"/>
  <c r="X138" i="19"/>
  <c r="Y146" i="19"/>
  <c r="X146" i="19"/>
  <c r="Y155" i="19"/>
  <c r="X155" i="19"/>
  <c r="Y158" i="19"/>
  <c r="X158" i="19"/>
  <c r="Y88" i="19"/>
  <c r="X88" i="19"/>
  <c r="Y97" i="19"/>
  <c r="W105" i="19"/>
  <c r="X97" i="19"/>
  <c r="Y114" i="19"/>
  <c r="X114" i="19"/>
  <c r="Y123" i="19"/>
  <c r="X123" i="19"/>
  <c r="Y131" i="19"/>
  <c r="X131" i="19"/>
  <c r="Y140" i="19"/>
  <c r="X140" i="19"/>
  <c r="Y159" i="19"/>
  <c r="X159" i="19"/>
  <c r="X154" i="19"/>
  <c r="Y154" i="19"/>
  <c r="Y82" i="19"/>
  <c r="X82" i="19"/>
  <c r="Y90" i="19"/>
  <c r="X90" i="19"/>
  <c r="Y99" i="19"/>
  <c r="X99" i="19"/>
  <c r="X108" i="19"/>
  <c r="Y108" i="19"/>
  <c r="W107" i="19"/>
  <c r="Y116" i="19"/>
  <c r="X116" i="19"/>
  <c r="W133" i="19"/>
  <c r="Y125" i="19"/>
  <c r="X125" i="19"/>
  <c r="X142" i="19"/>
  <c r="Y142" i="19"/>
  <c r="X151" i="19"/>
  <c r="Y151" i="19"/>
  <c r="Y156" i="19"/>
  <c r="X156" i="19"/>
  <c r="Y160" i="19"/>
  <c r="X160" i="19"/>
  <c r="Q156" i="19"/>
  <c r="R156" i="19"/>
  <c r="P156" i="19"/>
  <c r="R146" i="19"/>
  <c r="P146" i="19"/>
  <c r="Q146" i="19"/>
  <c r="P131" i="19"/>
  <c r="R131" i="19"/>
  <c r="Q131" i="19"/>
  <c r="Y127" i="19"/>
  <c r="X127" i="19"/>
  <c r="R116" i="19"/>
  <c r="Q116" i="19"/>
  <c r="P116" i="19"/>
  <c r="X115" i="19"/>
  <c r="Y115" i="19"/>
  <c r="Q104" i="19"/>
  <c r="R104" i="19"/>
  <c r="P104" i="19"/>
  <c r="X100" i="19"/>
  <c r="Y100" i="19"/>
  <c r="Z7" i="19"/>
  <c r="T7" i="19"/>
  <c r="I125" i="19"/>
  <c r="G133" i="19"/>
  <c r="H125" i="19"/>
  <c r="H83" i="19"/>
  <c r="G91" i="19"/>
  <c r="I83" i="19"/>
  <c r="J57" i="19"/>
  <c r="I57" i="19"/>
  <c r="H57" i="19"/>
  <c r="L161" i="19"/>
  <c r="L149" i="19"/>
  <c r="L147" i="19"/>
  <c r="L135" i="19"/>
  <c r="L133" i="19"/>
  <c r="L121" i="19"/>
  <c r="L119" i="19"/>
  <c r="L107" i="19"/>
  <c r="L105" i="19"/>
  <c r="L93" i="19"/>
  <c r="L91" i="19"/>
  <c r="L79" i="19"/>
  <c r="L77" i="19"/>
  <c r="L51" i="19"/>
  <c r="L49" i="19"/>
  <c r="L23" i="19"/>
  <c r="L35" i="19"/>
  <c r="L9" i="19"/>
  <c r="K7" i="19"/>
  <c r="L63" i="19"/>
  <c r="L21" i="19"/>
  <c r="L65" i="19"/>
  <c r="L37" i="19"/>
  <c r="R156" i="18"/>
  <c r="Q156" i="18"/>
  <c r="R124" i="18"/>
  <c r="Q124" i="18"/>
  <c r="P132" i="18"/>
  <c r="R93" i="18"/>
  <c r="Q93" i="18"/>
  <c r="P92" i="18"/>
  <c r="R68" i="18"/>
  <c r="Q68" i="18"/>
  <c r="P76" i="18"/>
  <c r="R51" i="18"/>
  <c r="P50" i="18"/>
  <c r="Q51" i="18"/>
  <c r="R42" i="18"/>
  <c r="Q42" i="18"/>
  <c r="R24" i="18"/>
  <c r="Q24" i="18"/>
  <c r="R17" i="18"/>
  <c r="Q17" i="18"/>
  <c r="R11" i="18"/>
  <c r="Q11" i="18"/>
  <c r="J122" i="19"/>
  <c r="G121" i="19"/>
  <c r="H122" i="19"/>
  <c r="I122" i="19"/>
  <c r="I102" i="19"/>
  <c r="H102" i="19"/>
  <c r="I12" i="19"/>
  <c r="H12" i="19"/>
  <c r="H10" i="19"/>
  <c r="G9" i="19"/>
  <c r="J83" i="19" s="1"/>
  <c r="I10" i="19"/>
  <c r="H33" i="19"/>
  <c r="I33" i="19"/>
  <c r="I48" i="19"/>
  <c r="H48" i="19"/>
  <c r="J59" i="19"/>
  <c r="I59" i="19"/>
  <c r="H59" i="19"/>
  <c r="I111" i="19"/>
  <c r="G119" i="19"/>
  <c r="H111" i="19"/>
  <c r="J113" i="19"/>
  <c r="H113" i="19"/>
  <c r="I113" i="19"/>
  <c r="H154" i="19"/>
  <c r="I154" i="19"/>
  <c r="H18" i="19"/>
  <c r="I18" i="19"/>
  <c r="J30" i="19"/>
  <c r="I30" i="19"/>
  <c r="H30" i="19"/>
  <c r="J42" i="19"/>
  <c r="I42" i="19"/>
  <c r="H42" i="19"/>
  <c r="I70" i="19"/>
  <c r="H70" i="19"/>
  <c r="J115" i="19"/>
  <c r="H115" i="19"/>
  <c r="I115" i="19"/>
  <c r="H117" i="19"/>
  <c r="J117" i="19"/>
  <c r="I117" i="19"/>
  <c r="J20" i="19"/>
  <c r="I20" i="19"/>
  <c r="H20" i="19"/>
  <c r="I47" i="19"/>
  <c r="H47" i="19"/>
  <c r="J55" i="19"/>
  <c r="I55" i="19"/>
  <c r="G63" i="19"/>
  <c r="H55" i="19"/>
  <c r="J85" i="19"/>
  <c r="H85" i="19"/>
  <c r="I85" i="19"/>
  <c r="H126" i="19"/>
  <c r="J126" i="19"/>
  <c r="I126" i="19"/>
  <c r="J17" i="19"/>
  <c r="I17" i="19"/>
  <c r="H17" i="19"/>
  <c r="J29" i="19"/>
  <c r="I29" i="19"/>
  <c r="H29" i="19"/>
  <c r="J44" i="19"/>
  <c r="H44" i="19"/>
  <c r="I44" i="19"/>
  <c r="J66" i="19"/>
  <c r="I66" i="19"/>
  <c r="H66" i="19"/>
  <c r="G65" i="19"/>
  <c r="J87" i="19"/>
  <c r="H87" i="19"/>
  <c r="I87" i="19"/>
  <c r="I90" i="19"/>
  <c r="J90" i="19"/>
  <c r="H90" i="19"/>
  <c r="J130" i="19"/>
  <c r="H130" i="19"/>
  <c r="I130" i="19"/>
  <c r="J132" i="19"/>
  <c r="H132" i="19"/>
  <c r="I132" i="19"/>
  <c r="J137" i="19"/>
  <c r="H137" i="19"/>
  <c r="I137" i="19"/>
  <c r="J26" i="19"/>
  <c r="I26" i="19"/>
  <c r="H26" i="19"/>
  <c r="J38" i="19"/>
  <c r="G37" i="19"/>
  <c r="I38" i="19"/>
  <c r="H38" i="19"/>
  <c r="J53" i="19"/>
  <c r="I53" i="19"/>
  <c r="H53" i="19"/>
  <c r="J98" i="19"/>
  <c r="H98" i="19"/>
  <c r="I98" i="19"/>
  <c r="J156" i="19"/>
  <c r="H156" i="19"/>
  <c r="I156" i="19"/>
  <c r="J15" i="19"/>
  <c r="I15" i="19"/>
  <c r="H15" i="19"/>
  <c r="J24" i="19"/>
  <c r="G23" i="19"/>
  <c r="I24" i="19"/>
  <c r="H24" i="19"/>
  <c r="J32" i="19"/>
  <c r="I32" i="19"/>
  <c r="H32" i="19"/>
  <c r="J41" i="19"/>
  <c r="G49" i="19"/>
  <c r="H41" i="19"/>
  <c r="I41" i="19"/>
  <c r="J52" i="19"/>
  <c r="I52" i="19"/>
  <c r="G51" i="19"/>
  <c r="H52" i="19"/>
  <c r="J56" i="19"/>
  <c r="I56" i="19"/>
  <c r="H56" i="19"/>
  <c r="J60" i="19"/>
  <c r="I60" i="19"/>
  <c r="H60" i="19"/>
  <c r="J69" i="19"/>
  <c r="G77" i="19"/>
  <c r="I69" i="19"/>
  <c r="H69" i="19"/>
  <c r="J73" i="19"/>
  <c r="I73" i="19"/>
  <c r="H73" i="19"/>
  <c r="I82" i="19"/>
  <c r="J82" i="19"/>
  <c r="H82" i="19"/>
  <c r="J94" i="19"/>
  <c r="G93" i="19"/>
  <c r="H94" i="19"/>
  <c r="I94" i="19"/>
  <c r="H109" i="19"/>
  <c r="J109" i="19"/>
  <c r="I109" i="19"/>
  <c r="J124" i="19"/>
  <c r="H124" i="19"/>
  <c r="I124" i="19"/>
  <c r="J139" i="19"/>
  <c r="H139" i="19"/>
  <c r="I139" i="19"/>
  <c r="G147" i="19"/>
  <c r="I151" i="19"/>
  <c r="J151" i="19"/>
  <c r="H151" i="19"/>
  <c r="I159" i="19"/>
  <c r="J159" i="19"/>
  <c r="H159" i="19"/>
  <c r="J14" i="19"/>
  <c r="H14" i="19"/>
  <c r="I14" i="19"/>
  <c r="J31" i="19"/>
  <c r="H31" i="19"/>
  <c r="I31" i="19"/>
  <c r="J40" i="19"/>
  <c r="H40" i="19"/>
  <c r="I40" i="19"/>
  <c r="J76" i="19"/>
  <c r="H76" i="19"/>
  <c r="I76" i="19"/>
  <c r="J96" i="19"/>
  <c r="H96" i="19"/>
  <c r="I96" i="19"/>
  <c r="I108" i="19"/>
  <c r="H108" i="19"/>
  <c r="J108" i="19"/>
  <c r="G107" i="19"/>
  <c r="J150" i="19"/>
  <c r="G149" i="19"/>
  <c r="H150" i="19"/>
  <c r="I150" i="19"/>
  <c r="F119" i="19"/>
  <c r="F93" i="19"/>
  <c r="F91" i="19"/>
  <c r="F149" i="19"/>
  <c r="F77" i="19"/>
  <c r="F65" i="19"/>
  <c r="F63" i="19"/>
  <c r="F51" i="19"/>
  <c r="F133" i="19"/>
  <c r="E7" i="19"/>
  <c r="F135" i="19"/>
  <c r="F37" i="19"/>
  <c r="F147" i="19"/>
  <c r="F105" i="19"/>
  <c r="F49" i="19"/>
  <c r="F121" i="19"/>
  <c r="F35" i="19"/>
  <c r="F161" i="19"/>
  <c r="F79" i="19"/>
  <c r="F107" i="19"/>
  <c r="F21" i="19"/>
  <c r="F23" i="19"/>
  <c r="F9" i="19"/>
  <c r="J11" i="19"/>
  <c r="H11" i="19"/>
  <c r="I11" i="19"/>
  <c r="J19" i="19"/>
  <c r="I19" i="19"/>
  <c r="H19" i="19"/>
  <c r="J28" i="19"/>
  <c r="I28" i="19"/>
  <c r="H28" i="19"/>
  <c r="J45" i="19"/>
  <c r="H45" i="19"/>
  <c r="I45" i="19"/>
  <c r="J54" i="19"/>
  <c r="I54" i="19"/>
  <c r="H54" i="19"/>
  <c r="J58" i="19"/>
  <c r="H58" i="19"/>
  <c r="I58" i="19"/>
  <c r="J62" i="19"/>
  <c r="I62" i="19"/>
  <c r="H62" i="19"/>
  <c r="J67" i="19"/>
  <c r="I67" i="19"/>
  <c r="H67" i="19"/>
  <c r="J71" i="19"/>
  <c r="I71" i="19"/>
  <c r="H71" i="19"/>
  <c r="J89" i="19"/>
  <c r="H89" i="19"/>
  <c r="I89" i="19"/>
  <c r="J104" i="19"/>
  <c r="H104" i="19"/>
  <c r="I104" i="19"/>
  <c r="I116" i="19"/>
  <c r="H116" i="19"/>
  <c r="J116" i="19"/>
  <c r="J128" i="19"/>
  <c r="I128" i="19"/>
  <c r="H128" i="19"/>
  <c r="H143" i="19"/>
  <c r="I143" i="19"/>
  <c r="J143" i="19"/>
  <c r="H75" i="19"/>
  <c r="I75" i="19"/>
  <c r="J75" i="19"/>
  <c r="I84" i="19"/>
  <c r="J84" i="19"/>
  <c r="H84" i="19"/>
  <c r="I101" i="19"/>
  <c r="H101" i="19"/>
  <c r="J101" i="19"/>
  <c r="I110" i="19"/>
  <c r="J110" i="19"/>
  <c r="H110" i="19"/>
  <c r="I118" i="19"/>
  <c r="J118" i="19"/>
  <c r="H118" i="19"/>
  <c r="I127" i="19"/>
  <c r="H127" i="19"/>
  <c r="J127" i="19"/>
  <c r="I136" i="19"/>
  <c r="G135" i="19"/>
  <c r="H136" i="19"/>
  <c r="J136" i="19"/>
  <c r="I144" i="19"/>
  <c r="J144" i="19"/>
  <c r="H144" i="19"/>
  <c r="G161" i="19"/>
  <c r="I153" i="19"/>
  <c r="J153" i="19"/>
  <c r="H153" i="19"/>
  <c r="J160" i="19"/>
  <c r="I160" i="19"/>
  <c r="H160" i="19"/>
  <c r="I86" i="19"/>
  <c r="J86" i="19"/>
  <c r="H86" i="19"/>
  <c r="I95" i="19"/>
  <c r="H95" i="19"/>
  <c r="J95" i="19"/>
  <c r="I103" i="19"/>
  <c r="J103" i="19"/>
  <c r="H103" i="19"/>
  <c r="I112" i="19"/>
  <c r="H112" i="19"/>
  <c r="J112" i="19"/>
  <c r="I129" i="19"/>
  <c r="J129" i="19"/>
  <c r="H129" i="19"/>
  <c r="I138" i="19"/>
  <c r="J138" i="19"/>
  <c r="H138" i="19"/>
  <c r="I146" i="19"/>
  <c r="H146" i="19"/>
  <c r="J146" i="19"/>
  <c r="I155" i="19"/>
  <c r="H155" i="19"/>
  <c r="J155" i="19"/>
  <c r="I157" i="19"/>
  <c r="H157" i="19"/>
  <c r="J157" i="19"/>
  <c r="I80" i="19"/>
  <c r="H80" i="19"/>
  <c r="G79" i="19"/>
  <c r="J80" i="19"/>
  <c r="I88" i="19"/>
  <c r="J88" i="19"/>
  <c r="H88" i="19"/>
  <c r="G105" i="19"/>
  <c r="H97" i="19"/>
  <c r="I97" i="19"/>
  <c r="J97" i="19"/>
  <c r="J114" i="19"/>
  <c r="I114" i="19"/>
  <c r="H114" i="19"/>
  <c r="I123" i="19"/>
  <c r="H123" i="19"/>
  <c r="J123" i="19"/>
  <c r="H131" i="19"/>
  <c r="J131" i="19"/>
  <c r="I131" i="19"/>
  <c r="H140" i="19"/>
  <c r="J140" i="19"/>
  <c r="I140" i="19"/>
  <c r="I158" i="19"/>
  <c r="H158" i="19"/>
  <c r="J158" i="19"/>
  <c r="R149" i="18"/>
  <c r="P148" i="18"/>
  <c r="Q149" i="18"/>
  <c r="Q130" i="18"/>
  <c r="R130" i="18"/>
  <c r="R114" i="18"/>
  <c r="Q114" i="18"/>
  <c r="R67" i="18"/>
  <c r="Q67" i="18"/>
  <c r="R58" i="18"/>
  <c r="Q58" i="18"/>
  <c r="R16" i="18"/>
  <c r="Q16" i="18"/>
  <c r="Q10" i="18"/>
  <c r="R10" i="18"/>
  <c r="R155" i="18"/>
  <c r="Q155" i="18"/>
  <c r="Q87" i="18"/>
  <c r="R87" i="18"/>
  <c r="R55" i="18"/>
  <c r="Q55" i="18"/>
  <c r="Q46" i="18"/>
  <c r="R46" i="18"/>
  <c r="Q28" i="18"/>
  <c r="R28" i="18"/>
  <c r="R84" i="18"/>
  <c r="Q84" i="18"/>
  <c r="Q115" i="18"/>
  <c r="R115" i="18"/>
  <c r="R131" i="18"/>
  <c r="Q131" i="18"/>
  <c r="R137" i="18"/>
  <c r="Q137" i="18"/>
  <c r="Q145" i="18"/>
  <c r="R145" i="18"/>
  <c r="Q151" i="18"/>
  <c r="R151" i="18"/>
  <c r="R41" i="18"/>
  <c r="Q41" i="18"/>
  <c r="Q72" i="18"/>
  <c r="R72" i="18"/>
  <c r="R88" i="18"/>
  <c r="Q88" i="18"/>
  <c r="R94" i="18"/>
  <c r="Q94" i="18"/>
  <c r="R110" i="18"/>
  <c r="Q110" i="18"/>
  <c r="P118" i="18"/>
  <c r="R141" i="18"/>
  <c r="Q141" i="18"/>
  <c r="R153" i="18"/>
  <c r="Q153" i="18"/>
  <c r="R140" i="18"/>
  <c r="Q140" i="18"/>
  <c r="R157" i="18"/>
  <c r="Q157" i="18"/>
  <c r="Q44" i="18"/>
  <c r="R44" i="18"/>
  <c r="Q81" i="18"/>
  <c r="R81" i="18"/>
  <c r="R97" i="18"/>
  <c r="Q97" i="18"/>
  <c r="R102" i="18"/>
  <c r="Q102" i="18"/>
  <c r="Q113" i="18"/>
  <c r="R113" i="18"/>
  <c r="R144" i="18"/>
  <c r="Q144" i="18"/>
  <c r="R152" i="18"/>
  <c r="Q152" i="18"/>
  <c r="P160" i="18"/>
  <c r="Q38" i="18"/>
  <c r="R38" i="18"/>
  <c r="R54" i="18"/>
  <c r="P62" i="18"/>
  <c r="Q54" i="18"/>
  <c r="R59" i="18"/>
  <c r="Q59" i="18"/>
  <c r="Q70" i="18"/>
  <c r="R70" i="18"/>
  <c r="R75" i="18"/>
  <c r="Q75" i="18"/>
  <c r="P106" i="18"/>
  <c r="Q107" i="18"/>
  <c r="R107" i="18"/>
  <c r="R123" i="18"/>
  <c r="Q123" i="18"/>
  <c r="R128" i="18"/>
  <c r="Q128" i="18"/>
  <c r="Q139" i="18"/>
  <c r="R139" i="18"/>
  <c r="R154" i="18"/>
  <c r="Q154" i="18"/>
  <c r="R43" i="18"/>
  <c r="Q43" i="18"/>
  <c r="Q52" i="18"/>
  <c r="R52" i="18"/>
  <c r="R60" i="18"/>
  <c r="Q60" i="18"/>
  <c r="R69" i="18"/>
  <c r="Q69" i="18"/>
  <c r="Q86" i="18"/>
  <c r="R86" i="18"/>
  <c r="R95" i="18"/>
  <c r="Q95" i="18"/>
  <c r="R103" i="18"/>
  <c r="Q103" i="18"/>
  <c r="R112" i="18"/>
  <c r="Q112" i="18"/>
  <c r="Q121" i="18"/>
  <c r="R121" i="18"/>
  <c r="P120" i="18"/>
  <c r="R129" i="18"/>
  <c r="Q129" i="18"/>
  <c r="P146" i="18"/>
  <c r="R138" i="18"/>
  <c r="Q138" i="18"/>
  <c r="Q14" i="18"/>
  <c r="R14" i="18"/>
  <c r="Q23" i="18"/>
  <c r="P22" i="18"/>
  <c r="R23" i="18"/>
  <c r="Q31" i="18"/>
  <c r="R31" i="18"/>
  <c r="Q40" i="18"/>
  <c r="P48" i="18"/>
  <c r="R40" i="18"/>
  <c r="Q57" i="18"/>
  <c r="R57" i="18"/>
  <c r="Q66" i="18"/>
  <c r="R66" i="18"/>
  <c r="Q74" i="18"/>
  <c r="R74" i="18"/>
  <c r="Q83" i="18"/>
  <c r="R83" i="18"/>
  <c r="Q100" i="18"/>
  <c r="R100" i="18"/>
  <c r="Q109" i="18"/>
  <c r="R109" i="18"/>
  <c r="Q117" i="18"/>
  <c r="R117" i="18"/>
  <c r="Q126" i="18"/>
  <c r="R126" i="18"/>
  <c r="Q135" i="18"/>
  <c r="P134" i="18"/>
  <c r="R135" i="18"/>
  <c r="Q143" i="18"/>
  <c r="R143" i="18"/>
  <c r="Q159" i="18"/>
  <c r="R159" i="18"/>
  <c r="R13" i="18"/>
  <c r="Q13" i="18"/>
  <c r="R30" i="18"/>
  <c r="Q30" i="18"/>
  <c r="R39" i="18"/>
  <c r="Q39" i="18"/>
  <c r="R47" i="18"/>
  <c r="Q47" i="18"/>
  <c r="Q56" i="18"/>
  <c r="R56" i="18"/>
  <c r="Q65" i="18"/>
  <c r="P64" i="18"/>
  <c r="R65" i="18"/>
  <c r="R73" i="18"/>
  <c r="Q73" i="18"/>
  <c r="P90" i="18"/>
  <c r="R82" i="18"/>
  <c r="Q82" i="18"/>
  <c r="Q99" i="18"/>
  <c r="R99" i="18"/>
  <c r="R108" i="18"/>
  <c r="Q108" i="18"/>
  <c r="R116" i="18"/>
  <c r="Q116" i="18"/>
  <c r="R125" i="18"/>
  <c r="Q125" i="18"/>
  <c r="R142" i="18"/>
  <c r="Q142" i="18"/>
  <c r="R150" i="18"/>
  <c r="Q150" i="18"/>
  <c r="R158" i="18"/>
  <c r="Q158" i="18"/>
  <c r="J72" i="19"/>
  <c r="I72" i="19"/>
  <c r="H72" i="19"/>
  <c r="R71" i="18"/>
  <c r="Q71" i="18"/>
  <c r="R45" i="18"/>
  <c r="Q45" i="18"/>
  <c r="R33" i="18"/>
  <c r="Q33" i="18"/>
  <c r="Q27" i="18"/>
  <c r="R27" i="18"/>
  <c r="X103" i="18"/>
  <c r="I97" i="18"/>
  <c r="I17" i="18"/>
  <c r="J155" i="17"/>
  <c r="I155" i="17"/>
  <c r="J127" i="17"/>
  <c r="I127" i="17"/>
  <c r="J110" i="17"/>
  <c r="I110" i="17"/>
  <c r="V11" i="17"/>
  <c r="U11" i="17"/>
  <c r="I153" i="16"/>
  <c r="H161" i="16"/>
  <c r="K153" i="16"/>
  <c r="J153" i="16"/>
  <c r="J131" i="16"/>
  <c r="I131" i="16"/>
  <c r="K131" i="16"/>
  <c r="K113" i="16"/>
  <c r="J113" i="16"/>
  <c r="I113" i="16"/>
  <c r="K95" i="16"/>
  <c r="J95" i="16"/>
  <c r="I95" i="16"/>
  <c r="T11" i="14"/>
  <c r="S11" i="14"/>
  <c r="K145" i="13"/>
  <c r="I145" i="13"/>
  <c r="J145" i="13"/>
  <c r="K137" i="13"/>
  <c r="I137" i="13"/>
  <c r="J137" i="13"/>
  <c r="J128" i="13"/>
  <c r="I128" i="13"/>
  <c r="K128" i="13"/>
  <c r="K120" i="13"/>
  <c r="J120" i="13"/>
  <c r="I120" i="13"/>
  <c r="K111" i="13"/>
  <c r="J111" i="13"/>
  <c r="I111" i="13"/>
  <c r="I102" i="13"/>
  <c r="K102" i="13"/>
  <c r="J102" i="13"/>
  <c r="J94" i="13"/>
  <c r="I94" i="13"/>
  <c r="K94" i="13"/>
  <c r="K85" i="13"/>
  <c r="J85" i="13"/>
  <c r="I85" i="13"/>
  <c r="H76" i="13"/>
  <c r="K68" i="13"/>
  <c r="I68" i="13"/>
  <c r="J68" i="13"/>
  <c r="J59" i="13"/>
  <c r="I59" i="13"/>
  <c r="K59" i="13"/>
  <c r="K51" i="13"/>
  <c r="J51" i="13"/>
  <c r="I51" i="13"/>
  <c r="K42" i="13"/>
  <c r="J42" i="13"/>
  <c r="I42" i="13"/>
  <c r="I33" i="13"/>
  <c r="K33" i="13"/>
  <c r="J33" i="13"/>
  <c r="J25" i="13"/>
  <c r="I25" i="13"/>
  <c r="K25" i="13"/>
  <c r="X140" i="18"/>
  <c r="I87" i="18"/>
  <c r="X74" i="18"/>
  <c r="X67" i="18"/>
  <c r="I46" i="18"/>
  <c r="X40" i="18"/>
  <c r="W48" i="18"/>
  <c r="I16" i="18"/>
  <c r="X9" i="18"/>
  <c r="W8" i="18"/>
  <c r="Y40" i="18" s="1"/>
  <c r="Y9" i="18"/>
  <c r="X15" i="18"/>
  <c r="X101" i="18"/>
  <c r="X112" i="18"/>
  <c r="Y136" i="18"/>
  <c r="X136" i="18"/>
  <c r="X10" i="18"/>
  <c r="X16" i="18"/>
  <c r="X23" i="18"/>
  <c r="W22" i="18"/>
  <c r="X43" i="18"/>
  <c r="X60" i="18"/>
  <c r="X61" i="18"/>
  <c r="X69" i="18"/>
  <c r="Y69" i="18"/>
  <c r="Y122" i="18"/>
  <c r="X122" i="18"/>
  <c r="X19" i="18"/>
  <c r="W34" i="18"/>
  <c r="X26" i="18"/>
  <c r="Y32" i="18"/>
  <c r="X32" i="18"/>
  <c r="W104" i="18"/>
  <c r="X96" i="18"/>
  <c r="X117" i="18"/>
  <c r="X27" i="18"/>
  <c r="Y33" i="18"/>
  <c r="X33" i="18"/>
  <c r="X83" i="18"/>
  <c r="X127" i="18"/>
  <c r="X130" i="18"/>
  <c r="X97" i="18"/>
  <c r="X113" i="18"/>
  <c r="X129" i="18"/>
  <c r="X135" i="18"/>
  <c r="W134" i="18"/>
  <c r="X144" i="18"/>
  <c r="X159" i="18"/>
  <c r="W62" i="18"/>
  <c r="X54" i="18"/>
  <c r="Y70" i="18"/>
  <c r="X70" i="18"/>
  <c r="X75" i="18"/>
  <c r="X86" i="18"/>
  <c r="X123" i="18"/>
  <c r="Y139" i="18"/>
  <c r="X139" i="18"/>
  <c r="X138" i="18"/>
  <c r="W146" i="18"/>
  <c r="X143" i="18"/>
  <c r="X158" i="18"/>
  <c r="Y158" i="18"/>
  <c r="X79" i="18"/>
  <c r="W78" i="18"/>
  <c r="X84" i="18"/>
  <c r="X95" i="18"/>
  <c r="Y95" i="18"/>
  <c r="Y100" i="18"/>
  <c r="X100" i="18"/>
  <c r="X131" i="18"/>
  <c r="X41" i="18"/>
  <c r="X52" i="18"/>
  <c r="Y52" i="18"/>
  <c r="Y57" i="18"/>
  <c r="X57" i="18"/>
  <c r="X88" i="18"/>
  <c r="W118" i="18"/>
  <c r="X110" i="18"/>
  <c r="X121" i="18"/>
  <c r="W120" i="18"/>
  <c r="X126" i="18"/>
  <c r="X42" i="18"/>
  <c r="X51" i="18"/>
  <c r="W50" i="18"/>
  <c r="X59" i="18"/>
  <c r="W76" i="18"/>
  <c r="X68" i="18"/>
  <c r="X85" i="18"/>
  <c r="Y94" i="18"/>
  <c r="X94" i="18"/>
  <c r="X102" i="18"/>
  <c r="X111" i="18"/>
  <c r="X128" i="18"/>
  <c r="X137" i="18"/>
  <c r="X151" i="18"/>
  <c r="X153" i="18"/>
  <c r="X155" i="18"/>
  <c r="X13" i="18"/>
  <c r="X30" i="18"/>
  <c r="X39" i="18"/>
  <c r="X47" i="18"/>
  <c r="Y47" i="18"/>
  <c r="X56" i="18"/>
  <c r="X65" i="18"/>
  <c r="W64" i="18"/>
  <c r="X73" i="18"/>
  <c r="X82" i="18"/>
  <c r="W90" i="18"/>
  <c r="X99" i="18"/>
  <c r="X108" i="18"/>
  <c r="Y108" i="18"/>
  <c r="X116" i="18"/>
  <c r="Y116" i="18"/>
  <c r="X125" i="18"/>
  <c r="X142" i="18"/>
  <c r="X145" i="18"/>
  <c r="Y145" i="18"/>
  <c r="W20" i="18"/>
  <c r="Y12" i="18"/>
  <c r="X12" i="18"/>
  <c r="X29" i="18"/>
  <c r="X38" i="18"/>
  <c r="X46" i="18"/>
  <c r="Y55" i="18"/>
  <c r="X55" i="18"/>
  <c r="X72" i="18"/>
  <c r="X81" i="18"/>
  <c r="Y89" i="18"/>
  <c r="X89" i="18"/>
  <c r="Y98" i="18"/>
  <c r="X98" i="18"/>
  <c r="W106" i="18"/>
  <c r="X107" i="18"/>
  <c r="X115" i="18"/>
  <c r="Y115" i="18"/>
  <c r="W132" i="18"/>
  <c r="Y124" i="18"/>
  <c r="X124" i="18"/>
  <c r="X141" i="18"/>
  <c r="X150" i="18"/>
  <c r="W160" i="18"/>
  <c r="X152" i="18"/>
  <c r="X154" i="18"/>
  <c r="X156" i="18"/>
  <c r="W148" i="18"/>
  <c r="X149" i="18"/>
  <c r="Y157" i="18"/>
  <c r="X157" i="18"/>
  <c r="H149" i="17"/>
  <c r="J150" i="17"/>
  <c r="I150" i="17"/>
  <c r="J137" i="17"/>
  <c r="I137" i="17"/>
  <c r="J103" i="17"/>
  <c r="I103" i="17"/>
  <c r="J47" i="17"/>
  <c r="I47" i="17"/>
  <c r="J44" i="17"/>
  <c r="I44" i="17"/>
  <c r="K44" i="17"/>
  <c r="J26" i="17"/>
  <c r="I26" i="17"/>
  <c r="I15" i="17"/>
  <c r="J15" i="17"/>
  <c r="H9" i="17"/>
  <c r="K26" i="17" s="1"/>
  <c r="I10" i="17"/>
  <c r="J10" i="17"/>
  <c r="H23" i="17"/>
  <c r="I24" i="17"/>
  <c r="J24" i="17"/>
  <c r="K32" i="17"/>
  <c r="J32" i="17"/>
  <c r="I32" i="17"/>
  <c r="H49" i="17"/>
  <c r="J41" i="17"/>
  <c r="I41" i="17"/>
  <c r="I58" i="17"/>
  <c r="K58" i="17"/>
  <c r="J58" i="17"/>
  <c r="I67" i="17"/>
  <c r="J67" i="17"/>
  <c r="J73" i="17"/>
  <c r="I73" i="17"/>
  <c r="J95" i="17"/>
  <c r="I95" i="17"/>
  <c r="J101" i="17"/>
  <c r="I101" i="17"/>
  <c r="I108" i="17"/>
  <c r="H107" i="17"/>
  <c r="K108" i="17"/>
  <c r="J108" i="17"/>
  <c r="J129" i="17"/>
  <c r="I129" i="17"/>
  <c r="I136" i="17"/>
  <c r="H135" i="17"/>
  <c r="J136" i="17"/>
  <c r="I142" i="17"/>
  <c r="J142" i="17"/>
  <c r="J128" i="17"/>
  <c r="I128" i="17"/>
  <c r="J141" i="17"/>
  <c r="I141" i="17"/>
  <c r="I28" i="17"/>
  <c r="J28" i="17"/>
  <c r="I45" i="17"/>
  <c r="J45" i="17"/>
  <c r="I54" i="17"/>
  <c r="K54" i="17"/>
  <c r="J54" i="17"/>
  <c r="I62" i="17"/>
  <c r="J62" i="17"/>
  <c r="I84" i="17"/>
  <c r="J84" i="17"/>
  <c r="I90" i="17"/>
  <c r="J90" i="17"/>
  <c r="J112" i="17"/>
  <c r="I112" i="17"/>
  <c r="I118" i="17"/>
  <c r="J118" i="17"/>
  <c r="I125" i="17"/>
  <c r="H133" i="17"/>
  <c r="J125" i="17"/>
  <c r="J146" i="17"/>
  <c r="I146" i="17"/>
  <c r="K146" i="17"/>
  <c r="K153" i="17"/>
  <c r="I153" i="17"/>
  <c r="H161" i="17"/>
  <c r="J153" i="17"/>
  <c r="I159" i="17"/>
  <c r="J159" i="17"/>
  <c r="H21" i="17"/>
  <c r="K13" i="17"/>
  <c r="J13" i="17"/>
  <c r="I13" i="17"/>
  <c r="J17" i="17"/>
  <c r="I17" i="17"/>
  <c r="I29" i="17"/>
  <c r="J29" i="17"/>
  <c r="H37" i="17"/>
  <c r="K38" i="17"/>
  <c r="J38" i="17"/>
  <c r="I38" i="17"/>
  <c r="J46" i="17"/>
  <c r="I46" i="17"/>
  <c r="K55" i="17"/>
  <c r="J55" i="17"/>
  <c r="I55" i="17"/>
  <c r="H63" i="17"/>
  <c r="K76" i="17"/>
  <c r="J76" i="17"/>
  <c r="I76" i="17"/>
  <c r="K83" i="17"/>
  <c r="J83" i="17"/>
  <c r="I83" i="17"/>
  <c r="H91" i="17"/>
  <c r="K89" i="17"/>
  <c r="I89" i="17"/>
  <c r="J89" i="17"/>
  <c r="K111" i="17"/>
  <c r="J111" i="17"/>
  <c r="I111" i="17"/>
  <c r="H119" i="17"/>
  <c r="K117" i="17"/>
  <c r="J117" i="17"/>
  <c r="I117" i="17"/>
  <c r="K124" i="17"/>
  <c r="J124" i="17"/>
  <c r="I124" i="17"/>
  <c r="K145" i="17"/>
  <c r="J145" i="17"/>
  <c r="I145" i="17"/>
  <c r="K152" i="17"/>
  <c r="J152" i="17"/>
  <c r="I152" i="17"/>
  <c r="K158" i="17"/>
  <c r="J158" i="17"/>
  <c r="I158" i="17"/>
  <c r="I70" i="17"/>
  <c r="J70" i="17"/>
  <c r="K70" i="17"/>
  <c r="I87" i="17"/>
  <c r="J87" i="17"/>
  <c r="K87" i="17"/>
  <c r="I96" i="17"/>
  <c r="K96" i="17"/>
  <c r="J96" i="17"/>
  <c r="I104" i="17"/>
  <c r="J104" i="17"/>
  <c r="K104" i="17"/>
  <c r="I113" i="17"/>
  <c r="K113" i="17"/>
  <c r="J113" i="17"/>
  <c r="I122" i="17"/>
  <c r="J122" i="17"/>
  <c r="K122" i="17"/>
  <c r="H121" i="17"/>
  <c r="I130" i="17"/>
  <c r="K130" i="17"/>
  <c r="J130" i="17"/>
  <c r="I139" i="17"/>
  <c r="H147" i="17"/>
  <c r="J139" i="17"/>
  <c r="K139" i="17"/>
  <c r="I156" i="17"/>
  <c r="J156" i="17"/>
  <c r="K156" i="17"/>
  <c r="K71" i="17"/>
  <c r="J71" i="17"/>
  <c r="I71" i="17"/>
  <c r="H79" i="17"/>
  <c r="K80" i="17"/>
  <c r="J80" i="17"/>
  <c r="I80" i="17"/>
  <c r="J88" i="17"/>
  <c r="I88" i="17"/>
  <c r="K88" i="17"/>
  <c r="H105" i="17"/>
  <c r="I97" i="17"/>
  <c r="K97" i="17"/>
  <c r="J97" i="17"/>
  <c r="I114" i="17"/>
  <c r="J114" i="17"/>
  <c r="K114" i="17"/>
  <c r="K123" i="17"/>
  <c r="J123" i="17"/>
  <c r="I123" i="17"/>
  <c r="I131" i="17"/>
  <c r="K131" i="17"/>
  <c r="J131" i="17"/>
  <c r="K140" i="17"/>
  <c r="J140" i="17"/>
  <c r="I140" i="17"/>
  <c r="K157" i="17"/>
  <c r="J157" i="17"/>
  <c r="I157" i="17"/>
  <c r="J160" i="16"/>
  <c r="I160" i="16"/>
  <c r="K160" i="16"/>
  <c r="J157" i="16"/>
  <c r="I157" i="16"/>
  <c r="K157" i="16"/>
  <c r="K139" i="16"/>
  <c r="J139" i="16"/>
  <c r="I139" i="16"/>
  <c r="H147" i="16"/>
  <c r="I110" i="16"/>
  <c r="J110" i="16"/>
  <c r="K110" i="16"/>
  <c r="J88" i="16"/>
  <c r="I88" i="16"/>
  <c r="K88" i="16"/>
  <c r="K70" i="16"/>
  <c r="J70" i="16"/>
  <c r="I70" i="16"/>
  <c r="K52" i="16"/>
  <c r="H51" i="16"/>
  <c r="I52" i="16"/>
  <c r="J52" i="16"/>
  <c r="I41" i="16"/>
  <c r="J41" i="16"/>
  <c r="H49" i="16"/>
  <c r="K41" i="16"/>
  <c r="V20" i="16"/>
  <c r="U20" i="16"/>
  <c r="W20" i="16"/>
  <c r="K12" i="16"/>
  <c r="J12" i="16"/>
  <c r="I12" i="16"/>
  <c r="T21" i="16"/>
  <c r="U13" i="16"/>
  <c r="V13" i="16"/>
  <c r="W17" i="16"/>
  <c r="V17" i="16"/>
  <c r="U17" i="16"/>
  <c r="K11" i="16"/>
  <c r="I11" i="16"/>
  <c r="J11" i="16"/>
  <c r="K15" i="16"/>
  <c r="J15" i="16"/>
  <c r="I15" i="16"/>
  <c r="K19" i="16"/>
  <c r="J19" i="16"/>
  <c r="I19" i="16"/>
  <c r="J25" i="16"/>
  <c r="I25" i="16"/>
  <c r="K25" i="16"/>
  <c r="I33" i="16"/>
  <c r="K33" i="16"/>
  <c r="J33" i="16"/>
  <c r="K42" i="16"/>
  <c r="J42" i="16"/>
  <c r="I42" i="16"/>
  <c r="J59" i="16"/>
  <c r="I59" i="16"/>
  <c r="K59" i="16"/>
  <c r="K68" i="16"/>
  <c r="I68" i="16"/>
  <c r="J68" i="16"/>
  <c r="K76" i="16"/>
  <c r="J76" i="16"/>
  <c r="I76" i="16"/>
  <c r="K85" i="16"/>
  <c r="J85" i="16"/>
  <c r="I85" i="16"/>
  <c r="J94" i="16"/>
  <c r="I94" i="16"/>
  <c r="K94" i="16"/>
  <c r="H93" i="16"/>
  <c r="I102" i="16"/>
  <c r="J102" i="16"/>
  <c r="K102" i="16"/>
  <c r="H119" i="16"/>
  <c r="K111" i="16"/>
  <c r="J111" i="16"/>
  <c r="I111" i="16"/>
  <c r="J128" i="16"/>
  <c r="I128" i="16"/>
  <c r="K128" i="16"/>
  <c r="K137" i="16"/>
  <c r="I137" i="16"/>
  <c r="J137" i="16"/>
  <c r="K145" i="16"/>
  <c r="I145" i="16"/>
  <c r="J145" i="16"/>
  <c r="K154" i="16"/>
  <c r="J154" i="16"/>
  <c r="I154" i="16"/>
  <c r="I13" i="16"/>
  <c r="H21" i="16"/>
  <c r="K13" i="16"/>
  <c r="J13" i="16"/>
  <c r="I17" i="16"/>
  <c r="J17" i="16"/>
  <c r="K17" i="16"/>
  <c r="I29" i="16"/>
  <c r="K29" i="16"/>
  <c r="J29" i="16"/>
  <c r="I38" i="16"/>
  <c r="K38" i="16"/>
  <c r="J38" i="16"/>
  <c r="H37" i="16"/>
  <c r="I46" i="16"/>
  <c r="J46" i="16"/>
  <c r="K46" i="16"/>
  <c r="I55" i="16"/>
  <c r="H63" i="16"/>
  <c r="K55" i="16"/>
  <c r="J55" i="16"/>
  <c r="I72" i="16"/>
  <c r="K72" i="16"/>
  <c r="J72" i="16"/>
  <c r="I81" i="16"/>
  <c r="J81" i="16"/>
  <c r="K81" i="16"/>
  <c r="I89" i="16"/>
  <c r="K89" i="16"/>
  <c r="J89" i="16"/>
  <c r="I98" i="16"/>
  <c r="K98" i="16"/>
  <c r="J98" i="16"/>
  <c r="I115" i="16"/>
  <c r="J115" i="16"/>
  <c r="K115" i="16"/>
  <c r="I124" i="16"/>
  <c r="K124" i="16"/>
  <c r="J124" i="16"/>
  <c r="I132" i="16"/>
  <c r="K132" i="16"/>
  <c r="J132" i="16"/>
  <c r="I141" i="16"/>
  <c r="K141" i="16"/>
  <c r="J141" i="16"/>
  <c r="I150" i="16"/>
  <c r="J150" i="16"/>
  <c r="H149" i="16"/>
  <c r="K150" i="16"/>
  <c r="I158" i="16"/>
  <c r="K158" i="16"/>
  <c r="J158" i="16"/>
  <c r="K30" i="16"/>
  <c r="J30" i="16"/>
  <c r="I30" i="16"/>
  <c r="K39" i="16"/>
  <c r="I39" i="16"/>
  <c r="J39" i="16"/>
  <c r="K47" i="16"/>
  <c r="I47" i="16"/>
  <c r="J47" i="16"/>
  <c r="K56" i="16"/>
  <c r="J56" i="16"/>
  <c r="I56" i="16"/>
  <c r="K73" i="16"/>
  <c r="I73" i="16"/>
  <c r="J73" i="16"/>
  <c r="K82" i="16"/>
  <c r="J82" i="16"/>
  <c r="I82" i="16"/>
  <c r="K90" i="16"/>
  <c r="J90" i="16"/>
  <c r="I90" i="16"/>
  <c r="K99" i="16"/>
  <c r="J99" i="16"/>
  <c r="I99" i="16"/>
  <c r="H107" i="16"/>
  <c r="K108" i="16"/>
  <c r="I108" i="16"/>
  <c r="J108" i="16"/>
  <c r="K116" i="16"/>
  <c r="J116" i="16"/>
  <c r="I116" i="16"/>
  <c r="H133" i="16"/>
  <c r="K125" i="16"/>
  <c r="J125" i="16"/>
  <c r="I125" i="16"/>
  <c r="K142" i="16"/>
  <c r="I142" i="16"/>
  <c r="J142" i="16"/>
  <c r="K151" i="16"/>
  <c r="J151" i="16"/>
  <c r="I151" i="16"/>
  <c r="K159" i="16"/>
  <c r="J159" i="16"/>
  <c r="I159" i="16"/>
  <c r="S20" i="14"/>
  <c r="T20" i="14"/>
  <c r="S12" i="14"/>
  <c r="T12" i="14"/>
  <c r="I153" i="13"/>
  <c r="K153" i="13"/>
  <c r="J153" i="13"/>
  <c r="I144" i="13"/>
  <c r="J144" i="13"/>
  <c r="K144" i="13"/>
  <c r="I136" i="13"/>
  <c r="K136" i="13"/>
  <c r="J136" i="13"/>
  <c r="I127" i="13"/>
  <c r="K127" i="13"/>
  <c r="J127" i="13"/>
  <c r="I110" i="13"/>
  <c r="H118" i="13"/>
  <c r="J110" i="13"/>
  <c r="K110" i="13"/>
  <c r="I101" i="13"/>
  <c r="K101" i="13"/>
  <c r="J101" i="13"/>
  <c r="I93" i="13"/>
  <c r="K93" i="13"/>
  <c r="J93" i="13"/>
  <c r="I84" i="13"/>
  <c r="J84" i="13"/>
  <c r="K84" i="13"/>
  <c r="I75" i="13"/>
  <c r="J75" i="13"/>
  <c r="K75" i="13"/>
  <c r="I67" i="13"/>
  <c r="K67" i="13"/>
  <c r="J67" i="13"/>
  <c r="I58" i="13"/>
  <c r="K58" i="13"/>
  <c r="J58" i="13"/>
  <c r="I50" i="13"/>
  <c r="K50" i="13"/>
  <c r="J50" i="13"/>
  <c r="I41" i="13"/>
  <c r="J41" i="13"/>
  <c r="K41" i="13"/>
  <c r="I32" i="13"/>
  <c r="K32" i="13"/>
  <c r="J32" i="13"/>
  <c r="I24" i="13"/>
  <c r="K24" i="13"/>
  <c r="J24" i="13"/>
  <c r="I18" i="13"/>
  <c r="K18" i="13"/>
  <c r="J18" i="13"/>
  <c r="I14" i="13"/>
  <c r="J14" i="13"/>
  <c r="K14" i="13"/>
  <c r="I10" i="13"/>
  <c r="K10" i="13"/>
  <c r="J10" i="13"/>
  <c r="I9" i="12"/>
  <c r="L9" i="12"/>
  <c r="J9" i="12"/>
  <c r="I7" i="12"/>
  <c r="J7" i="12"/>
  <c r="L7" i="12"/>
  <c r="I113" i="18"/>
  <c r="I28" i="18"/>
  <c r="Y18" i="18"/>
  <c r="X18" i="18"/>
  <c r="K116" i="17"/>
  <c r="J116" i="17"/>
  <c r="I116" i="17"/>
  <c r="K99" i="17"/>
  <c r="J99" i="17"/>
  <c r="I99" i="17"/>
  <c r="I81" i="17"/>
  <c r="K81" i="17"/>
  <c r="J81" i="17"/>
  <c r="K52" i="17"/>
  <c r="J52" i="17"/>
  <c r="H51" i="17"/>
  <c r="I52" i="17"/>
  <c r="K33" i="17"/>
  <c r="J33" i="17"/>
  <c r="I33" i="17"/>
  <c r="V13" i="17"/>
  <c r="T21" i="17"/>
  <c r="U13" i="17"/>
  <c r="J12" i="17"/>
  <c r="I12" i="17"/>
  <c r="K12" i="17"/>
  <c r="W10" i="17"/>
  <c r="V10" i="17"/>
  <c r="U10" i="17"/>
  <c r="T9" i="17"/>
  <c r="W11" i="17" s="1"/>
  <c r="W14" i="17"/>
  <c r="V14" i="17"/>
  <c r="U14" i="17"/>
  <c r="V18" i="17"/>
  <c r="U18" i="17"/>
  <c r="U12" i="17"/>
  <c r="V12" i="17"/>
  <c r="W12" i="17"/>
  <c r="U16" i="17"/>
  <c r="V16" i="17"/>
  <c r="U20" i="17"/>
  <c r="V20" i="17"/>
  <c r="I136" i="16"/>
  <c r="K136" i="16"/>
  <c r="H135" i="16"/>
  <c r="J136" i="16"/>
  <c r="I140" i="18"/>
  <c r="Y80" i="18"/>
  <c r="X80" i="18"/>
  <c r="I59" i="18"/>
  <c r="Y53" i="18"/>
  <c r="X53" i="18"/>
  <c r="Y45" i="18"/>
  <c r="X45" i="18"/>
  <c r="I42" i="18"/>
  <c r="I27" i="18"/>
  <c r="I24" i="18"/>
  <c r="I11" i="18"/>
  <c r="I12" i="18"/>
  <c r="J12" i="18"/>
  <c r="H20" i="18"/>
  <c r="I18" i="18"/>
  <c r="J25" i="18"/>
  <c r="I25" i="18"/>
  <c r="I127" i="18"/>
  <c r="J19" i="18"/>
  <c r="I19" i="18"/>
  <c r="J26" i="18"/>
  <c r="I26" i="18"/>
  <c r="H34" i="18"/>
  <c r="I32" i="18"/>
  <c r="I58" i="18"/>
  <c r="I75" i="18"/>
  <c r="J84" i="18"/>
  <c r="I84" i="18"/>
  <c r="I115" i="18"/>
  <c r="I29" i="18"/>
  <c r="J29" i="18"/>
  <c r="H36" i="18"/>
  <c r="I37" i="18"/>
  <c r="I44" i="18"/>
  <c r="I53" i="18"/>
  <c r="I70" i="18"/>
  <c r="J71" i="18"/>
  <c r="I71" i="18"/>
  <c r="I79" i="18"/>
  <c r="H78" i="18"/>
  <c r="J79" i="18"/>
  <c r="I89" i="18"/>
  <c r="I111" i="18"/>
  <c r="I122" i="18"/>
  <c r="J122" i="18"/>
  <c r="I156" i="18"/>
  <c r="J156" i="18"/>
  <c r="H8" i="18"/>
  <c r="J59" i="18" s="1"/>
  <c r="J9" i="18"/>
  <c r="I9" i="18"/>
  <c r="J15" i="18"/>
  <c r="I15" i="18"/>
  <c r="J54" i="18"/>
  <c r="I54" i="18"/>
  <c r="H62" i="18"/>
  <c r="J55" i="18"/>
  <c r="I55" i="18"/>
  <c r="J81" i="18"/>
  <c r="I81" i="18"/>
  <c r="I107" i="18"/>
  <c r="J107" i="18"/>
  <c r="H106" i="18"/>
  <c r="J123" i="18"/>
  <c r="I123" i="18"/>
  <c r="J128" i="18"/>
  <c r="I128" i="18"/>
  <c r="I139" i="18"/>
  <c r="J139" i="18"/>
  <c r="J144" i="18"/>
  <c r="I144" i="18"/>
  <c r="J152" i="18"/>
  <c r="H160" i="18"/>
  <c r="I152" i="18"/>
  <c r="J80" i="18"/>
  <c r="I80" i="18"/>
  <c r="J85" i="18"/>
  <c r="I85" i="18"/>
  <c r="I96" i="18"/>
  <c r="H104" i="18"/>
  <c r="J96" i="18"/>
  <c r="J101" i="18"/>
  <c r="I101" i="18"/>
  <c r="I154" i="18"/>
  <c r="J154" i="18"/>
  <c r="J131" i="18"/>
  <c r="I131" i="18"/>
  <c r="J137" i="18"/>
  <c r="I137" i="18"/>
  <c r="J41" i="18"/>
  <c r="I41" i="18"/>
  <c r="I72" i="18"/>
  <c r="J72" i="18"/>
  <c r="J88" i="18"/>
  <c r="I88" i="18"/>
  <c r="J94" i="18"/>
  <c r="I94" i="18"/>
  <c r="J110" i="18"/>
  <c r="I110" i="18"/>
  <c r="H118" i="18"/>
  <c r="I141" i="18"/>
  <c r="J141" i="18"/>
  <c r="J145" i="18"/>
  <c r="I145" i="18"/>
  <c r="J45" i="18"/>
  <c r="I45" i="18"/>
  <c r="J51" i="18"/>
  <c r="H50" i="18"/>
  <c r="I51" i="18"/>
  <c r="I61" i="18"/>
  <c r="J61" i="18"/>
  <c r="J67" i="18"/>
  <c r="I67" i="18"/>
  <c r="J98" i="18"/>
  <c r="I98" i="18"/>
  <c r="J114" i="18"/>
  <c r="I114" i="18"/>
  <c r="I130" i="18"/>
  <c r="J130" i="18"/>
  <c r="J136" i="18"/>
  <c r="I136" i="18"/>
  <c r="I43" i="18"/>
  <c r="J43" i="18"/>
  <c r="J52" i="18"/>
  <c r="I52" i="18"/>
  <c r="J60" i="18"/>
  <c r="I60" i="18"/>
  <c r="J69" i="18"/>
  <c r="I69" i="18"/>
  <c r="J86" i="18"/>
  <c r="I86" i="18"/>
  <c r="J95" i="18"/>
  <c r="I95" i="18"/>
  <c r="J103" i="18"/>
  <c r="I103" i="18"/>
  <c r="I112" i="18"/>
  <c r="J112" i="18"/>
  <c r="J121" i="18"/>
  <c r="H120" i="18"/>
  <c r="I121" i="18"/>
  <c r="J129" i="18"/>
  <c r="I129" i="18"/>
  <c r="J138" i="18"/>
  <c r="H146" i="18"/>
  <c r="I138" i="18"/>
  <c r="I14" i="18"/>
  <c r="J14" i="18"/>
  <c r="I23" i="18"/>
  <c r="H22" i="18"/>
  <c r="J23" i="18"/>
  <c r="I31" i="18"/>
  <c r="J31" i="18"/>
  <c r="I40" i="18"/>
  <c r="H48" i="18"/>
  <c r="J40" i="18"/>
  <c r="I57" i="18"/>
  <c r="J57" i="18"/>
  <c r="I66" i="18"/>
  <c r="J66" i="18"/>
  <c r="I74" i="18"/>
  <c r="J74" i="18"/>
  <c r="I83" i="18"/>
  <c r="J83" i="18"/>
  <c r="I100" i="18"/>
  <c r="J100" i="18"/>
  <c r="I109" i="18"/>
  <c r="J109" i="18"/>
  <c r="I117" i="18"/>
  <c r="J117" i="18"/>
  <c r="I126" i="18"/>
  <c r="J126" i="18"/>
  <c r="I135" i="18"/>
  <c r="H134" i="18"/>
  <c r="J135" i="18"/>
  <c r="I143" i="18"/>
  <c r="J143" i="18"/>
  <c r="I151" i="18"/>
  <c r="J151" i="18"/>
  <c r="I153" i="18"/>
  <c r="J153" i="18"/>
  <c r="I155" i="18"/>
  <c r="J155" i="18"/>
  <c r="I157" i="18"/>
  <c r="J157" i="18"/>
  <c r="J13" i="18"/>
  <c r="I13" i="18"/>
  <c r="J30" i="18"/>
  <c r="I30" i="18"/>
  <c r="J39" i="18"/>
  <c r="I39" i="18"/>
  <c r="J47" i="18"/>
  <c r="I47" i="18"/>
  <c r="I56" i="18"/>
  <c r="J56" i="18"/>
  <c r="J65" i="18"/>
  <c r="H64" i="18"/>
  <c r="I65" i="18"/>
  <c r="J73" i="18"/>
  <c r="I73" i="18"/>
  <c r="H90" i="18"/>
  <c r="J82" i="18"/>
  <c r="I82" i="18"/>
  <c r="J99" i="18"/>
  <c r="I99" i="18"/>
  <c r="J108" i="18"/>
  <c r="I108" i="18"/>
  <c r="J116" i="18"/>
  <c r="I116" i="18"/>
  <c r="I125" i="18"/>
  <c r="J125" i="18"/>
  <c r="J142" i="18"/>
  <c r="I142" i="18"/>
  <c r="I159" i="18"/>
  <c r="J159" i="18"/>
  <c r="J150" i="18"/>
  <c r="I150" i="18"/>
  <c r="I158" i="18"/>
  <c r="J158" i="18"/>
  <c r="R23" i="14"/>
  <c r="T15" i="14"/>
  <c r="S15" i="14"/>
  <c r="K158" i="13"/>
  <c r="J158" i="13"/>
  <c r="I158" i="13"/>
  <c r="K150" i="13"/>
  <c r="I150" i="13"/>
  <c r="J150" i="13"/>
  <c r="K141" i="13"/>
  <c r="J141" i="13"/>
  <c r="I141" i="13"/>
  <c r="K124" i="13"/>
  <c r="H132" i="13"/>
  <c r="I124" i="13"/>
  <c r="J124" i="13"/>
  <c r="K115" i="13"/>
  <c r="I115" i="13"/>
  <c r="J115" i="13"/>
  <c r="K107" i="13"/>
  <c r="J107" i="13"/>
  <c r="I107" i="13"/>
  <c r="K98" i="13"/>
  <c r="J98" i="13"/>
  <c r="I98" i="13"/>
  <c r="K89" i="13"/>
  <c r="J89" i="13"/>
  <c r="I89" i="13"/>
  <c r="K81" i="13"/>
  <c r="I81" i="13"/>
  <c r="J81" i="13"/>
  <c r="K72" i="13"/>
  <c r="J72" i="13"/>
  <c r="I72" i="13"/>
  <c r="K64" i="13"/>
  <c r="J64" i="13"/>
  <c r="I64" i="13"/>
  <c r="K55" i="13"/>
  <c r="J55" i="13"/>
  <c r="I55" i="13"/>
  <c r="K46" i="13"/>
  <c r="I46" i="13"/>
  <c r="J46" i="13"/>
  <c r="K38" i="13"/>
  <c r="J38" i="13"/>
  <c r="I38" i="13"/>
  <c r="K29" i="13"/>
  <c r="J29" i="13"/>
  <c r="I29" i="13"/>
  <c r="V12" i="16"/>
  <c r="U12" i="16"/>
  <c r="U14" i="16"/>
  <c r="V14" i="16"/>
  <c r="W19" i="16"/>
  <c r="U19" i="16"/>
  <c r="V19" i="16"/>
  <c r="T9" i="16"/>
  <c r="W12" i="16" s="1"/>
  <c r="U10" i="16"/>
  <c r="V10" i="16"/>
  <c r="V15" i="16"/>
  <c r="U15" i="16"/>
  <c r="U18" i="16"/>
  <c r="V18" i="16"/>
  <c r="T21" i="14"/>
  <c r="S21" i="14"/>
  <c r="T22" i="14"/>
  <c r="S22" i="14"/>
  <c r="T13" i="14"/>
  <c r="S13" i="14"/>
  <c r="S16" i="14"/>
  <c r="T16" i="14"/>
  <c r="V17" i="13"/>
  <c r="U17" i="13"/>
  <c r="W17" i="13"/>
  <c r="V15" i="13"/>
  <c r="W15" i="13"/>
  <c r="U15" i="13"/>
  <c r="V13" i="13"/>
  <c r="U13" i="13"/>
  <c r="W13" i="13"/>
  <c r="V11" i="13"/>
  <c r="U11" i="13"/>
  <c r="W11" i="13"/>
  <c r="W8" i="13"/>
  <c r="V8" i="13"/>
  <c r="U8" i="13"/>
  <c r="W12" i="13"/>
  <c r="T20" i="13"/>
  <c r="V12" i="13"/>
  <c r="U12" i="13"/>
  <c r="W16" i="13"/>
  <c r="U16" i="13"/>
  <c r="V16" i="13"/>
  <c r="W10" i="13"/>
  <c r="U10" i="13"/>
  <c r="V10" i="13"/>
  <c r="W14" i="13"/>
  <c r="V14" i="13"/>
  <c r="U14" i="13"/>
  <c r="W18" i="13"/>
  <c r="V18" i="13"/>
  <c r="U18" i="13"/>
  <c r="S48" i="6"/>
  <c r="R48" i="6"/>
  <c r="Q48" i="6"/>
  <c r="S42" i="6"/>
  <c r="R42" i="6"/>
  <c r="Q42" i="6"/>
  <c r="K25" i="6"/>
  <c r="J25" i="6"/>
  <c r="I25" i="6"/>
  <c r="S17" i="6"/>
  <c r="R17" i="6"/>
  <c r="Q17" i="6"/>
  <c r="S15" i="6"/>
  <c r="R15" i="6"/>
  <c r="Q15" i="6"/>
  <c r="K14" i="6"/>
  <c r="J14" i="6"/>
  <c r="I14" i="6"/>
  <c r="R11" i="6"/>
  <c r="Q11" i="6"/>
  <c r="S11" i="6"/>
  <c r="R18" i="6"/>
  <c r="Q18" i="6"/>
  <c r="S18" i="6"/>
  <c r="R26" i="6"/>
  <c r="Q26" i="6"/>
  <c r="S26" i="6"/>
  <c r="R34" i="6"/>
  <c r="Q34" i="6"/>
  <c r="S34" i="6"/>
  <c r="Q52" i="6"/>
  <c r="S52" i="6"/>
  <c r="R52" i="6"/>
  <c r="Q12" i="6"/>
  <c r="S12" i="6"/>
  <c r="R12" i="6"/>
  <c r="Q19" i="6"/>
  <c r="S19" i="6"/>
  <c r="R19" i="6"/>
  <c r="Q27" i="6"/>
  <c r="S27" i="6"/>
  <c r="R27" i="6"/>
  <c r="Q35" i="6"/>
  <c r="S35" i="6"/>
  <c r="R35" i="6"/>
  <c r="Q44" i="6"/>
  <c r="R44" i="6"/>
  <c r="S44" i="6"/>
  <c r="R51" i="6"/>
  <c r="Q51" i="6"/>
  <c r="S51" i="6"/>
  <c r="S13" i="6"/>
  <c r="R13" i="6"/>
  <c r="Q13" i="6"/>
  <c r="R20" i="6"/>
  <c r="Q20" i="6"/>
  <c r="S20" i="6"/>
  <c r="S28" i="6"/>
  <c r="R28" i="6"/>
  <c r="Q28" i="6"/>
  <c r="Q36" i="6"/>
  <c r="S36" i="6"/>
  <c r="R36" i="6"/>
  <c r="R43" i="6"/>
  <c r="S43" i="6"/>
  <c r="Q43" i="6"/>
  <c r="S50" i="6"/>
  <c r="R50" i="6"/>
  <c r="Q50" i="6"/>
  <c r="R37" i="6"/>
  <c r="Q37" i="6"/>
  <c r="S37" i="6"/>
  <c r="S45" i="6"/>
  <c r="R45" i="6"/>
  <c r="Q45" i="6"/>
  <c r="J11" i="6"/>
  <c r="I11" i="6"/>
  <c r="K11" i="6"/>
  <c r="J18" i="6"/>
  <c r="I18" i="6"/>
  <c r="K18" i="6"/>
  <c r="J26" i="6"/>
  <c r="I26" i="6"/>
  <c r="K26" i="6"/>
  <c r="J34" i="6"/>
  <c r="I34" i="6"/>
  <c r="K34" i="6"/>
  <c r="J38" i="6"/>
  <c r="I38" i="6"/>
  <c r="K38" i="6"/>
  <c r="I12" i="6"/>
  <c r="K12" i="6"/>
  <c r="J12" i="6"/>
  <c r="I19" i="6"/>
  <c r="J19" i="6"/>
  <c r="K19" i="6"/>
  <c r="I27" i="6"/>
  <c r="K27" i="6"/>
  <c r="J27" i="6"/>
  <c r="I35" i="6"/>
  <c r="K35" i="6"/>
  <c r="J35" i="6"/>
  <c r="I52" i="6"/>
  <c r="J52" i="6"/>
  <c r="K52" i="6"/>
  <c r="K13" i="6"/>
  <c r="J13" i="6"/>
  <c r="I13" i="6"/>
  <c r="K20" i="6"/>
  <c r="J20" i="6"/>
  <c r="I20" i="6"/>
  <c r="J28" i="6"/>
  <c r="I28" i="6"/>
  <c r="K28" i="6"/>
  <c r="K36" i="6"/>
  <c r="J36" i="6"/>
  <c r="I36" i="6"/>
  <c r="I44" i="6"/>
  <c r="K44" i="6"/>
  <c r="J44" i="6"/>
  <c r="J51" i="6"/>
  <c r="I51" i="6"/>
  <c r="K51" i="6"/>
  <c r="I37" i="6"/>
  <c r="K37" i="6"/>
  <c r="J37" i="6"/>
  <c r="J45" i="6"/>
  <c r="I45" i="6"/>
  <c r="K45" i="6"/>
  <c r="L49" i="5"/>
  <c r="J49" i="5"/>
  <c r="M49" i="5"/>
  <c r="I49" i="5"/>
  <c r="K49" i="5"/>
  <c r="I48" i="5"/>
  <c r="M48" i="5"/>
  <c r="L48" i="5"/>
  <c r="K48" i="5"/>
  <c r="J48" i="5"/>
  <c r="V47" i="5"/>
  <c r="T47" i="5"/>
  <c r="W47" i="5"/>
  <c r="U47" i="5"/>
  <c r="S47" i="5"/>
  <c r="L47" i="5"/>
  <c r="M47" i="5"/>
  <c r="K47" i="5"/>
  <c r="I47" i="5"/>
  <c r="J47" i="5"/>
  <c r="S46" i="5"/>
  <c r="W46" i="5"/>
  <c r="V46" i="5"/>
  <c r="U46" i="5"/>
  <c r="T46" i="5"/>
  <c r="V45" i="5"/>
  <c r="W45" i="5"/>
  <c r="U45" i="5"/>
  <c r="T45" i="5"/>
  <c r="S45" i="5"/>
  <c r="M43" i="5"/>
  <c r="L43" i="5"/>
  <c r="K43" i="5"/>
  <c r="J43" i="5"/>
  <c r="I43" i="5"/>
  <c r="W41" i="5"/>
  <c r="V41" i="5"/>
  <c r="U41" i="5"/>
  <c r="T41" i="5"/>
  <c r="S41" i="5"/>
  <c r="M35" i="5"/>
  <c r="L35" i="5"/>
  <c r="K35" i="5"/>
  <c r="J35" i="5"/>
  <c r="I35" i="5"/>
  <c r="W33" i="5"/>
  <c r="V33" i="5"/>
  <c r="U33" i="5"/>
  <c r="T33" i="5"/>
  <c r="S33" i="5"/>
  <c r="M27" i="5"/>
  <c r="L27" i="5"/>
  <c r="K27" i="5"/>
  <c r="J27" i="5"/>
  <c r="I27" i="5"/>
  <c r="W25" i="5"/>
  <c r="V25" i="5"/>
  <c r="U25" i="5"/>
  <c r="T25" i="5"/>
  <c r="S25" i="5"/>
  <c r="M19" i="5"/>
  <c r="L19" i="5"/>
  <c r="K19" i="5"/>
  <c r="I19" i="5"/>
  <c r="J19" i="5"/>
  <c r="W17" i="5"/>
  <c r="V17" i="5"/>
  <c r="U17" i="5"/>
  <c r="S17" i="5"/>
  <c r="T17" i="5"/>
  <c r="M16" i="5"/>
  <c r="L16" i="5"/>
  <c r="K16" i="5"/>
  <c r="J16" i="5"/>
  <c r="I16" i="5"/>
  <c r="W14" i="5"/>
  <c r="V14" i="5"/>
  <c r="U14" i="5"/>
  <c r="T14" i="5"/>
  <c r="S14" i="5"/>
  <c r="M8" i="5"/>
  <c r="L8" i="5"/>
  <c r="K8" i="5"/>
  <c r="J8" i="5"/>
  <c r="I8" i="5"/>
  <c r="T49" i="5"/>
  <c r="S49" i="5"/>
  <c r="W49" i="5"/>
  <c r="V49" i="5"/>
  <c r="U49" i="5"/>
  <c r="T51" i="5"/>
  <c r="S51" i="5"/>
  <c r="W51" i="5"/>
  <c r="V51" i="5"/>
  <c r="U51" i="5"/>
  <c r="G195" i="3"/>
  <c r="G194" i="3"/>
  <c r="G193" i="3"/>
  <c r="G192" i="3"/>
  <c r="G191" i="3"/>
  <c r="G190" i="3"/>
  <c r="G189" i="3"/>
  <c r="G188" i="3"/>
  <c r="G187" i="3"/>
  <c r="G186" i="3"/>
  <c r="I122" i="3"/>
  <c r="L111" i="3"/>
  <c r="K111" i="3"/>
  <c r="J111" i="3"/>
  <c r="I121" i="3"/>
  <c r="L110" i="3"/>
  <c r="J110" i="3"/>
  <c r="K110" i="3"/>
  <c r="L109" i="3"/>
  <c r="K109" i="3"/>
  <c r="J109" i="3"/>
  <c r="I120" i="3"/>
  <c r="L108" i="3"/>
  <c r="K108" i="3"/>
  <c r="J108" i="3"/>
  <c r="I119" i="3"/>
  <c r="I118" i="3"/>
  <c r="L107" i="3"/>
  <c r="K107" i="3"/>
  <c r="J107" i="3"/>
  <c r="I117" i="3"/>
  <c r="L106" i="3"/>
  <c r="J106" i="3"/>
  <c r="K106" i="3"/>
  <c r="I116" i="3"/>
  <c r="L105" i="3"/>
  <c r="K105" i="3"/>
  <c r="J105" i="3"/>
  <c r="I115" i="3"/>
  <c r="L104" i="3"/>
  <c r="K104" i="3"/>
  <c r="J104" i="3"/>
  <c r="I114" i="3"/>
  <c r="L103" i="3"/>
  <c r="K103" i="3"/>
  <c r="J103" i="3"/>
  <c r="I113" i="3"/>
  <c r="L102" i="3"/>
  <c r="J102" i="3"/>
  <c r="K102" i="3"/>
  <c r="L101" i="3"/>
  <c r="K101" i="3"/>
  <c r="J101" i="3"/>
  <c r="L100" i="3"/>
  <c r="K100" i="3"/>
  <c r="J100" i="3"/>
  <c r="L99" i="3"/>
  <c r="K99" i="3"/>
  <c r="J99" i="3"/>
  <c r="L98" i="3"/>
  <c r="J98" i="3"/>
  <c r="K98" i="3"/>
  <c r="L97" i="3"/>
  <c r="K97" i="3"/>
  <c r="J97" i="3"/>
  <c r="L96" i="3"/>
  <c r="K96" i="3"/>
  <c r="J96" i="3"/>
  <c r="L95" i="3"/>
  <c r="K95" i="3"/>
  <c r="J95" i="3"/>
  <c r="L94" i="3"/>
  <c r="J94" i="3"/>
  <c r="K94" i="3"/>
  <c r="L93" i="3"/>
  <c r="K93" i="3"/>
  <c r="J93" i="3"/>
  <c r="L92" i="3"/>
  <c r="K92" i="3"/>
  <c r="J92" i="3"/>
  <c r="L91" i="3"/>
  <c r="K91" i="3"/>
  <c r="J91" i="3"/>
  <c r="L90" i="3"/>
  <c r="J90" i="3"/>
  <c r="K90" i="3"/>
  <c r="L89" i="3"/>
  <c r="K89" i="3"/>
  <c r="J89" i="3"/>
  <c r="L88" i="3"/>
  <c r="K88" i="3"/>
  <c r="J88" i="3"/>
  <c r="L87" i="3"/>
  <c r="K87" i="3"/>
  <c r="J87" i="3"/>
  <c r="L86" i="3"/>
  <c r="J86" i="3"/>
  <c r="K86" i="3"/>
  <c r="L85" i="3"/>
  <c r="K85" i="3"/>
  <c r="J85" i="3"/>
  <c r="L84" i="3"/>
  <c r="K84" i="3"/>
  <c r="J84" i="3"/>
  <c r="L83" i="3"/>
  <c r="K83" i="3"/>
  <c r="J83" i="3"/>
  <c r="L82" i="3"/>
  <c r="J82" i="3"/>
  <c r="K82" i="3"/>
  <c r="L81" i="3"/>
  <c r="K81" i="3"/>
  <c r="J81" i="3"/>
  <c r="L80" i="3"/>
  <c r="K80" i="3"/>
  <c r="J80" i="3"/>
  <c r="L71" i="3"/>
  <c r="J71" i="3"/>
  <c r="K71" i="3"/>
  <c r="L70" i="3"/>
  <c r="K70" i="3"/>
  <c r="J70" i="3"/>
  <c r="L69" i="3"/>
  <c r="J69" i="3"/>
  <c r="K69" i="3"/>
  <c r="L68" i="3"/>
  <c r="K68" i="3"/>
  <c r="J68" i="3"/>
  <c r="L67" i="3"/>
  <c r="J67" i="3"/>
  <c r="K67" i="3"/>
  <c r="L66" i="3"/>
  <c r="K66" i="3"/>
  <c r="J66" i="3"/>
  <c r="L65" i="3"/>
  <c r="K65" i="3"/>
  <c r="J65" i="3"/>
  <c r="L64" i="3"/>
  <c r="K64" i="3"/>
  <c r="J64" i="3"/>
  <c r="L63" i="3"/>
  <c r="J63" i="3"/>
  <c r="K63" i="3"/>
  <c r="L62" i="3"/>
  <c r="K62" i="3"/>
  <c r="J62" i="3"/>
  <c r="J54" i="3"/>
  <c r="K54" i="3"/>
  <c r="J46" i="3"/>
  <c r="K46" i="3"/>
  <c r="G68" i="2"/>
  <c r="G67" i="2"/>
  <c r="L48" i="2"/>
  <c r="J48" i="2"/>
  <c r="K48" i="2"/>
  <c r="L47" i="2"/>
  <c r="K47" i="2"/>
  <c r="J47" i="2"/>
  <c r="F119" i="3"/>
  <c r="F117" i="3"/>
  <c r="F115" i="3"/>
  <c r="E119" i="3"/>
  <c r="E116" i="3"/>
  <c r="E113" i="3"/>
  <c r="G42" i="2"/>
  <c r="Q41" i="6"/>
  <c r="S41" i="6"/>
  <c r="R41" i="6"/>
  <c r="S32" i="6"/>
  <c r="R32" i="6"/>
  <c r="Q32" i="6"/>
  <c r="S23" i="6"/>
  <c r="Q23" i="6"/>
  <c r="R23" i="6"/>
  <c r="I22" i="6"/>
  <c r="K22" i="6"/>
  <c r="J22" i="6"/>
  <c r="K10" i="6"/>
  <c r="J10" i="6"/>
  <c r="I10" i="6"/>
  <c r="M52" i="5"/>
  <c r="K52" i="5"/>
  <c r="I52" i="5"/>
  <c r="L52" i="5"/>
  <c r="J52" i="5"/>
  <c r="W50" i="5"/>
  <c r="U50" i="5"/>
  <c r="S50" i="5"/>
  <c r="V50" i="5"/>
  <c r="T50" i="5"/>
  <c r="M50" i="5"/>
  <c r="I50" i="5"/>
  <c r="L50" i="5"/>
  <c r="K50" i="5"/>
  <c r="J50" i="5"/>
  <c r="W48" i="5"/>
  <c r="S48" i="5"/>
  <c r="V48" i="5"/>
  <c r="U48" i="5"/>
  <c r="T48" i="5"/>
  <c r="I38" i="5"/>
  <c r="M38" i="5"/>
  <c r="L38" i="5"/>
  <c r="K38" i="5"/>
  <c r="J38" i="5"/>
  <c r="S36" i="5"/>
  <c r="W36" i="5"/>
  <c r="V36" i="5"/>
  <c r="U36" i="5"/>
  <c r="T36" i="5"/>
  <c r="I30" i="5"/>
  <c r="M30" i="5"/>
  <c r="L30" i="5"/>
  <c r="K30" i="5"/>
  <c r="J30" i="5"/>
  <c r="S28" i="5"/>
  <c r="W28" i="5"/>
  <c r="V28" i="5"/>
  <c r="U28" i="5"/>
  <c r="T28" i="5"/>
  <c r="I22" i="5"/>
  <c r="M22" i="5"/>
  <c r="L22" i="5"/>
  <c r="J22" i="5"/>
  <c r="K22" i="5"/>
  <c r="S20" i="5"/>
  <c r="W20" i="5"/>
  <c r="V20" i="5"/>
  <c r="T20" i="5"/>
  <c r="U20" i="5"/>
  <c r="I11" i="5"/>
  <c r="M11" i="5"/>
  <c r="L11" i="5"/>
  <c r="K11" i="5"/>
  <c r="J11" i="5"/>
  <c r="S9" i="5"/>
  <c r="W9" i="5"/>
  <c r="V9" i="5"/>
  <c r="U9" i="5"/>
  <c r="T9" i="5"/>
  <c r="F195" i="3"/>
  <c r="F194" i="3"/>
  <c r="F193" i="3"/>
  <c r="F192" i="3"/>
  <c r="F191" i="3"/>
  <c r="F190" i="3"/>
  <c r="F189" i="3"/>
  <c r="F188" i="3"/>
  <c r="F187" i="3"/>
  <c r="F186" i="3"/>
  <c r="H122" i="3"/>
  <c r="H121" i="3"/>
  <c r="H120" i="3"/>
  <c r="H119" i="3"/>
  <c r="H118" i="3"/>
  <c r="H117" i="3"/>
  <c r="H116" i="3"/>
  <c r="H115" i="3"/>
  <c r="H114" i="3"/>
  <c r="H113" i="3"/>
  <c r="J55" i="3"/>
  <c r="K55" i="3"/>
  <c r="J47" i="3"/>
  <c r="K47" i="3"/>
  <c r="F68" i="2"/>
  <c r="F67" i="2"/>
  <c r="F123" i="3"/>
  <c r="F120" i="3"/>
  <c r="F118" i="3"/>
  <c r="F116" i="3"/>
  <c r="F113" i="3"/>
  <c r="H42" i="2"/>
  <c r="E123" i="3"/>
  <c r="E120" i="3"/>
  <c r="E117" i="3"/>
  <c r="E115" i="3"/>
  <c r="G43" i="2"/>
  <c r="K50" i="6"/>
  <c r="J50" i="6"/>
  <c r="I50" i="6"/>
  <c r="S46" i="6"/>
  <c r="R46" i="6"/>
  <c r="Q46" i="6"/>
  <c r="S40" i="6"/>
  <c r="R40" i="6"/>
  <c r="Q40" i="6"/>
  <c r="R29" i="6"/>
  <c r="Q29" i="6"/>
  <c r="S29" i="6"/>
  <c r="U44" i="5"/>
  <c r="T44" i="5"/>
  <c r="S44" i="5"/>
  <c r="W44" i="5"/>
  <c r="V44" i="5"/>
  <c r="J41" i="5"/>
  <c r="I41" i="5"/>
  <c r="M41" i="5"/>
  <c r="L41" i="5"/>
  <c r="K41" i="5"/>
  <c r="T39" i="5"/>
  <c r="S39" i="5"/>
  <c r="W39" i="5"/>
  <c r="V39" i="5"/>
  <c r="U39" i="5"/>
  <c r="J33" i="5"/>
  <c r="I33" i="5"/>
  <c r="M33" i="5"/>
  <c r="L33" i="5"/>
  <c r="K33" i="5"/>
  <c r="T31" i="5"/>
  <c r="S31" i="5"/>
  <c r="W31" i="5"/>
  <c r="V31" i="5"/>
  <c r="U31" i="5"/>
  <c r="J25" i="5"/>
  <c r="I25" i="5"/>
  <c r="M25" i="5"/>
  <c r="K25" i="5"/>
  <c r="L25" i="5"/>
  <c r="T23" i="5"/>
  <c r="S23" i="5"/>
  <c r="W23" i="5"/>
  <c r="U23" i="5"/>
  <c r="V23" i="5"/>
  <c r="J17" i="5"/>
  <c r="I17" i="5"/>
  <c r="M17" i="5"/>
  <c r="L17" i="5"/>
  <c r="K17" i="5"/>
  <c r="J14" i="5"/>
  <c r="I14" i="5"/>
  <c r="M14" i="5"/>
  <c r="L14" i="5"/>
  <c r="K14" i="5"/>
  <c r="T12" i="5"/>
  <c r="S12" i="5"/>
  <c r="W12" i="5"/>
  <c r="V12" i="5"/>
  <c r="U12" i="5"/>
  <c r="J51" i="5"/>
  <c r="I51" i="5"/>
  <c r="M51" i="5"/>
  <c r="K51" i="5"/>
  <c r="L51" i="5"/>
  <c r="I45" i="5"/>
  <c r="M45" i="5"/>
  <c r="L45" i="5"/>
  <c r="J45" i="5"/>
  <c r="K45" i="5"/>
  <c r="E196" i="3"/>
  <c r="E195" i="3"/>
  <c r="E194" i="3"/>
  <c r="E193" i="3"/>
  <c r="E192" i="3"/>
  <c r="E191" i="3"/>
  <c r="E190" i="3"/>
  <c r="E189" i="3"/>
  <c r="E188" i="3"/>
  <c r="E187" i="3"/>
  <c r="E186" i="3"/>
  <c r="G123" i="3"/>
  <c r="G122" i="3"/>
  <c r="G121" i="3"/>
  <c r="G120" i="3"/>
  <c r="G119" i="3"/>
  <c r="G118" i="3"/>
  <c r="G117" i="3"/>
  <c r="G116" i="3"/>
  <c r="G115" i="3"/>
  <c r="G114" i="3"/>
  <c r="G113" i="3"/>
  <c r="K56" i="3"/>
  <c r="J56" i="3"/>
  <c r="K48" i="3"/>
  <c r="J48" i="3"/>
  <c r="K40" i="3"/>
  <c r="J40" i="3"/>
  <c r="K39" i="3"/>
  <c r="J39" i="3"/>
  <c r="L39" i="3"/>
  <c r="K38" i="3"/>
  <c r="J38" i="3"/>
  <c r="L38" i="3"/>
  <c r="K37" i="3"/>
  <c r="J37" i="3"/>
  <c r="L37" i="3"/>
  <c r="K36" i="3"/>
  <c r="J36" i="3"/>
  <c r="L36" i="3"/>
  <c r="K35" i="3"/>
  <c r="J35" i="3"/>
  <c r="L35" i="3"/>
  <c r="K34" i="3"/>
  <c r="J34" i="3"/>
  <c r="L34" i="3"/>
  <c r="K33" i="3"/>
  <c r="J33" i="3"/>
  <c r="L33" i="3"/>
  <c r="K32" i="3"/>
  <c r="J32" i="3"/>
  <c r="L32" i="3"/>
  <c r="K31" i="3"/>
  <c r="J31" i="3"/>
  <c r="L31" i="3"/>
  <c r="K30" i="3"/>
  <c r="J30" i="3"/>
  <c r="L30" i="3"/>
  <c r="K29" i="3"/>
  <c r="J29" i="3"/>
  <c r="L29" i="3"/>
  <c r="K28" i="3"/>
  <c r="J28" i="3"/>
  <c r="L28" i="3"/>
  <c r="K27" i="3"/>
  <c r="J27" i="3"/>
  <c r="L27" i="3"/>
  <c r="K26" i="3"/>
  <c r="J26" i="3"/>
  <c r="L26" i="3"/>
  <c r="K25" i="3"/>
  <c r="J25" i="3"/>
  <c r="L25" i="3"/>
  <c r="K24" i="3"/>
  <c r="J24" i="3"/>
  <c r="L24" i="3"/>
  <c r="K23" i="3"/>
  <c r="J23" i="3"/>
  <c r="L23" i="3"/>
  <c r="K22" i="3"/>
  <c r="J22" i="3"/>
  <c r="L22" i="3"/>
  <c r="K21" i="3"/>
  <c r="J21" i="3"/>
  <c r="L21" i="3"/>
  <c r="K20" i="3"/>
  <c r="J20" i="3"/>
  <c r="L20" i="3"/>
  <c r="K19" i="3"/>
  <c r="J19" i="3"/>
  <c r="L19" i="3"/>
  <c r="K18" i="3"/>
  <c r="J18" i="3"/>
  <c r="L18" i="3"/>
  <c r="K17" i="3"/>
  <c r="J17" i="3"/>
  <c r="L17" i="3"/>
  <c r="K16" i="3"/>
  <c r="J16" i="3"/>
  <c r="L16" i="3"/>
  <c r="K15" i="3"/>
  <c r="J15" i="3"/>
  <c r="L15" i="3"/>
  <c r="K14" i="3"/>
  <c r="J14" i="3"/>
  <c r="L14" i="3"/>
  <c r="K13" i="3"/>
  <c r="J13" i="3"/>
  <c r="L13" i="3"/>
  <c r="K12" i="3"/>
  <c r="J12" i="3"/>
  <c r="L12" i="3"/>
  <c r="K11" i="3"/>
  <c r="J11" i="3"/>
  <c r="L11" i="3"/>
  <c r="K10" i="3"/>
  <c r="J10" i="3"/>
  <c r="L10" i="3"/>
  <c r="K9" i="3"/>
  <c r="J9" i="3"/>
  <c r="L9" i="3"/>
  <c r="K8" i="3"/>
  <c r="J8" i="3"/>
  <c r="L8" i="3"/>
  <c r="K7" i="3"/>
  <c r="J7" i="3"/>
  <c r="L7" i="3"/>
  <c r="E68" i="2"/>
  <c r="E67" i="2"/>
  <c r="K41" i="2"/>
  <c r="J41" i="2"/>
  <c r="K40" i="2"/>
  <c r="I43" i="2"/>
  <c r="J40" i="2"/>
  <c r="L40" i="2"/>
  <c r="K39" i="2"/>
  <c r="J39" i="2"/>
  <c r="I42" i="2"/>
  <c r="L39" i="2"/>
  <c r="K38" i="2"/>
  <c r="J38" i="2"/>
  <c r="L38" i="2"/>
  <c r="K37" i="2"/>
  <c r="J37" i="2"/>
  <c r="L37" i="2"/>
  <c r="K36" i="2"/>
  <c r="J36" i="2"/>
  <c r="L36" i="2"/>
  <c r="K35" i="2"/>
  <c r="J35" i="2"/>
  <c r="L35" i="2"/>
  <c r="K34" i="2"/>
  <c r="J34" i="2"/>
  <c r="L34" i="2"/>
  <c r="K33" i="2"/>
  <c r="J33" i="2"/>
  <c r="L33" i="2"/>
  <c r="K32" i="2"/>
  <c r="J32" i="2"/>
  <c r="L32" i="2"/>
  <c r="F121" i="3"/>
  <c r="F114" i="3"/>
  <c r="H43" i="2"/>
  <c r="E118" i="3"/>
  <c r="K49" i="6"/>
  <c r="J49" i="6"/>
  <c r="I49" i="6"/>
  <c r="J43" i="6"/>
  <c r="K43" i="6"/>
  <c r="I43" i="6"/>
  <c r="S39" i="6"/>
  <c r="R39" i="6"/>
  <c r="Q39" i="6"/>
  <c r="K33" i="6"/>
  <c r="J33" i="6"/>
  <c r="I33" i="6"/>
  <c r="S25" i="6"/>
  <c r="R25" i="6"/>
  <c r="Q25" i="6"/>
  <c r="K24" i="6"/>
  <c r="J24" i="6"/>
  <c r="I24" i="6"/>
  <c r="U42" i="5"/>
  <c r="T42" i="5"/>
  <c r="S42" i="5"/>
  <c r="W42" i="5"/>
  <c r="V42" i="5"/>
  <c r="K36" i="5"/>
  <c r="J36" i="5"/>
  <c r="I36" i="5"/>
  <c r="M36" i="5"/>
  <c r="L36" i="5"/>
  <c r="U34" i="5"/>
  <c r="T34" i="5"/>
  <c r="S34" i="5"/>
  <c r="W34" i="5"/>
  <c r="V34" i="5"/>
  <c r="K28" i="5"/>
  <c r="J28" i="5"/>
  <c r="I28" i="5"/>
  <c r="L28" i="5"/>
  <c r="M28" i="5"/>
  <c r="U26" i="5"/>
  <c r="T26" i="5"/>
  <c r="S26" i="5"/>
  <c r="V26" i="5"/>
  <c r="W26" i="5"/>
  <c r="K20" i="5"/>
  <c r="J20" i="5"/>
  <c r="I20" i="5"/>
  <c r="M20" i="5"/>
  <c r="L20" i="5"/>
  <c r="U18" i="5"/>
  <c r="T18" i="5"/>
  <c r="S18" i="5"/>
  <c r="W18" i="5"/>
  <c r="V18" i="5"/>
  <c r="U15" i="5"/>
  <c r="T15" i="5"/>
  <c r="S15" i="5"/>
  <c r="W15" i="5"/>
  <c r="V15" i="5"/>
  <c r="K9" i="5"/>
  <c r="J9" i="5"/>
  <c r="I9" i="5"/>
  <c r="M9" i="5"/>
  <c r="L9" i="5"/>
  <c r="U7" i="5"/>
  <c r="T7" i="5"/>
  <c r="S7" i="5"/>
  <c r="W7" i="5"/>
  <c r="V7" i="5"/>
  <c r="K48" i="6"/>
  <c r="J48" i="6"/>
  <c r="I48" i="6"/>
  <c r="K42" i="6"/>
  <c r="J42" i="6"/>
  <c r="I42" i="6"/>
  <c r="S38" i="6"/>
  <c r="R38" i="6"/>
  <c r="Q38" i="6"/>
  <c r="S31" i="6"/>
  <c r="R31" i="6"/>
  <c r="Q31" i="6"/>
  <c r="K30" i="6"/>
  <c r="J30" i="6"/>
  <c r="I30" i="6"/>
  <c r="S22" i="6"/>
  <c r="R22" i="6"/>
  <c r="Q22" i="6"/>
  <c r="K21" i="6"/>
  <c r="J21" i="6"/>
  <c r="I21" i="6"/>
  <c r="S10" i="6"/>
  <c r="R10" i="6"/>
  <c r="Q10" i="6"/>
  <c r="K9" i="6"/>
  <c r="J9" i="6"/>
  <c r="I9" i="6"/>
  <c r="E121" i="3"/>
  <c r="E114" i="3"/>
  <c r="K47" i="6"/>
  <c r="J47" i="6"/>
  <c r="I47" i="6"/>
  <c r="K41" i="6"/>
  <c r="J41" i="6"/>
  <c r="I41" i="6"/>
  <c r="K17" i="6"/>
  <c r="J17" i="6"/>
  <c r="I17" i="6"/>
  <c r="S16" i="6"/>
  <c r="R16" i="6"/>
  <c r="Q16" i="6"/>
  <c r="K15" i="6"/>
  <c r="J15" i="6"/>
  <c r="I15" i="6"/>
  <c r="S7" i="6"/>
  <c r="R7" i="6"/>
  <c r="Q7" i="6"/>
  <c r="I196" i="3"/>
  <c r="L185" i="3"/>
  <c r="K185" i="3"/>
  <c r="J185" i="3"/>
  <c r="I192" i="3"/>
  <c r="L181" i="3"/>
  <c r="K181" i="3"/>
  <c r="J181" i="3"/>
  <c r="I188" i="3"/>
  <c r="K177" i="3"/>
  <c r="L177" i="3"/>
  <c r="J177" i="3"/>
  <c r="L173" i="3"/>
  <c r="K173" i="3"/>
  <c r="J173" i="3"/>
  <c r="L169" i="3"/>
  <c r="K169" i="3"/>
  <c r="J169" i="3"/>
  <c r="L165" i="3"/>
  <c r="K165" i="3"/>
  <c r="J165" i="3"/>
  <c r="L161" i="3"/>
  <c r="K161" i="3"/>
  <c r="J161" i="3"/>
  <c r="L157" i="3"/>
  <c r="K157" i="3"/>
  <c r="J157" i="3"/>
  <c r="L153" i="3"/>
  <c r="K153" i="3"/>
  <c r="J153" i="3"/>
  <c r="H196" i="3"/>
  <c r="H192" i="3"/>
  <c r="H188" i="3"/>
  <c r="K66" i="2"/>
  <c r="J66" i="2"/>
  <c r="L62" i="2"/>
  <c r="K62" i="2"/>
  <c r="J62" i="2"/>
  <c r="K58" i="2"/>
  <c r="J58" i="2"/>
  <c r="L58" i="2"/>
  <c r="L59" i="2"/>
  <c r="K59" i="2"/>
  <c r="J59" i="2"/>
  <c r="L184" i="3"/>
  <c r="K184" i="3"/>
  <c r="J184" i="3"/>
  <c r="I195" i="3"/>
  <c r="L180" i="3"/>
  <c r="I191" i="3"/>
  <c r="K180" i="3"/>
  <c r="J180" i="3"/>
  <c r="K176" i="3"/>
  <c r="L176" i="3"/>
  <c r="J176" i="3"/>
  <c r="I187" i="3"/>
  <c r="L172" i="3"/>
  <c r="K172" i="3"/>
  <c r="J172" i="3"/>
  <c r="L168" i="3"/>
  <c r="K168" i="3"/>
  <c r="J168" i="3"/>
  <c r="K164" i="3"/>
  <c r="L164" i="3"/>
  <c r="J164" i="3"/>
  <c r="L160" i="3"/>
  <c r="K160" i="3"/>
  <c r="J160" i="3"/>
  <c r="K156" i="3"/>
  <c r="L156" i="3"/>
  <c r="J156" i="3"/>
  <c r="L208" i="3"/>
  <c r="J208" i="3"/>
  <c r="K208" i="3"/>
  <c r="J211" i="3"/>
  <c r="L211" i="3"/>
  <c r="K211" i="3"/>
  <c r="J217" i="3"/>
  <c r="L217" i="3"/>
  <c r="K217" i="3"/>
  <c r="J209" i="3"/>
  <c r="L209" i="3"/>
  <c r="K209" i="3"/>
  <c r="L210" i="3"/>
  <c r="J210" i="3"/>
  <c r="K210" i="3"/>
  <c r="L212" i="3"/>
  <c r="J212" i="3"/>
  <c r="K212" i="3"/>
  <c r="J213" i="3"/>
  <c r="L213" i="3"/>
  <c r="K213" i="3"/>
  <c r="L214" i="3"/>
  <c r="J214" i="3"/>
  <c r="K214" i="3"/>
  <c r="J215" i="3"/>
  <c r="L215" i="3"/>
  <c r="K215" i="3"/>
  <c r="L216" i="3"/>
  <c r="K216" i="3"/>
  <c r="J216" i="3"/>
  <c r="L218" i="3"/>
  <c r="J218" i="3"/>
  <c r="K218" i="3"/>
  <c r="H191" i="3"/>
  <c r="H187" i="3"/>
  <c r="I68" i="2"/>
  <c r="K65" i="2"/>
  <c r="L65" i="2"/>
  <c r="J65" i="2"/>
  <c r="L61" i="2"/>
  <c r="K61" i="2"/>
  <c r="J61" i="2"/>
  <c r="L57" i="2"/>
  <c r="K57" i="2"/>
  <c r="J57" i="2"/>
  <c r="L13" i="2"/>
  <c r="K13" i="2"/>
  <c r="J13" i="2"/>
  <c r="L23" i="2"/>
  <c r="J23" i="2"/>
  <c r="K23" i="2"/>
  <c r="K21" i="2"/>
  <c r="J21" i="2"/>
  <c r="K20" i="2"/>
  <c r="J20" i="2"/>
  <c r="L22" i="2"/>
  <c r="J22" i="2"/>
  <c r="K22" i="2"/>
  <c r="L24" i="2"/>
  <c r="J24" i="2"/>
  <c r="K24" i="2"/>
  <c r="J19" i="2"/>
  <c r="K19" i="2"/>
  <c r="F42" i="2"/>
  <c r="F43" i="2"/>
  <c r="K72" i="2"/>
  <c r="J72" i="2"/>
  <c r="L72" i="2"/>
  <c r="K73" i="2"/>
  <c r="J73" i="2"/>
  <c r="L73" i="2"/>
  <c r="K74" i="2"/>
  <c r="J74" i="2"/>
  <c r="L74" i="2"/>
  <c r="H194" i="3"/>
  <c r="H190" i="3"/>
  <c r="H186" i="3"/>
  <c r="J60" i="2"/>
  <c r="L60" i="2"/>
  <c r="K60" i="2"/>
  <c r="J16" i="2"/>
  <c r="K16" i="2"/>
  <c r="L12" i="2"/>
  <c r="J12" i="2"/>
  <c r="K12" i="2"/>
  <c r="K8" i="2"/>
  <c r="L8" i="2"/>
  <c r="J8" i="2"/>
  <c r="K63" i="2"/>
  <c r="L63" i="2"/>
  <c r="J63" i="2"/>
  <c r="Q16" i="42"/>
  <c r="T16" i="42"/>
  <c r="P16" i="42"/>
  <c r="R16" i="42"/>
  <c r="S16" i="42"/>
  <c r="I16" i="42"/>
  <c r="J16" i="42"/>
  <c r="H16" i="42"/>
  <c r="M16" i="42"/>
  <c r="N16" i="42"/>
  <c r="L16" i="42"/>
  <c r="M146" i="43"/>
  <c r="L146" i="43"/>
  <c r="O146" i="43"/>
  <c r="N146" i="43"/>
  <c r="J16" i="43"/>
  <c r="H16" i="43"/>
  <c r="I16" i="43"/>
  <c r="N146" i="41"/>
  <c r="O146" i="41"/>
  <c r="M146" i="41"/>
  <c r="L146" i="41"/>
  <c r="T16" i="43"/>
  <c r="R16" i="43"/>
  <c r="P16" i="43"/>
  <c r="Q16" i="43"/>
  <c r="S16" i="43"/>
  <c r="N16" i="43"/>
  <c r="M16" i="43"/>
  <c r="L16" i="43"/>
  <c r="H146" i="41"/>
  <c r="K146" i="41" s="1"/>
  <c r="G146" i="41"/>
  <c r="I146" i="41"/>
  <c r="O129" i="37"/>
  <c r="N129" i="37"/>
  <c r="K129" i="37"/>
  <c r="M129" i="37"/>
  <c r="L129" i="37"/>
  <c r="G129" i="37"/>
  <c r="I129" i="37"/>
  <c r="H129" i="37"/>
  <c r="T11" i="37"/>
  <c r="Q11" i="37"/>
  <c r="P11" i="37"/>
  <c r="O11" i="37"/>
  <c r="S11" i="37"/>
  <c r="R11" i="37"/>
  <c r="M11" i="37"/>
  <c r="L11" i="37"/>
  <c r="K11" i="37"/>
  <c r="I11" i="37"/>
  <c r="H11" i="37"/>
  <c r="G11" i="37"/>
  <c r="M20" i="28"/>
  <c r="L20" i="28"/>
  <c r="I20" i="28"/>
  <c r="K20" i="28"/>
  <c r="J20" i="28"/>
  <c r="M104" i="28"/>
  <c r="L104" i="28"/>
  <c r="K104" i="28"/>
  <c r="J104" i="28"/>
  <c r="I104" i="28"/>
  <c r="J160" i="26"/>
  <c r="I160" i="26"/>
  <c r="K160" i="26"/>
  <c r="I146" i="26"/>
  <c r="J146" i="26"/>
  <c r="K146" i="26"/>
  <c r="J132" i="26"/>
  <c r="I132" i="26"/>
  <c r="K132" i="26"/>
  <c r="K90" i="26"/>
  <c r="I90" i="26"/>
  <c r="J90" i="26"/>
  <c r="L90" i="28"/>
  <c r="K90" i="28"/>
  <c r="J90" i="28"/>
  <c r="I90" i="28"/>
  <c r="M90" i="28"/>
  <c r="J34" i="26"/>
  <c r="K34" i="26"/>
  <c r="I34" i="26"/>
  <c r="V21" i="22"/>
  <c r="X21" i="22"/>
  <c r="W21" i="22"/>
  <c r="I104" i="26"/>
  <c r="K104" i="26"/>
  <c r="J104" i="26"/>
  <c r="K147" i="22"/>
  <c r="L147" i="22"/>
  <c r="J147" i="22"/>
  <c r="R79" i="19"/>
  <c r="P79" i="19"/>
  <c r="R65" i="19"/>
  <c r="P65" i="19"/>
  <c r="R37" i="19"/>
  <c r="P37" i="19"/>
  <c r="R133" i="19"/>
  <c r="P133" i="19"/>
  <c r="R121" i="19"/>
  <c r="P121" i="19"/>
  <c r="R51" i="19"/>
  <c r="P51" i="19"/>
  <c r="X49" i="19"/>
  <c r="R9" i="19"/>
  <c r="P9" i="19"/>
  <c r="J21" i="22"/>
  <c r="L21" i="22"/>
  <c r="K21" i="22"/>
  <c r="R161" i="19"/>
  <c r="P161" i="19"/>
  <c r="X65" i="19"/>
  <c r="X63" i="19"/>
  <c r="X23" i="19"/>
  <c r="R21" i="19"/>
  <c r="P21" i="19"/>
  <c r="R77" i="19"/>
  <c r="P77" i="19"/>
  <c r="R49" i="19"/>
  <c r="P49" i="19"/>
  <c r="X91" i="19"/>
  <c r="X9" i="19"/>
  <c r="P135" i="19"/>
  <c r="R135" i="19"/>
  <c r="R107" i="19"/>
  <c r="P107" i="19"/>
  <c r="X79" i="19"/>
  <c r="X37" i="19"/>
  <c r="X35" i="19"/>
  <c r="R23" i="19"/>
  <c r="P23" i="19"/>
  <c r="J35" i="19"/>
  <c r="H35" i="19"/>
  <c r="J21" i="19"/>
  <c r="H21" i="19"/>
  <c r="X121" i="19"/>
  <c r="R35" i="19"/>
  <c r="P35" i="19"/>
  <c r="R78" i="18"/>
  <c r="Q78" i="18"/>
  <c r="Q36" i="18"/>
  <c r="R36" i="18"/>
  <c r="Q34" i="18"/>
  <c r="R34" i="18"/>
  <c r="J77" i="17"/>
  <c r="I77" i="17"/>
  <c r="K77" i="17"/>
  <c r="K65" i="16"/>
  <c r="J65" i="16"/>
  <c r="I65" i="16"/>
  <c r="I9" i="16"/>
  <c r="K9" i="16"/>
  <c r="J9" i="16"/>
  <c r="X135" i="19"/>
  <c r="Q20" i="18"/>
  <c r="R20" i="18"/>
  <c r="R8" i="18"/>
  <c r="Q8" i="18"/>
  <c r="K35" i="16"/>
  <c r="J35" i="16"/>
  <c r="I35" i="16"/>
  <c r="X147" i="19"/>
  <c r="Q104" i="18"/>
  <c r="R104" i="18"/>
  <c r="Y92" i="18"/>
  <c r="X92" i="18"/>
  <c r="J105" i="16"/>
  <c r="I105" i="16"/>
  <c r="K105" i="16"/>
  <c r="J163" i="14"/>
  <c r="I163" i="14"/>
  <c r="J149" i="14"/>
  <c r="I149" i="14"/>
  <c r="J135" i="14"/>
  <c r="I135" i="14"/>
  <c r="J121" i="14"/>
  <c r="I121" i="14"/>
  <c r="J107" i="14"/>
  <c r="I107" i="14"/>
  <c r="J93" i="14"/>
  <c r="I93" i="14"/>
  <c r="J79" i="14"/>
  <c r="I79" i="14"/>
  <c r="J65" i="14"/>
  <c r="I65" i="14"/>
  <c r="J51" i="14"/>
  <c r="I51" i="14"/>
  <c r="J37" i="14"/>
  <c r="I37" i="14"/>
  <c r="K65" i="17"/>
  <c r="J65" i="17"/>
  <c r="I65" i="17"/>
  <c r="K79" i="16"/>
  <c r="J79" i="16"/>
  <c r="I79" i="16"/>
  <c r="K34" i="13"/>
  <c r="J34" i="13"/>
  <c r="I34" i="13"/>
  <c r="J148" i="18"/>
  <c r="I148" i="18"/>
  <c r="J132" i="18"/>
  <c r="I132" i="18"/>
  <c r="J91" i="16"/>
  <c r="I91" i="16"/>
  <c r="K91" i="16"/>
  <c r="J23" i="14"/>
  <c r="I23" i="14"/>
  <c r="J104" i="13"/>
  <c r="I104" i="13"/>
  <c r="K104" i="13"/>
  <c r="I92" i="18"/>
  <c r="J92" i="18"/>
  <c r="J76" i="18"/>
  <c r="I76" i="18"/>
  <c r="K93" i="17"/>
  <c r="J93" i="17"/>
  <c r="I93" i="17"/>
  <c r="X93" i="19"/>
  <c r="J160" i="13"/>
  <c r="I160" i="13"/>
  <c r="K160" i="13"/>
  <c r="I62" i="13"/>
  <c r="J62" i="13"/>
  <c r="K62" i="13"/>
  <c r="K77" i="16"/>
  <c r="J77" i="16"/>
  <c r="I77" i="16"/>
  <c r="K121" i="16"/>
  <c r="I121" i="16"/>
  <c r="J121" i="16"/>
  <c r="J23" i="16"/>
  <c r="I23" i="16"/>
  <c r="K23" i="16"/>
  <c r="K90" i="13"/>
  <c r="J90" i="13"/>
  <c r="I90" i="13"/>
  <c r="J48" i="13"/>
  <c r="I48" i="13"/>
  <c r="K48" i="13"/>
  <c r="I20" i="13"/>
  <c r="J20" i="13"/>
  <c r="K20" i="13"/>
  <c r="Y36" i="18"/>
  <c r="X36" i="18"/>
  <c r="J35" i="17"/>
  <c r="I35" i="17"/>
  <c r="K35" i="17"/>
  <c r="K146" i="13"/>
  <c r="J146" i="13"/>
  <c r="I146" i="13"/>
  <c r="K134" i="3"/>
  <c r="J134" i="3"/>
  <c r="K123" i="3"/>
  <c r="J123" i="3"/>
  <c r="K17" i="2"/>
  <c r="J17" i="2"/>
  <c r="K18" i="2"/>
  <c r="J18" i="2"/>
  <c r="K194" i="3"/>
  <c r="J194" i="3"/>
  <c r="J205" i="3"/>
  <c r="K205" i="3"/>
  <c r="K201" i="3"/>
  <c r="J201" i="3"/>
  <c r="K190" i="3"/>
  <c r="J190" i="3"/>
  <c r="K186" i="3"/>
  <c r="J186" i="3"/>
  <c r="J197" i="3"/>
  <c r="K197" i="3"/>
  <c r="K193" i="3"/>
  <c r="J193" i="3"/>
  <c r="J204" i="3"/>
  <c r="K204" i="3"/>
  <c r="J200" i="3"/>
  <c r="K200" i="3"/>
  <c r="J189" i="3"/>
  <c r="K189" i="3"/>
  <c r="K67" i="2"/>
  <c r="J67" i="2"/>
  <c r="J70" i="2"/>
  <c r="K70" i="2"/>
  <c r="J113" i="18" l="1"/>
  <c r="K28" i="17"/>
  <c r="K142" i="17"/>
  <c r="K101" i="17"/>
  <c r="K10" i="17"/>
  <c r="K103" i="17"/>
  <c r="Y156" i="18"/>
  <c r="Y151" i="18"/>
  <c r="Y126" i="18"/>
  <c r="Y88" i="18"/>
  <c r="Y75" i="18"/>
  <c r="Y144" i="18"/>
  <c r="Y113" i="18"/>
  <c r="Y83" i="18"/>
  <c r="Y10" i="18"/>
  <c r="J87" i="18"/>
  <c r="J70" i="19"/>
  <c r="J10" i="19"/>
  <c r="J125" i="19"/>
  <c r="K140" i="42"/>
  <c r="K139" i="42"/>
  <c r="J111" i="18"/>
  <c r="J70" i="18"/>
  <c r="J37" i="18"/>
  <c r="J75" i="18"/>
  <c r="J27" i="18"/>
  <c r="W19" i="17"/>
  <c r="W17" i="17"/>
  <c r="W15" i="17"/>
  <c r="W13" i="17"/>
  <c r="K90" i="17"/>
  <c r="K95" i="17"/>
  <c r="K67" i="17"/>
  <c r="Y154" i="18"/>
  <c r="Y141" i="18"/>
  <c r="Y107" i="18"/>
  <c r="Y72" i="18"/>
  <c r="Y29" i="18"/>
  <c r="Y125" i="18"/>
  <c r="Y82" i="18"/>
  <c r="Y56" i="18"/>
  <c r="Y13" i="18"/>
  <c r="Y137" i="18"/>
  <c r="Y59" i="18"/>
  <c r="Y121" i="18"/>
  <c r="Y79" i="18"/>
  <c r="Y97" i="18"/>
  <c r="Y96" i="18"/>
  <c r="Y43" i="18"/>
  <c r="Y15" i="18"/>
  <c r="J18" i="19"/>
  <c r="J48" i="19"/>
  <c r="K143" i="42"/>
  <c r="K141" i="42"/>
  <c r="K142" i="42"/>
  <c r="K137" i="43"/>
  <c r="K145" i="43"/>
  <c r="W15" i="16"/>
  <c r="W14" i="16"/>
  <c r="J124" i="18"/>
  <c r="J68" i="18"/>
  <c r="J33" i="18"/>
  <c r="J38" i="18"/>
  <c r="J102" i="18"/>
  <c r="J149" i="18"/>
  <c r="J10" i="18"/>
  <c r="J93" i="18"/>
  <c r="J89" i="18"/>
  <c r="J53" i="18"/>
  <c r="J58" i="18"/>
  <c r="J42" i="18"/>
  <c r="W20" i="17"/>
  <c r="W18" i="17"/>
  <c r="K94" i="17"/>
  <c r="K31" i="17"/>
  <c r="K115" i="17"/>
  <c r="K19" i="17"/>
  <c r="K53" i="17"/>
  <c r="K154" i="17"/>
  <c r="K20" i="17"/>
  <c r="K85" i="17"/>
  <c r="K98" i="17"/>
  <c r="K132" i="17"/>
  <c r="K39" i="17"/>
  <c r="K42" i="17"/>
  <c r="K160" i="17"/>
  <c r="K48" i="17"/>
  <c r="K18" i="17"/>
  <c r="K74" i="17"/>
  <c r="K16" i="17"/>
  <c r="K56" i="17"/>
  <c r="K40" i="17"/>
  <c r="K75" i="17"/>
  <c r="K57" i="17"/>
  <c r="K100" i="17"/>
  <c r="K43" i="17"/>
  <c r="K102" i="17"/>
  <c r="K143" i="17"/>
  <c r="K34" i="17"/>
  <c r="K27" i="17"/>
  <c r="K60" i="17"/>
  <c r="K68" i="17"/>
  <c r="K86" i="17"/>
  <c r="K11" i="17"/>
  <c r="K82" i="17"/>
  <c r="K30" i="17"/>
  <c r="K144" i="17"/>
  <c r="K138" i="17"/>
  <c r="K151" i="17"/>
  <c r="K59" i="17"/>
  <c r="K14" i="17"/>
  <c r="K109" i="17"/>
  <c r="K25" i="17"/>
  <c r="K61" i="17"/>
  <c r="K66" i="17"/>
  <c r="K72" i="17"/>
  <c r="K126" i="17"/>
  <c r="K69" i="17"/>
  <c r="Y28" i="18"/>
  <c r="Y14" i="18"/>
  <c r="Y58" i="18"/>
  <c r="Y37" i="18"/>
  <c r="Y11" i="18"/>
  <c r="Y44" i="18"/>
  <c r="Y25" i="18"/>
  <c r="Y17" i="18"/>
  <c r="Y31" i="18"/>
  <c r="Y66" i="18"/>
  <c r="Y93" i="18"/>
  <c r="Y87" i="18"/>
  <c r="Y109" i="18"/>
  <c r="Y71" i="18"/>
  <c r="Y114" i="18"/>
  <c r="Y24" i="18"/>
  <c r="J46" i="18"/>
  <c r="Y140" i="18"/>
  <c r="K110" i="17"/>
  <c r="J17" i="18"/>
  <c r="J111" i="19"/>
  <c r="J12" i="19"/>
  <c r="J127" i="18"/>
  <c r="K29" i="17"/>
  <c r="K118" i="17"/>
  <c r="K141" i="17"/>
  <c r="Y149" i="18"/>
  <c r="Y152" i="18"/>
  <c r="Y46" i="18"/>
  <c r="Y73" i="18"/>
  <c r="Y155" i="18"/>
  <c r="Y128" i="18"/>
  <c r="Y85" i="18"/>
  <c r="Y51" i="18"/>
  <c r="Y123" i="18"/>
  <c r="Y54" i="18"/>
  <c r="Y135" i="18"/>
  <c r="Y130" i="18"/>
  <c r="Y27" i="18"/>
  <c r="Y26" i="18"/>
  <c r="Y112" i="18"/>
  <c r="J47" i="19"/>
  <c r="J154" i="19"/>
  <c r="J33" i="19"/>
  <c r="L87" i="33"/>
  <c r="K142" i="43"/>
  <c r="W10" i="16"/>
  <c r="J44" i="18"/>
  <c r="J115" i="18"/>
  <c r="J32" i="18"/>
  <c r="J11" i="18"/>
  <c r="J140" i="18"/>
  <c r="W13" i="16"/>
  <c r="K46" i="17"/>
  <c r="K159" i="17"/>
  <c r="K112" i="17"/>
  <c r="K84" i="17"/>
  <c r="K45" i="17"/>
  <c r="K47" i="17"/>
  <c r="K137" i="17"/>
  <c r="Y39" i="18"/>
  <c r="Y153" i="18"/>
  <c r="Y68" i="18"/>
  <c r="Y143" i="18"/>
  <c r="Y86" i="18"/>
  <c r="Y129" i="18"/>
  <c r="Y23" i="18"/>
  <c r="Y67" i="18"/>
  <c r="J97" i="18"/>
  <c r="K143" i="43"/>
  <c r="K138" i="43"/>
  <c r="W18" i="16"/>
  <c r="W16" i="17"/>
  <c r="K136" i="17"/>
  <c r="K73" i="17"/>
  <c r="K15" i="17"/>
  <c r="K150" i="17"/>
  <c r="Y150" i="18"/>
  <c r="Y81" i="18"/>
  <c r="Y65" i="18"/>
  <c r="Y111" i="18"/>
  <c r="Y42" i="18"/>
  <c r="Y110" i="18"/>
  <c r="Y41" i="18"/>
  <c r="Y84" i="18"/>
  <c r="Y127" i="18"/>
  <c r="Y117" i="18"/>
  <c r="Y61" i="18"/>
  <c r="J16" i="18"/>
  <c r="K127" i="17"/>
  <c r="Y103" i="18"/>
  <c r="J68" i="19"/>
  <c r="J145" i="19"/>
  <c r="J25" i="19"/>
  <c r="J61" i="19"/>
  <c r="J34" i="19"/>
  <c r="J16" i="19"/>
  <c r="J27" i="19"/>
  <c r="J39" i="19"/>
  <c r="J81" i="19"/>
  <c r="J142" i="19"/>
  <c r="J100" i="19"/>
  <c r="J152" i="19"/>
  <c r="J99" i="19"/>
  <c r="J74" i="19"/>
  <c r="J13" i="19"/>
  <c r="J46" i="19"/>
  <c r="J43" i="19"/>
  <c r="J141" i="19"/>
  <c r="J102" i="19"/>
  <c r="L109" i="33"/>
  <c r="K137" i="42"/>
  <c r="K141" i="43"/>
  <c r="K140" i="43"/>
  <c r="W16" i="16"/>
  <c r="W11" i="16"/>
  <c r="J18" i="18"/>
  <c r="J24" i="18"/>
  <c r="J28" i="18"/>
  <c r="K17" i="17"/>
  <c r="K125" i="17"/>
  <c r="K62" i="17"/>
  <c r="K128" i="17"/>
  <c r="K129" i="17"/>
  <c r="K41" i="17"/>
  <c r="K24" i="17"/>
  <c r="Y38" i="18"/>
  <c r="Y142" i="18"/>
  <c r="Y99" i="18"/>
  <c r="Y30" i="18"/>
  <c r="Y102" i="18"/>
  <c r="Y131" i="18"/>
  <c r="Y138" i="18"/>
  <c r="Y159" i="18"/>
  <c r="Y19" i="18"/>
  <c r="Y60" i="18"/>
  <c r="Y16" i="18"/>
  <c r="Y101" i="18"/>
  <c r="Y74" i="18"/>
  <c r="K155" i="17"/>
  <c r="K145" i="42"/>
  <c r="K144" i="43"/>
  <c r="K69" i="2"/>
  <c r="J69" i="2"/>
  <c r="K71" i="2"/>
  <c r="J71" i="2"/>
  <c r="L71" i="2"/>
  <c r="L68" i="2"/>
  <c r="J68" i="2"/>
  <c r="K68" i="2"/>
  <c r="K187" i="3"/>
  <c r="J187" i="3"/>
  <c r="K198" i="3"/>
  <c r="J198" i="3"/>
  <c r="K202" i="3"/>
  <c r="J202" i="3"/>
  <c r="K191" i="3"/>
  <c r="J191" i="3"/>
  <c r="K195" i="3"/>
  <c r="J195" i="3"/>
  <c r="K206" i="3"/>
  <c r="J206" i="3"/>
  <c r="K199" i="3"/>
  <c r="J199" i="3"/>
  <c r="K188" i="3"/>
  <c r="J188" i="3"/>
  <c r="K203" i="3"/>
  <c r="J203" i="3"/>
  <c r="J192" i="3"/>
  <c r="K192" i="3"/>
  <c r="K207" i="3"/>
  <c r="J207" i="3"/>
  <c r="K196" i="3"/>
  <c r="J196" i="3"/>
  <c r="K44" i="2"/>
  <c r="J44" i="2"/>
  <c r="K45" i="2"/>
  <c r="J45" i="2"/>
  <c r="K42" i="2"/>
  <c r="J42" i="2"/>
  <c r="K46" i="2"/>
  <c r="J46" i="2"/>
  <c r="J43" i="2"/>
  <c r="K43" i="2"/>
  <c r="K124" i="3"/>
  <c r="J124" i="3"/>
  <c r="K113" i="3"/>
  <c r="J113" i="3"/>
  <c r="J114" i="3"/>
  <c r="K114" i="3"/>
  <c r="J125" i="3"/>
  <c r="K125" i="3"/>
  <c r="J126" i="3"/>
  <c r="K126" i="3"/>
  <c r="K115" i="3"/>
  <c r="J115" i="3"/>
  <c r="K127" i="3"/>
  <c r="J127" i="3"/>
  <c r="K116" i="3"/>
  <c r="J116" i="3"/>
  <c r="K128" i="3"/>
  <c r="J128" i="3"/>
  <c r="J117" i="3"/>
  <c r="K117" i="3"/>
  <c r="K118" i="3"/>
  <c r="J118" i="3"/>
  <c r="K129" i="3"/>
  <c r="J129" i="3"/>
  <c r="K119" i="3"/>
  <c r="J119" i="3"/>
  <c r="J130" i="3"/>
  <c r="K130" i="3"/>
  <c r="K120" i="3"/>
  <c r="J120" i="3"/>
  <c r="K131" i="3"/>
  <c r="J131" i="3"/>
  <c r="K132" i="3"/>
  <c r="J132" i="3"/>
  <c r="K121" i="3"/>
  <c r="J121" i="3"/>
  <c r="J133" i="3"/>
  <c r="K133" i="3"/>
  <c r="J122" i="3"/>
  <c r="K122" i="3"/>
  <c r="W20" i="13"/>
  <c r="V20" i="13"/>
  <c r="U20" i="13"/>
  <c r="W9" i="16"/>
  <c r="V9" i="16"/>
  <c r="U9" i="16"/>
  <c r="K132" i="13"/>
  <c r="J132" i="13"/>
  <c r="I132" i="13"/>
  <c r="T23" i="14"/>
  <c r="S23" i="14"/>
  <c r="I90" i="18"/>
  <c r="J90" i="18"/>
  <c r="J64" i="18"/>
  <c r="I64" i="18"/>
  <c r="J134" i="18"/>
  <c r="I134" i="18"/>
  <c r="I48" i="18"/>
  <c r="J48" i="18"/>
  <c r="J22" i="18"/>
  <c r="I22" i="18"/>
  <c r="J146" i="18"/>
  <c r="I146" i="18"/>
  <c r="J120" i="18"/>
  <c r="I120" i="18"/>
  <c r="J50" i="18"/>
  <c r="I50" i="18"/>
  <c r="J118" i="18"/>
  <c r="I118" i="18"/>
  <c r="I104" i="18"/>
  <c r="J104" i="18"/>
  <c r="J160" i="18"/>
  <c r="I160" i="18"/>
  <c r="J106" i="18"/>
  <c r="I106" i="18"/>
  <c r="J62" i="18"/>
  <c r="I62" i="18"/>
  <c r="J8" i="18"/>
  <c r="I8" i="18"/>
  <c r="I78" i="18"/>
  <c r="J78" i="18"/>
  <c r="I36" i="18"/>
  <c r="J36" i="18"/>
  <c r="J34" i="18"/>
  <c r="I34" i="18"/>
  <c r="J20" i="18"/>
  <c r="I20" i="18"/>
  <c r="J135" i="16"/>
  <c r="K135" i="16"/>
  <c r="I135" i="16"/>
  <c r="V9" i="17"/>
  <c r="W9" i="17"/>
  <c r="U9" i="17"/>
  <c r="V21" i="17"/>
  <c r="W21" i="17"/>
  <c r="U21" i="17"/>
  <c r="K51" i="17"/>
  <c r="J51" i="17"/>
  <c r="I51" i="17"/>
  <c r="I118" i="13"/>
  <c r="K118" i="13"/>
  <c r="J118" i="13"/>
  <c r="K133" i="16"/>
  <c r="J133" i="16"/>
  <c r="I133" i="16"/>
  <c r="I107" i="16"/>
  <c r="K107" i="16"/>
  <c r="J107" i="16"/>
  <c r="J149" i="16"/>
  <c r="I149" i="16"/>
  <c r="K149" i="16"/>
  <c r="I63" i="16"/>
  <c r="K63" i="16"/>
  <c r="J63" i="16"/>
  <c r="J37" i="16"/>
  <c r="I37" i="16"/>
  <c r="K37" i="16"/>
  <c r="I21" i="16"/>
  <c r="K21" i="16"/>
  <c r="J21" i="16"/>
  <c r="K119" i="16"/>
  <c r="J119" i="16"/>
  <c r="I119" i="16"/>
  <c r="I93" i="16"/>
  <c r="K93" i="16"/>
  <c r="J93" i="16"/>
  <c r="W21" i="16"/>
  <c r="V21" i="16"/>
  <c r="U21" i="16"/>
  <c r="I49" i="16"/>
  <c r="K49" i="16"/>
  <c r="J49" i="16"/>
  <c r="K51" i="16"/>
  <c r="J51" i="16"/>
  <c r="I51" i="16"/>
  <c r="K147" i="16"/>
  <c r="J147" i="16"/>
  <c r="I147" i="16"/>
  <c r="K105" i="17"/>
  <c r="J105" i="17"/>
  <c r="I105" i="17"/>
  <c r="I79" i="17"/>
  <c r="K79" i="17"/>
  <c r="J79" i="17"/>
  <c r="I147" i="17"/>
  <c r="K147" i="17"/>
  <c r="J147" i="17"/>
  <c r="J121" i="17"/>
  <c r="I121" i="17"/>
  <c r="K121" i="17"/>
  <c r="K119" i="17"/>
  <c r="J119" i="17"/>
  <c r="I119" i="17"/>
  <c r="J91" i="17"/>
  <c r="I91" i="17"/>
  <c r="K91" i="17"/>
  <c r="J63" i="17"/>
  <c r="I63" i="17"/>
  <c r="K63" i="17"/>
  <c r="I37" i="17"/>
  <c r="J37" i="17"/>
  <c r="K37" i="17"/>
  <c r="K21" i="17"/>
  <c r="J21" i="17"/>
  <c r="I21" i="17"/>
  <c r="K161" i="17"/>
  <c r="J161" i="17"/>
  <c r="I161" i="17"/>
  <c r="K133" i="17"/>
  <c r="J133" i="17"/>
  <c r="I133" i="17"/>
  <c r="K135" i="17"/>
  <c r="I135" i="17"/>
  <c r="J135" i="17"/>
  <c r="K107" i="17"/>
  <c r="I107" i="17"/>
  <c r="J107" i="17"/>
  <c r="J49" i="17"/>
  <c r="I49" i="17"/>
  <c r="K49" i="17"/>
  <c r="I23" i="17"/>
  <c r="K23" i="17"/>
  <c r="J23" i="17"/>
  <c r="K9" i="17"/>
  <c r="I9" i="17"/>
  <c r="J9" i="17"/>
  <c r="I149" i="17"/>
  <c r="K149" i="17"/>
  <c r="J149" i="17"/>
  <c r="X148" i="18"/>
  <c r="Y148" i="18"/>
  <c r="X160" i="18"/>
  <c r="Y160" i="18"/>
  <c r="Y132" i="18"/>
  <c r="X132" i="18"/>
  <c r="Y106" i="18"/>
  <c r="X106" i="18"/>
  <c r="Y20" i="18"/>
  <c r="X20" i="18"/>
  <c r="X90" i="18"/>
  <c r="Y90" i="18"/>
  <c r="Y64" i="18"/>
  <c r="X64" i="18"/>
  <c r="Y76" i="18"/>
  <c r="X76" i="18"/>
  <c r="Y50" i="18"/>
  <c r="X50" i="18"/>
  <c r="Y120" i="18"/>
  <c r="X120" i="18"/>
  <c r="Y118" i="18"/>
  <c r="X118" i="18"/>
  <c r="X78" i="18"/>
  <c r="Y78" i="18"/>
  <c r="X146" i="18"/>
  <c r="Y146" i="18"/>
  <c r="X62" i="18"/>
  <c r="Y62" i="18"/>
  <c r="X134" i="18"/>
  <c r="Y134" i="18"/>
  <c r="Y104" i="18"/>
  <c r="X104" i="18"/>
  <c r="X34" i="18"/>
  <c r="Y34" i="18"/>
  <c r="X22" i="18"/>
  <c r="Y22" i="18"/>
  <c r="Y8" i="18"/>
  <c r="X8" i="18"/>
  <c r="Y48" i="18"/>
  <c r="X48" i="18"/>
  <c r="K76" i="13"/>
  <c r="J76" i="13"/>
  <c r="I76" i="13"/>
  <c r="I161" i="16"/>
  <c r="K161" i="16"/>
  <c r="J161" i="16"/>
  <c r="R90" i="18"/>
  <c r="Q90" i="18"/>
  <c r="Q64" i="18"/>
  <c r="R64" i="18"/>
  <c r="Q134" i="18"/>
  <c r="R134" i="18"/>
  <c r="Q48" i="18"/>
  <c r="R48" i="18"/>
  <c r="R22" i="18"/>
  <c r="Q22" i="18"/>
  <c r="R146" i="18"/>
  <c r="Q146" i="18"/>
  <c r="R120" i="18"/>
  <c r="Q120" i="18"/>
  <c r="R106" i="18"/>
  <c r="Q106" i="18"/>
  <c r="R62" i="18"/>
  <c r="Q62" i="18"/>
  <c r="R160" i="18"/>
  <c r="Q160" i="18"/>
  <c r="R118" i="18"/>
  <c r="Q118" i="18"/>
  <c r="R148" i="18"/>
  <c r="Q148" i="18"/>
  <c r="J105" i="19"/>
  <c r="H105" i="19"/>
  <c r="H79" i="19"/>
  <c r="J79" i="19"/>
  <c r="H161" i="19"/>
  <c r="J161" i="19"/>
  <c r="H135" i="19"/>
  <c r="J135" i="19"/>
  <c r="E133" i="19"/>
  <c r="E107" i="19"/>
  <c r="E105" i="19"/>
  <c r="E121" i="19"/>
  <c r="E91" i="19"/>
  <c r="E21" i="19"/>
  <c r="E77" i="19"/>
  <c r="E147" i="19"/>
  <c r="E135" i="19"/>
  <c r="E93" i="19"/>
  <c r="E37" i="19"/>
  <c r="E65" i="19"/>
  <c r="E49" i="19"/>
  <c r="E51" i="19"/>
  <c r="E23" i="19"/>
  <c r="D7" i="19"/>
  <c r="E35" i="19"/>
  <c r="E161" i="19"/>
  <c r="E119" i="19"/>
  <c r="E149" i="19"/>
  <c r="E63" i="19"/>
  <c r="E79" i="19"/>
  <c r="E9" i="19"/>
  <c r="J149" i="19"/>
  <c r="H149" i="19"/>
  <c r="J107" i="19"/>
  <c r="H107" i="19"/>
  <c r="J147" i="19"/>
  <c r="H147" i="19"/>
  <c r="H93" i="19"/>
  <c r="J93" i="19"/>
  <c r="H77" i="19"/>
  <c r="J77" i="19"/>
  <c r="J51" i="19"/>
  <c r="H51" i="19"/>
  <c r="J49" i="19"/>
  <c r="H49" i="19"/>
  <c r="J23" i="19"/>
  <c r="H23" i="19"/>
  <c r="J37" i="19"/>
  <c r="H37" i="19"/>
  <c r="J65" i="19"/>
  <c r="H65" i="19"/>
  <c r="J63" i="19"/>
  <c r="H63" i="19"/>
  <c r="J119" i="19"/>
  <c r="H119" i="19"/>
  <c r="J9" i="19"/>
  <c r="H9" i="19"/>
  <c r="J121" i="19"/>
  <c r="H121" i="19"/>
  <c r="R50" i="18"/>
  <c r="Q50" i="18"/>
  <c r="R76" i="18"/>
  <c r="Q76" i="18"/>
  <c r="Q92" i="18"/>
  <c r="R92" i="18"/>
  <c r="R132" i="18"/>
  <c r="Q132" i="18"/>
  <c r="K161" i="19"/>
  <c r="Q161" i="19" s="1"/>
  <c r="K135" i="19"/>
  <c r="Q135" i="19" s="1"/>
  <c r="K133" i="19"/>
  <c r="Q133" i="19" s="1"/>
  <c r="K107" i="19"/>
  <c r="Q107" i="19" s="1"/>
  <c r="K105" i="19"/>
  <c r="K79" i="19"/>
  <c r="Q79" i="19" s="1"/>
  <c r="K37" i="19"/>
  <c r="Q37" i="19" s="1"/>
  <c r="K93" i="19"/>
  <c r="K77" i="19"/>
  <c r="Q77" i="19" s="1"/>
  <c r="K51" i="19"/>
  <c r="Q51" i="19" s="1"/>
  <c r="K49" i="19"/>
  <c r="Q49" i="19" s="1"/>
  <c r="K23" i="19"/>
  <c r="Q23" i="19" s="1"/>
  <c r="K121" i="19"/>
  <c r="Q121" i="19" s="1"/>
  <c r="K91" i="19"/>
  <c r="K65" i="19"/>
  <c r="Q65" i="19" s="1"/>
  <c r="K63" i="19"/>
  <c r="K35" i="19"/>
  <c r="Q35" i="19" s="1"/>
  <c r="K119" i="19"/>
  <c r="Q119" i="19" s="1"/>
  <c r="K21" i="19"/>
  <c r="Q21" i="19" s="1"/>
  <c r="K149" i="19"/>
  <c r="Q7" i="19"/>
  <c r="K147" i="19"/>
  <c r="K9" i="19"/>
  <c r="Q9" i="19" s="1"/>
  <c r="H91" i="19"/>
  <c r="J91" i="19"/>
  <c r="J133" i="19"/>
  <c r="H133" i="19"/>
  <c r="U147" i="19"/>
  <c r="U91" i="19"/>
  <c r="U63" i="19"/>
  <c r="U65" i="19"/>
  <c r="U21" i="19"/>
  <c r="U121" i="19"/>
  <c r="U37" i="19"/>
  <c r="U149" i="19"/>
  <c r="U119" i="19"/>
  <c r="T161" i="19"/>
  <c r="T149" i="19"/>
  <c r="T147" i="19"/>
  <c r="T135" i="19"/>
  <c r="T133" i="19"/>
  <c r="T121" i="19"/>
  <c r="T119" i="19"/>
  <c r="T107" i="19"/>
  <c r="T105" i="19"/>
  <c r="T93" i="19"/>
  <c r="T91" i="19"/>
  <c r="T79" i="19"/>
  <c r="T65" i="19"/>
  <c r="T37" i="19"/>
  <c r="T49" i="19"/>
  <c r="T23" i="19"/>
  <c r="T63" i="19"/>
  <c r="T77" i="19"/>
  <c r="S7" i="19"/>
  <c r="T35" i="19"/>
  <c r="T51" i="19"/>
  <c r="T9" i="19"/>
  <c r="T21" i="19"/>
  <c r="U93" i="19"/>
  <c r="U9" i="19"/>
  <c r="Z83" i="19" s="1"/>
  <c r="U35" i="19"/>
  <c r="U51" i="19"/>
  <c r="U77" i="19"/>
  <c r="U23" i="19"/>
  <c r="U49" i="19"/>
  <c r="U79" i="19"/>
  <c r="U105" i="19"/>
  <c r="U107" i="19"/>
  <c r="Z108" i="19"/>
  <c r="U133" i="19"/>
  <c r="U135" i="19"/>
  <c r="U161" i="19"/>
  <c r="X133" i="19"/>
  <c r="X107" i="19"/>
  <c r="X105" i="19"/>
  <c r="X119" i="19"/>
  <c r="X161" i="19"/>
  <c r="P119" i="19"/>
  <c r="R119" i="19"/>
  <c r="R93" i="19"/>
  <c r="P93" i="19"/>
  <c r="Q93" i="19"/>
  <c r="Q91" i="19"/>
  <c r="R91" i="19"/>
  <c r="P91" i="19"/>
  <c r="P149" i="19"/>
  <c r="R149" i="19"/>
  <c r="Q149" i="19"/>
  <c r="X21" i="19"/>
  <c r="X51" i="19"/>
  <c r="R63" i="19"/>
  <c r="P63" i="19"/>
  <c r="Q63" i="19"/>
  <c r="X77" i="19"/>
  <c r="P105" i="19"/>
  <c r="R105" i="19"/>
  <c r="Q105" i="19"/>
  <c r="Q147" i="19"/>
  <c r="R147" i="19"/>
  <c r="P147" i="19"/>
  <c r="X149" i="19"/>
  <c r="L133" i="22"/>
  <c r="J133" i="22"/>
  <c r="K133" i="22"/>
  <c r="L77" i="22"/>
  <c r="K77" i="22"/>
  <c r="J77" i="22"/>
  <c r="K119" i="22"/>
  <c r="L119" i="22"/>
  <c r="J119" i="22"/>
  <c r="K63" i="22"/>
  <c r="J63" i="22"/>
  <c r="L63" i="22"/>
  <c r="K161" i="22"/>
  <c r="L161" i="22"/>
  <c r="J161" i="22"/>
  <c r="K105" i="22"/>
  <c r="L105" i="22"/>
  <c r="J105" i="22"/>
  <c r="L91" i="22"/>
  <c r="K91" i="22"/>
  <c r="J91" i="22"/>
  <c r="L35" i="22"/>
  <c r="J35" i="22"/>
  <c r="K35" i="22"/>
  <c r="K49" i="22"/>
  <c r="J49" i="22"/>
  <c r="L49" i="22"/>
  <c r="K20" i="26"/>
  <c r="I20" i="26"/>
  <c r="J20" i="26"/>
  <c r="K62" i="26"/>
  <c r="I62" i="26"/>
  <c r="J62" i="26"/>
  <c r="K76" i="26"/>
  <c r="J76" i="26"/>
  <c r="I76" i="26"/>
  <c r="J48" i="26"/>
  <c r="I48" i="26"/>
  <c r="K48" i="26"/>
  <c r="K118" i="26"/>
  <c r="I118" i="26"/>
  <c r="J118" i="26"/>
  <c r="M132" i="28"/>
  <c r="L132" i="28"/>
  <c r="K132" i="28"/>
  <c r="J132" i="28"/>
  <c r="I132" i="28"/>
  <c r="M146" i="28"/>
  <c r="L146" i="28"/>
  <c r="K146" i="28"/>
  <c r="J146" i="28"/>
  <c r="I146" i="28"/>
  <c r="M34" i="28"/>
  <c r="J34" i="28"/>
  <c r="I34" i="28"/>
  <c r="L34" i="28"/>
  <c r="K34" i="28"/>
  <c r="I48" i="28"/>
  <c r="K48" i="28"/>
  <c r="J48" i="28"/>
  <c r="M48" i="28"/>
  <c r="L48" i="28"/>
  <c r="J62" i="28"/>
  <c r="I62" i="28"/>
  <c r="L62" i="28"/>
  <c r="K62" i="28"/>
  <c r="M62" i="28"/>
  <c r="I160" i="28"/>
  <c r="M160" i="28"/>
  <c r="L160" i="28"/>
  <c r="K160" i="28"/>
  <c r="J160" i="28"/>
  <c r="K76" i="28"/>
  <c r="J76" i="28"/>
  <c r="I76" i="28"/>
  <c r="M76" i="28"/>
  <c r="L76" i="28"/>
  <c r="M118" i="28"/>
  <c r="L118" i="28"/>
  <c r="K118" i="28"/>
  <c r="J118" i="28"/>
  <c r="I118" i="28"/>
  <c r="O146" i="42"/>
  <c r="L146" i="42"/>
  <c r="N146" i="42"/>
  <c r="M146" i="42"/>
  <c r="H146" i="42"/>
  <c r="K146" i="42" s="1"/>
  <c r="G146" i="42"/>
  <c r="I146" i="42"/>
  <c r="N16" i="41"/>
  <c r="L16" i="41"/>
  <c r="M16" i="41"/>
  <c r="T16" i="41"/>
  <c r="Q16" i="41"/>
  <c r="P16" i="41"/>
  <c r="R16" i="41"/>
  <c r="S16" i="41"/>
  <c r="J16" i="41"/>
  <c r="I16" i="41"/>
  <c r="H16" i="41"/>
  <c r="G146" i="43"/>
  <c r="I146" i="43"/>
  <c r="H146" i="43"/>
  <c r="K146" i="43" s="1"/>
  <c r="Z107" i="19" l="1"/>
  <c r="Z24" i="19"/>
  <c r="Z10" i="19"/>
  <c r="Z121" i="19"/>
  <c r="Z91" i="19"/>
  <c r="Z23" i="19"/>
  <c r="Z38" i="19"/>
  <c r="Z153" i="19"/>
  <c r="Z97" i="19"/>
  <c r="Z77" i="19"/>
  <c r="Z94" i="19"/>
  <c r="Z122" i="19"/>
  <c r="Z9" i="19"/>
  <c r="Z160" i="19"/>
  <c r="Z110" i="19"/>
  <c r="Z99" i="19"/>
  <c r="Z143" i="19"/>
  <c r="Z146" i="19"/>
  <c r="Z155" i="19"/>
  <c r="Z115" i="19"/>
  <c r="Z58" i="19"/>
  <c r="Z53" i="19"/>
  <c r="Z42" i="19"/>
  <c r="Z57" i="19"/>
  <c r="Z96" i="19"/>
  <c r="Z39" i="19"/>
  <c r="Z159" i="19"/>
  <c r="Z101" i="19"/>
  <c r="Z90" i="19"/>
  <c r="Z128" i="19"/>
  <c r="Z104" i="19"/>
  <c r="Z132" i="19"/>
  <c r="Z112" i="19"/>
  <c r="Z26" i="19"/>
  <c r="Z47" i="19"/>
  <c r="Z30" i="19"/>
  <c r="Z33" i="19"/>
  <c r="Z54" i="19"/>
  <c r="Z25" i="19"/>
  <c r="Z158" i="19"/>
  <c r="Z84" i="19"/>
  <c r="Z82" i="19"/>
  <c r="Z113" i="19"/>
  <c r="Z89" i="19"/>
  <c r="Z109" i="19"/>
  <c r="Z61" i="19"/>
  <c r="Z14" i="19"/>
  <c r="Z29" i="19"/>
  <c r="Z12" i="19"/>
  <c r="Z141" i="19"/>
  <c r="Z117" i="19"/>
  <c r="Z31" i="19"/>
  <c r="Z157" i="19"/>
  <c r="Z75" i="19"/>
  <c r="Z140" i="19"/>
  <c r="Z98" i="19"/>
  <c r="Z73" i="19"/>
  <c r="Z45" i="19"/>
  <c r="Z46" i="19"/>
  <c r="Z145" i="19"/>
  <c r="Z17" i="19"/>
  <c r="Z130" i="19"/>
  <c r="Z67" i="19"/>
  <c r="Z81" i="19"/>
  <c r="Z20" i="19"/>
  <c r="Z156" i="19"/>
  <c r="Z131" i="19"/>
  <c r="Z86" i="19"/>
  <c r="Z60" i="19"/>
  <c r="Z28" i="19"/>
  <c r="Z34" i="19"/>
  <c r="Z103" i="19"/>
  <c r="Z137" i="19"/>
  <c r="Z129" i="19"/>
  <c r="Z48" i="19"/>
  <c r="Z59" i="19"/>
  <c r="Z72" i="19"/>
  <c r="Z144" i="19"/>
  <c r="Z151" i="19"/>
  <c r="Z123" i="19"/>
  <c r="Z76" i="19"/>
  <c r="Z56" i="19"/>
  <c r="Z19" i="19"/>
  <c r="Z154" i="19"/>
  <c r="Z102" i="19"/>
  <c r="Z95" i="19"/>
  <c r="Z126" i="19"/>
  <c r="Z43" i="19"/>
  <c r="Z16" i="19"/>
  <c r="Z127" i="19"/>
  <c r="Z142" i="19"/>
  <c r="Z114" i="19"/>
  <c r="Z32" i="19"/>
  <c r="Z44" i="19"/>
  <c r="Z11" i="19"/>
  <c r="Z152" i="19"/>
  <c r="Z100" i="19"/>
  <c r="Z68" i="19"/>
  <c r="Z87" i="19"/>
  <c r="Z138" i="19"/>
  <c r="Z40" i="19"/>
  <c r="Z118" i="19"/>
  <c r="Z116" i="19"/>
  <c r="Z88" i="19"/>
  <c r="Z15" i="19"/>
  <c r="Z18" i="19"/>
  <c r="Z74" i="19"/>
  <c r="Z71" i="19"/>
  <c r="Z62" i="19"/>
  <c r="Z85" i="19"/>
  <c r="Z124" i="19"/>
  <c r="Z70" i="19"/>
  <c r="Z161" i="19"/>
  <c r="Z105" i="19"/>
  <c r="Z69" i="19"/>
  <c r="Z93" i="19"/>
  <c r="Z111" i="19"/>
  <c r="Z21" i="19"/>
  <c r="Z147" i="19"/>
  <c r="Z135" i="19"/>
  <c r="Z80" i="19"/>
  <c r="Z51" i="19"/>
  <c r="Z119" i="19"/>
  <c r="Z13" i="19"/>
  <c r="Z139" i="19"/>
  <c r="Z55" i="19"/>
  <c r="Z136" i="19"/>
  <c r="Z79" i="19"/>
  <c r="Z52" i="19"/>
  <c r="Z149" i="19"/>
  <c r="Z65" i="19"/>
  <c r="Z125" i="19"/>
  <c r="Z49" i="19"/>
  <c r="Z35" i="19"/>
  <c r="Z150" i="19"/>
  <c r="Z66" i="19"/>
  <c r="Z133" i="19"/>
  <c r="Z41" i="19"/>
  <c r="Z27" i="19"/>
  <c r="Z37" i="19"/>
  <c r="Z63" i="19"/>
  <c r="S149" i="19"/>
  <c r="Y149" i="19" s="1"/>
  <c r="S147" i="19"/>
  <c r="Y147" i="19" s="1"/>
  <c r="S121" i="19"/>
  <c r="Y121" i="19" s="1"/>
  <c r="S119" i="19"/>
  <c r="Y119" i="19" s="1"/>
  <c r="S93" i="19"/>
  <c r="Y93" i="19" s="1"/>
  <c r="S133" i="19"/>
  <c r="Y133" i="19" s="1"/>
  <c r="S91" i="19"/>
  <c r="Y91" i="19" s="1"/>
  <c r="S79" i="19"/>
  <c r="Y79" i="19" s="1"/>
  <c r="S65" i="19"/>
  <c r="Y65" i="19" s="1"/>
  <c r="S37" i="19"/>
  <c r="Y37" i="19" s="1"/>
  <c r="S21" i="19"/>
  <c r="Y21" i="19" s="1"/>
  <c r="S161" i="19"/>
  <c r="Y161" i="19" s="1"/>
  <c r="S107" i="19"/>
  <c r="Y107" i="19" s="1"/>
  <c r="S77" i="19"/>
  <c r="Y77" i="19" s="1"/>
  <c r="S49" i="19"/>
  <c r="Y49" i="19" s="1"/>
  <c r="S135" i="19"/>
  <c r="Y135" i="19" s="1"/>
  <c r="S63" i="19"/>
  <c r="Y63" i="19" s="1"/>
  <c r="S23" i="19"/>
  <c r="Y23" i="19" s="1"/>
  <c r="S35" i="19"/>
  <c r="Y35" i="19" s="1"/>
  <c r="S9" i="19"/>
  <c r="Y9" i="19" s="1"/>
  <c r="Y7" i="19"/>
  <c r="S105" i="19"/>
  <c r="Y105" i="19" s="1"/>
  <c r="S51" i="19"/>
  <c r="Y51" i="19" s="1"/>
  <c r="D161" i="19"/>
  <c r="D149" i="19"/>
  <c r="D147" i="19"/>
  <c r="D135" i="19"/>
  <c r="D133" i="19"/>
  <c r="D121" i="19"/>
  <c r="D119" i="19"/>
  <c r="D107" i="19"/>
  <c r="D105" i="19"/>
  <c r="D93" i="19"/>
  <c r="D91" i="19"/>
  <c r="D79" i="19"/>
  <c r="D63" i="19"/>
  <c r="D35" i="19"/>
  <c r="D9" i="19"/>
  <c r="D21" i="19"/>
  <c r="D65" i="19"/>
  <c r="D77" i="19"/>
  <c r="D37" i="19"/>
  <c r="D51" i="19"/>
  <c r="D23" i="19"/>
  <c r="C7" i="19"/>
  <c r="I7" i="19" s="1"/>
  <c r="D49" i="19"/>
  <c r="C147" i="19" l="1"/>
  <c r="I147" i="19" s="1"/>
  <c r="C121" i="19"/>
  <c r="I121" i="19" s="1"/>
  <c r="C119" i="19"/>
  <c r="I119" i="19" s="1"/>
  <c r="C93" i="19"/>
  <c r="I93" i="19" s="1"/>
  <c r="C91" i="19"/>
  <c r="I91" i="19" s="1"/>
  <c r="C49" i="19"/>
  <c r="I49" i="19" s="1"/>
  <c r="C23" i="19"/>
  <c r="I23" i="19" s="1"/>
  <c r="C133" i="19"/>
  <c r="I133" i="19" s="1"/>
  <c r="C63" i="19"/>
  <c r="I63" i="19" s="1"/>
  <c r="C35" i="19"/>
  <c r="I35" i="19" s="1"/>
  <c r="C9" i="19"/>
  <c r="I9" i="19" s="1"/>
  <c r="C161" i="19"/>
  <c r="I161" i="19" s="1"/>
  <c r="C79" i="19"/>
  <c r="I79" i="19" s="1"/>
  <c r="C21" i="19"/>
  <c r="I21" i="19" s="1"/>
  <c r="C105" i="19"/>
  <c r="I105" i="19" s="1"/>
  <c r="C135" i="19"/>
  <c r="I135" i="19" s="1"/>
  <c r="C77" i="19"/>
  <c r="I77" i="19" s="1"/>
  <c r="C149" i="19"/>
  <c r="I149" i="19" s="1"/>
  <c r="C107" i="19"/>
  <c r="I107" i="19" s="1"/>
  <c r="C37" i="19"/>
  <c r="I37" i="19" s="1"/>
  <c r="C65" i="19"/>
  <c r="I65" i="19" s="1"/>
  <c r="C51" i="19"/>
  <c r="I51" i="19" s="1"/>
</calcChain>
</file>

<file path=xl/sharedStrings.xml><?xml version="1.0" encoding="utf-8"?>
<sst xmlns="http://schemas.openxmlformats.org/spreadsheetml/2006/main" count="5039" uniqueCount="325">
  <si>
    <t>Total</t>
  </si>
  <si>
    <t>Estadísticas indicadores alojativos</t>
  </si>
  <si>
    <t>Comparativa Canarias e islas</t>
  </si>
  <si>
    <t>Resumen indicadores municipios Tenerife</t>
  </si>
  <si>
    <t>Oferta alojativa en funcionamiento</t>
  </si>
  <si>
    <t>Plazas alojativas Tenerife y municipios</t>
  </si>
  <si>
    <t>Establecimientos alojativos Tenerife y municipios</t>
  </si>
  <si>
    <t>Indicadores alojativos hotel + apartamento</t>
  </si>
  <si>
    <t>Viajeros entrados</t>
  </si>
  <si>
    <t>Viajeros peninsulares entrados en los hoteles y apartamentos de Tenerife por municipio de alojamiento - acumulado</t>
  </si>
  <si>
    <t xml:space="preserve">Viajeros entrados en los establecimientos alojativos de Tenerife por municipio y categoría </t>
  </si>
  <si>
    <t>Viajeros entrados en los establecimientos alojativos de Tenerife según lugar de residencia y municipio de alojamiento - año</t>
  </si>
  <si>
    <t>Viajeros entrados en los establecimientos alojativos de Tenerife según lugar de residencia y municipio de alojamiento - mes</t>
  </si>
  <si>
    <t>Viajeros entrados en los establecimientos alojativos de Tenerife según lugar de residencia y municipio de alojamiento - acumulado</t>
  </si>
  <si>
    <t>Viajeros entrados en los hoteles de Tenerife según lugar de residencia y municipio de alojamiento - acumulado</t>
  </si>
  <si>
    <t>Viajeros entrados en los apartamentos de Tenerife según lugar de residencia y municipio de alojamiento - acumulado</t>
  </si>
  <si>
    <t>Viajeros entrados en los establecimientos hoteleros de Tenerife según lugar de residencia, categoría y municipio del alojamiento - acumulado</t>
  </si>
  <si>
    <t>Viajeros entrados en los establecimientos hoteleros de Tenerife según lugar de residencia, categoría y municipio del alojamiento - año</t>
  </si>
  <si>
    <t>Viajeros alojados</t>
  </si>
  <si>
    <t>Viajeros alojados en los establecimientos alojativos de Tenerife según lugar de residencia y municipio de alojamiento - mes</t>
  </si>
  <si>
    <t>Viajeros alojados en los establecimientos alojativos de Tenerife según lugar de residencia y municipio de alojamiento - acumulado</t>
  </si>
  <si>
    <t>Pernoctaciones</t>
  </si>
  <si>
    <t>Estancia media</t>
  </si>
  <si>
    <t>Tasa de ocupación</t>
  </si>
  <si>
    <t>indicadores rentabilidad</t>
  </si>
  <si>
    <t xml:space="preserve">Indicadores de rentabilidad:Tarifa media diaria (ADR); ingresos por habitación disponible (RevPAR); ingresos totales en los establecimientos alojativos Tenerife por municipio  (hotel + apartamento) </t>
  </si>
  <si>
    <t>Viajeros españoles entrados en hoteles y apartamentos</t>
  </si>
  <si>
    <t>Viajeros españoles entrados en los hoteles y apartamentos de Tenerife por municipio de alojamiento</t>
  </si>
  <si>
    <t>Viajeros peninsulares entrados en los hoteles y apartamentos de Tenerife por municipio de alojamiento</t>
  </si>
  <si>
    <t>Viajeros canarios entrados en los hoteles y apartamentos de Tenerife por municipio de alojamiento</t>
  </si>
  <si>
    <t>total</t>
  </si>
  <si>
    <t>hoteleros</t>
  </si>
  <si>
    <t>apartamentos</t>
  </si>
  <si>
    <t>Viajeros alojados*</t>
  </si>
  <si>
    <t>Ocupación por plaza</t>
  </si>
  <si>
    <t>Plazas estimadas en el mes</t>
  </si>
  <si>
    <t>*dato publicado ISTAC
FUENTE: Encuestas Alojamientos Turísticos (ISTAC). ELABORACIÓN: Turismo de Tenerife.</t>
  </si>
  <si>
    <t>Plazas estimadas
promedio</t>
  </si>
  <si>
    <t>*dato calculado viajeros alodos periodo=viajeros alojados en enero + SUM(viajeros entrados febrero hasta mes actual)
FUENTE: Encuestas Alojamientos Turísticos (ISTAC). ELABORACIÓN: Turismo de Tenerife.</t>
  </si>
  <si>
    <t>Plazas estimadas
Promedio anual</t>
  </si>
  <si>
    <t>Nota: el ISTAC solo oferce información de desagregada de los municipios que figuran en las tablas. 
Para cualquier consulta contactar con ISTAC a través del correo consultas.istac@gobiernodecanarias.org</t>
  </si>
  <si>
    <t>Resumen de indicadores turísticos municipios turísticos de Tenerife</t>
  </si>
  <si>
    <t>INDICADORES TURÍSTICOS</t>
  </si>
  <si>
    <t>Tenerife</t>
  </si>
  <si>
    <t>Adeje</t>
  </si>
  <si>
    <t>Arona</t>
  </si>
  <si>
    <t>Granadilla de Abona</t>
  </si>
  <si>
    <t>Guía de Isora</t>
  </si>
  <si>
    <t>Puerto de la Cruz</t>
  </si>
  <si>
    <t>San Cristóbal de La Laguna</t>
  </si>
  <si>
    <t>San Miguel de Abona</t>
  </si>
  <si>
    <t>Santa Cruz de Tenerife</t>
  </si>
  <si>
    <t>Santiago del Teide</t>
  </si>
  <si>
    <t>Resto de Tenerife</t>
  </si>
  <si>
    <t>Plazas estimadas del mes</t>
  </si>
  <si>
    <t>FUENTE: Encuestas Alojamientos Turísticos (ISTAC). ELABORACIÓN: Turismo de Tenerife.</t>
  </si>
  <si>
    <t>Resumen de indicadores turísticos Canarias e islas</t>
  </si>
  <si>
    <t>Plazas estimadas
promedio anual</t>
  </si>
  <si>
    <t>Promedio anual de plazas en funcionamiento</t>
  </si>
  <si>
    <t>plazas en funcionamiento en el mes</t>
  </si>
  <si>
    <t>Hotel</t>
  </si>
  <si>
    <t>4, 5 Estrellas</t>
  </si>
  <si>
    <t>1, 2, 3 Estrellas</t>
  </si>
  <si>
    <t>Apartamento</t>
  </si>
  <si>
    <t>Promedio anual de establecimientos en funcionamiento</t>
  </si>
  <si>
    <t>establecimientos en funcionamiento en el mes</t>
  </si>
  <si>
    <t>año 2020: 1.627.003 (-68,0%)</t>
  </si>
  <si>
    <t>acumulado diciembre 2021: 2.384.391 (46,6%)</t>
  </si>
  <si>
    <t>Total lugares de residencia</t>
  </si>
  <si>
    <t>dato</t>
  </si>
  <si>
    <t>ene</t>
  </si>
  <si>
    <t>Enero</t>
  </si>
  <si>
    <t>feb</t>
  </si>
  <si>
    <t>Febrero</t>
  </si>
  <si>
    <t>mar</t>
  </si>
  <si>
    <t>Marzo</t>
  </si>
  <si>
    <t>abr</t>
  </si>
  <si>
    <t>Abril</t>
  </si>
  <si>
    <t>may</t>
  </si>
  <si>
    <t>Mayo</t>
  </si>
  <si>
    <t>jun</t>
  </si>
  <si>
    <t>Junio</t>
  </si>
  <si>
    <t>jul</t>
  </si>
  <si>
    <t>Julio</t>
  </si>
  <si>
    <t>ago</t>
  </si>
  <si>
    <t>Agosto</t>
  </si>
  <si>
    <t>sep</t>
  </si>
  <si>
    <t>Septiembre</t>
  </si>
  <si>
    <t>oct</t>
  </si>
  <si>
    <t>Octubre</t>
  </si>
  <si>
    <t>nov</t>
  </si>
  <si>
    <t>Noviembre</t>
  </si>
  <si>
    <t>dic</t>
  </si>
  <si>
    <t>Diciembre</t>
  </si>
  <si>
    <t>año 2020: 491.164 (-58,4%)</t>
  </si>
  <si>
    <t>acumulado diciembre 2021: 846.190 (72,3%)</t>
  </si>
  <si>
    <t>España</t>
  </si>
  <si>
    <t>Total residentes en España</t>
  </si>
  <si>
    <t>año 2020: 256.364 (-61,2%)</t>
  </si>
  <si>
    <t>acumulado diciembre 2021: 401.165 (56,5%)</t>
  </si>
  <si>
    <t>Península</t>
  </si>
  <si>
    <t>año 2020: 234.800 (-54,8%)</t>
  </si>
  <si>
    <t>acumulado diciembre 2021: 445.025 (89,5%)</t>
  </si>
  <si>
    <t>Canarias</t>
  </si>
  <si>
    <t>año 2020: 1.135.839 (-70,9%)</t>
  </si>
  <si>
    <t>acumulado diciembre 2021: 1.538.201 (35,4%)</t>
  </si>
  <si>
    <t>Mundo (excluida España)</t>
  </si>
  <si>
    <t>Total residentes en el extranjero</t>
  </si>
  <si>
    <t>año 2020: 443.259 (-75,1%)</t>
  </si>
  <si>
    <t>acumulado diciembre 2021: 443.278 (0,0%)</t>
  </si>
  <si>
    <t>Reino Unido</t>
  </si>
  <si>
    <t>año 2020: 140.489 (-72,1%)</t>
  </si>
  <si>
    <t>acumulado diciembre 2021: 218.298 (55,4%)</t>
  </si>
  <si>
    <t>Alemania</t>
  </si>
  <si>
    <t>año 2020: 60.127 (-65,0%)</t>
  </si>
  <si>
    <t>acumulado diciembre 2021: 133.006 (121,2%)</t>
  </si>
  <si>
    <t>Francia</t>
  </si>
  <si>
    <t>año 2020: 55.839 (-58,8%)</t>
  </si>
  <si>
    <t>acumulado diciembre 2021: 93.108 (66,7%)</t>
  </si>
  <si>
    <t>Bélgica</t>
  </si>
  <si>
    <t>junio</t>
  </si>
  <si>
    <t>año 2020: 40.096 (-72,1%)</t>
  </si>
  <si>
    <t>acumulado diciembre 2021: 93.513 (133,2%)</t>
  </si>
  <si>
    <t>Países Bajos</t>
  </si>
  <si>
    <t>año 2020: 36.855 (-72,9%)</t>
  </si>
  <si>
    <t>acumulado diciembre 2021: 74.437 (102,0%)</t>
  </si>
  <si>
    <t>año 2020: 27.669 (-76,0%)</t>
  </si>
  <si>
    <t>acumulado diciembre 2021: 42.846 (54,9%)</t>
  </si>
  <si>
    <t>Dinamarca</t>
  </si>
  <si>
    <t>año 2020: 12.033 (-72,1%)</t>
  </si>
  <si>
    <t>acumulado diciembre 2021: 30.544 (153,8%)</t>
  </si>
  <si>
    <t>Suecia</t>
  </si>
  <si>
    <t>Total categorías</t>
  </si>
  <si>
    <t>var 16/15</t>
  </si>
  <si>
    <t>var 17/16</t>
  </si>
  <si>
    <t>var 18/17</t>
  </si>
  <si>
    <t>var 22/21</t>
  </si>
  <si>
    <t>hoteles</t>
  </si>
  <si>
    <t>viajeros entrados</t>
  </si>
  <si>
    <t>var interanual</t>
  </si>
  <si>
    <t>4, 5 estrellas</t>
  </si>
  <si>
    <t>Evolución de viajeros entrados en los hoteles de 4 estrellas de Tenerife</t>
  </si>
  <si>
    <t>1, 2, 3 estrellas</t>
  </si>
  <si>
    <t>Viajeros entrados en los establecimientos alojativos de Tenerife por municipio y categoría 
(hotel + apartamento)</t>
  </si>
  <si>
    <t>Holanda</t>
  </si>
  <si>
    <t>Otros países</t>
  </si>
  <si>
    <t>Mundo (Excluida España)</t>
  </si>
  <si>
    <t>año 2020: 165.282 (-66,0%)</t>
  </si>
  <si>
    <t>acumulado diciembre 2021: 310.940 (88,1%)</t>
  </si>
  <si>
    <t>4 y 5 estrellas</t>
  </si>
  <si>
    <t>año 2020: 0 (-39,9%)</t>
  </si>
  <si>
    <t>acumulado diciembre 2021: 1 (57,7%)</t>
  </si>
  <si>
    <t>Total establecimientos alojativos (hotel + apartamento)</t>
  </si>
  <si>
    <t>año 2020: 0 (-39,0%)</t>
  </si>
  <si>
    <t>acumulado diciembre 2021: 1 (13,3%)</t>
  </si>
  <si>
    <t>año 2020: 0 (-36,7%)</t>
  </si>
  <si>
    <t>acumulado diciembre 2021: 1 (20,6%)</t>
  </si>
  <si>
    <t>año 2020: 0 (-39,4%)</t>
  </si>
  <si>
    <t>acumulado diciembre 2021: 1 (13,1%)</t>
  </si>
  <si>
    <t>año 2020: 0 (-42,1%)</t>
  </si>
  <si>
    <t>acumulado diciembre 2021: 0 (-6,1%)</t>
  </si>
  <si>
    <t>i</t>
  </si>
  <si>
    <t xml:space="preserve">Tarifa media diaria ADR por habitación en los establecimientos alojativos Tenerife por municipio  (hotel + apartamento) </t>
  </si>
  <si>
    <t>Ingresos por habitación disponible (RevPAR) en los establecimientos alojativos de Tenerife por municipio  (hotel + apartamento)</t>
  </si>
  <si>
    <t>Ingresos totales en los establecimientos alojativos de Tenerife por municipio  (hotel + apartamento)</t>
  </si>
  <si>
    <t>El ADR o Tarifa Media Diaria son los ingresos medios diarios obtenidos por habitación-apartamento ocupado. Los ingresos hacen referencia a aquellos percibidos por los hoteleros por la prestación del servicio de alojamiento, sin incluir otro tipo de servicios que sí pueda ofrecer el establecimiento.</t>
  </si>
  <si>
    <t>El RevPar o Ingreso por Habitación-Apartamento Disponible son los ingresos medios diarios obtenidos por habitación-apartamento disponible. Los ingresos hacen referencia a aquellos percibidos por los hoteleros por la prestación del servicio de alojamiento, sin incluir otro tipo de servicios que sí pueda ofrecer el establecimiento.</t>
  </si>
  <si>
    <t>Los Ingresos totales son el producto del ADR por las habitaciones ocupadas</t>
  </si>
  <si>
    <t>Los datos del acumulado están calculados como la división entre el aumulado de los ingresos y el acumulados de las habitaciones ocupadas</t>
  </si>
  <si>
    <t>Los datos del acumulado están calculados como la división entre el aumulado de los ingresos y el acumulados de las habitaciones disponibles</t>
  </si>
  <si>
    <t xml:space="preserve">Tarifa media diaria ADR por habitación en los establecimientos alojativos Canarias e islas  (hotel + apartamento) </t>
  </si>
  <si>
    <t>Ingresos por habitación disponible (RevPAR) en los establecimientos alojativos Canarias e islas  (hotel + apartamento)</t>
  </si>
  <si>
    <t>Ingresos totales en los establecimientos alojativos Canarias e islas  (hotel + apartamento)</t>
  </si>
  <si>
    <t>Total Turistas</t>
  </si>
  <si>
    <t>Total España</t>
  </si>
  <si>
    <t>Total 
categorías</t>
  </si>
  <si>
    <t>Alojados 
hoteleros</t>
  </si>
  <si>
    <t>5*</t>
  </si>
  <si>
    <t>Residentes en Tenerife</t>
  </si>
  <si>
    <t>4*</t>
  </si>
  <si>
    <t>Residentes resto de Canarias</t>
  </si>
  <si>
    <t>3*</t>
  </si>
  <si>
    <t>1*</t>
  </si>
  <si>
    <t>FUENTE: Desarrollo Económico, Cabildo Insular de Tenerife. ELABORACIÓN: Turismo de Tenerife.</t>
  </si>
  <si>
    <t>Alojados 
extrahoteleros</t>
  </si>
  <si>
    <t>Turismo español alojado en Tenerife por lugar de residencia</t>
  </si>
  <si>
    <t>%/s total España</t>
  </si>
  <si>
    <t>%/ total turistas</t>
  </si>
  <si>
    <t>Var. Interanual</t>
  </si>
  <si>
    <t>diferencia</t>
  </si>
  <si>
    <t>Distribución de viajeros peninsulares entrados en hoteles y apartamentos de Tenerife por lugar categoría del alojamiento</t>
  </si>
  <si>
    <t>Total viajeros españoles</t>
  </si>
  <si>
    <t>Hoteles</t>
  </si>
  <si>
    <t>Apartamentos</t>
  </si>
  <si>
    <t>,</t>
  </si>
  <si>
    <t>Viajeros españoles entrados en los hoteles y apartamentos de Tenerife por tipología y categoría de alojamiento</t>
  </si>
  <si>
    <t xml:space="preserve">Observación: en 2022 no se publica desagregación por categorías
FUENTE: Desarrollo Económico, Cabildo Insular de Tenerife. ELABORACIÓN: Turismo de Tenerife. </t>
  </si>
  <si>
    <t>Total viajeros peninsulares</t>
  </si>
  <si>
    <t>Viajeros peninsulares entrados en los hoteles y apartamentos de Tenerife por tipología y categoría de alojamiento</t>
  </si>
  <si>
    <t>Total viajeros canarios</t>
  </si>
  <si>
    <t>Viajeros canarios entrados en los hoteles y apartamentos de Tenerife por tipología y categoría de alojamiento</t>
  </si>
  <si>
    <t>Distribución de viajeros españoles entrados en hoteles y apartamentos de Tenerife por municipio de alojamiento</t>
  </si>
  <si>
    <t>Total Tenerife</t>
  </si>
  <si>
    <t>Resto de municipios de Tenerife</t>
  </si>
  <si>
    <t>Distribución de viajeros peninsulares entrados en hoteles y apartamentos de Tenerife por municipio de alojamiento</t>
  </si>
  <si>
    <t>Distribución de viajeros canarios entrados en hoteles y apartamentos de Tenerife por municipio de alojamiento</t>
  </si>
  <si>
    <t>Españoles</t>
  </si>
  <si>
    <t>peninsulares</t>
  </si>
  <si>
    <t>Canarios</t>
  </si>
  <si>
    <t>Acumulado enero 2025</t>
  </si>
  <si>
    <t>Resumen indicadores Puerto de la Cruz</t>
  </si>
  <si>
    <t>Evolución mensual de viajeros entrados en Puerto de la Cruz según lugar de residencia</t>
  </si>
  <si>
    <t>Evolución mensual de viajeros entrados en Puerto de la Cruz según categoría del establecimiento</t>
  </si>
  <si>
    <t>Evolución anual de viajeros entrados en Puerto de la Cruz según categoría del establecimiento</t>
  </si>
  <si>
    <t>Evolución mensual de pernoctaciones en Puerto de la Cruz según lugar de residencia</t>
  </si>
  <si>
    <t>Evolución mensual de pernoctaciones en Puerto de la Cruz según categoría del establecimiento</t>
  </si>
  <si>
    <t>Evolución mensual de estancia media en Puerto de la Cruz según lugar de residencia</t>
  </si>
  <si>
    <t>Evolución mensual de estancia media en Puerto de la Cruz según categoría del establecimiento</t>
  </si>
  <si>
    <t>Evolución mensual de tasa de ocupación en Puerto de la Cruz según categoría del establecimiento</t>
  </si>
  <si>
    <t>Viajeros españoles entrados en los hoteles y apartamentos de Puerto de la Cruz según lugar de residencia - acumulado</t>
  </si>
  <si>
    <t>Viajeros españoles entrados en los hoteles y apartamentos de Puerto de la Cruz por tipología y categoría de alojamiento - acumulado</t>
  </si>
  <si>
    <t>Viajeros peninsulares entrados en los hoteles y apartamentos de Puerto de la Cruz por tipología y categoría de alojamiento - acumulado</t>
  </si>
  <si>
    <t>Viajeros canarios entrados en los hoteles y apartamentos de Puerto de la Cruz por tipología y categoría de alojamiento - acumulado</t>
  </si>
  <si>
    <t>Resumen de indicadores turísticos de Tenerife-Puerto de la Cruz</t>
  </si>
  <si>
    <t>enero 2021</t>
  </si>
  <si>
    <t>enero 2022</t>
  </si>
  <si>
    <t>enero 2023</t>
  </si>
  <si>
    <t>enero 2024</t>
  </si>
  <si>
    <t>enero 2025</t>
  </si>
  <si>
    <t>acumulado a enero 2021</t>
  </si>
  <si>
    <t>acumulado a enero 2022</t>
  </si>
  <si>
    <t>acumulado a enero 2023</t>
  </si>
  <si>
    <t>acumulado a enero 2024</t>
  </si>
  <si>
    <t>acumulado a enero 2025</t>
  </si>
  <si>
    <t>Viajeros  entrados en los establecimientos alojativos de Puerto de la Cruz 
(hotel + apartamento)</t>
  </si>
  <si>
    <t>-</t>
  </si>
  <si>
    <t>Viajeros españoles entrados en los establecimientos alojativos de Puerto de la Cruz 
(hotel + apartamento)</t>
  </si>
  <si>
    <t>Viajeros peninsulares entrados en los establecimientos alojativos de Puerto de la Cruz 
(hotel + apartamento)</t>
  </si>
  <si>
    <t>Viajeros canarios entrados en los establecimientos alojativos de Puerto de la Cruz 
(hotel + apartamento)</t>
  </si>
  <si>
    <t>Viajeros extranjeros entrados en los establecimientos alojativos de Puerto de la Cruz 
(hotel + apartamento)</t>
  </si>
  <si>
    <t>Viajeros británicos entrados en los establecimientos alojativos de Puerto de la Cruz 
(hotel + apartamento)</t>
  </si>
  <si>
    <t>Viajeros alemanes entrados en los establecimientos alojativos de Puerto de la Cruz 
(hotel + apartamento)</t>
  </si>
  <si>
    <t>Viajeros franceses entrados en los establecimientos alojativos de Puerto de la Cruz 
(hotel + apartamento)</t>
  </si>
  <si>
    <t>Viajeros belgas entrados en los establecimientos alojativos de Puerto de la Cruz 
(hotel + apartamento)</t>
  </si>
  <si>
    <t>Viajeros holandeses entrados en los establecimientos alojativos de Puerto de la Cruz 
(hotel + apartamento)</t>
  </si>
  <si>
    <t>Viajeros daneses entrados en los establecimientos alojativos de Puerto de la Cruz 
(hotel + apartamento)</t>
  </si>
  <si>
    <t>Viajeros suecos entrados en los establecimientos alojativos de Puerto de la Cruz 
(hotel + apartamento)</t>
  </si>
  <si>
    <t>var 23/22</t>
  </si>
  <si>
    <t>var 24/23</t>
  </si>
  <si>
    <t>Viajeros entrados en los establecimientos alojativos de Puerto de la Cruz 
(hotel + apartamento)</t>
  </si>
  <si>
    <t>Viajeros entrados en los hoteles de Puerto de la Cruz</t>
  </si>
  <si>
    <t>Viajeros entrados en los hoteles de 4, 5 estrellas Puerto de la Cruz</t>
  </si>
  <si>
    <t>Viajeros entrados en los hoteles de 1, 2, 3 estrellas Puerto de la Cruz</t>
  </si>
  <si>
    <t>Viajeros entrados en los apartamentos de Puerto de la Cruz</t>
  </si>
  <si>
    <t>Evolución de viajeros entrados en los establecimientos alojativos de Puerto de la Cruz 
(hotel + apartamento)</t>
  </si>
  <si>
    <t>Evolución de viajeros entrados en los hoteles de Puerto de la Cruz</t>
  </si>
  <si>
    <t>Evolución de viajeros entrados en los hoteles de 4, 5 estrellas de Puerto de la Cruz</t>
  </si>
  <si>
    <t>Evolución de viajeros entrados en los apartamentos de Puerto de la Cruz</t>
  </si>
  <si>
    <t>enero 2020</t>
  </si>
  <si>
    <t>Viajeros entrados en los establecimientos alojativos de Puerto de la Cruz según lugar de residencia (hotel + apartamento)</t>
  </si>
  <si>
    <t>acumulado enero 2020</t>
  </si>
  <si>
    <t>acumulado enero 2021</t>
  </si>
  <si>
    <t>acumulado enero 2022</t>
  </si>
  <si>
    <t>acumulado enero 2023</t>
  </si>
  <si>
    <t>acumulado enero 2024</t>
  </si>
  <si>
    <t>acumulado enero 2025</t>
  </si>
  <si>
    <t>Viajeros entrados en los hoteles de Puerto de la Cruz según lugar de residencia (hotel + apartamento)</t>
  </si>
  <si>
    <t>Viajeros entrados en los apartamentos de Puerto de la Cruz según lugar de residencia (hotel + apartamento)</t>
  </si>
  <si>
    <t>Viajeros alojados en los establecimientos alojativos de Puerto de la Cruz según lugar de residencia (hotel + apartamento)</t>
  </si>
  <si>
    <t>Pernoctaciones realizadas por los turistas en los establecimientos alojativos de Puerto de la Cruz (hotel + apartamento)</t>
  </si>
  <si>
    <t>Pernoctaciones realizadas por los turistas españoles en los establecimientos alojativos de Puerto de la Cruz (hotel + apartamento)</t>
  </si>
  <si>
    <t>var 25/24</t>
  </si>
  <si>
    <t>Pernoctaciones realizadas por los procedentes de Península en los establecimientos alojativos de Puerto de la Cruz (hotel + apartamento)</t>
  </si>
  <si>
    <t>Pernoctaciones realizadas por los procedentes de Canarias en los establecimientos alojativos de Puerto de la Cruz (hotel + apartamento)</t>
  </si>
  <si>
    <t>Pernoctaciones realizadas por los procedentes de Total residentes en el extranjero en los establecimientos alojativos de Puerto de la Cruz (hotel + apartamento)</t>
  </si>
  <si>
    <t>Pernoctaciones realizadas por los procedentes de Reino Unido en los establecimientos alojativos de Puerto de la Cruz (hotel + apartamento)</t>
  </si>
  <si>
    <t>Pernoctaciones realizadas por los procedentes de Alemania en los establecimientos alojativos de Puerto de la Cruz (hotel + apartamento)</t>
  </si>
  <si>
    <t>Pernoctaciones realizadas por los procedentes de Francia en los establecimientos alojativos de Puerto de la Cruz (hotel + apartamento)</t>
  </si>
  <si>
    <t>Pernoctaciones realizadas por los procedentes de Bélgica en los establecimientos alojativos de Puerto de la Cruz (hotel + apartamento)</t>
  </si>
  <si>
    <t>Pernoctaciones realizadas por los procedentes de Países Bajos en los establecimientos alojativos de Puerto de la Cruz (hotel + apartamento)</t>
  </si>
  <si>
    <t>Pernoctaciones realizadas por los procedentes de Dinamarca en los establecimientos alojativos de Puerto de la Cruz (hotel + apartamento)</t>
  </si>
  <si>
    <t>Pernoctaciones realizadas por los procedentes de Suecia en los establecimientos alojativos de Puerto de la Cruz (hotel + apartamento)</t>
  </si>
  <si>
    <t>Pernoctaciones realizadas por los turistas en los hoteles de Puerto de la Cruz</t>
  </si>
  <si>
    <t>Pernoctaciones realizadas por los turistas en los hoteles de 4 y 5 estrellas de Puerto de la Cruz</t>
  </si>
  <si>
    <t>Pernoctaciones realizadas por los turistas en los hoteles de 1, 2, 3 estrellas de Puerto de la Cruz</t>
  </si>
  <si>
    <t>Pernoctaciones realizadas por los turistas en los apartamentos de Puerto de la Cruz</t>
  </si>
  <si>
    <t>Estancia Media en los establecimientos alojativos de Puerto de la Cruz
(hotel + apartamento)</t>
  </si>
  <si>
    <t>Estancia media de los viajeros españoles entrados en los establecimientos alojativos de Puerto de la Cruz (hotel + apartamento)</t>
  </si>
  <si>
    <t>Estancia media de los viajeros peninsulares entrados en los establecimientos alojativos de Puerto de la Cruz (hotel + apartamento)</t>
  </si>
  <si>
    <t>Estancia media de los viajeros canarios entrados en los establecimientos alojativos de Puerto de la Cruz (hotel + apartamento)</t>
  </si>
  <si>
    <t>Estancia media de los viajeros extranjeros entrados en los establecimientos alojativos de Puerto de la Cruz (hotel + apartamento)</t>
  </si>
  <si>
    <t>Estancia media de los viajeros británicos entrados en los establecimientos alojativos de Puerto de la Cruz (hotel + apartamento)</t>
  </si>
  <si>
    <t>Estancia media de los viajeros alemanes entrados en los establecimientos alojativos de Puerto de la Cruz (hotel + apartamento)</t>
  </si>
  <si>
    <t>Estancia media de los viajeros franceses entrados en los establecimientos alojativos de Puerto de la Cruz (hotel + apartamento)</t>
  </si>
  <si>
    <t>Estancia media de los viajeros belgas entrados en los establecimientos alojativos de Puerto de la Cruz (hotel + apartamento)</t>
  </si>
  <si>
    <t>Estancia media de los viajeros holandeses entrados en los establecimientos alojativos de Puerto de la Cruz (hotel + apartamento)</t>
  </si>
  <si>
    <t>Estancia media de los viajeros daneses entrados en los establecimientos alojativos de Puerto de la Cruz (hotel + apartamento)</t>
  </si>
  <si>
    <t>Estancia media de los viajeros suecos entrados en los establecimientos alojativos de Puerto de la Cruz (hotel + apartamento)</t>
  </si>
  <si>
    <t>Estancia Media en los hoteles de Puerto de la Cruz</t>
  </si>
  <si>
    <t>Estancia Media en los hoteles de 4, 5 estrellas de Puerto de la Cruz</t>
  </si>
  <si>
    <t>Estancia Media en los hoteles de 1, 2, 3 Estrellas de Puerto de la Cruz</t>
  </si>
  <si>
    <t>Estancia Media en los apartamentos de Puerto de la Cruz</t>
  </si>
  <si>
    <t>Tasa de ocupación por plaza en los establecimientos alojativos de Puerto de la Cruz
(hotel + apartamento)</t>
  </si>
  <si>
    <t>Tasa de ocupación por plaza en los hoteles de Puerto de la Cruz</t>
  </si>
  <si>
    <t>Tasa de ocupación por plaza en los hoteles de 4, 5 Estrellas de Puerto de la Cruz</t>
  </si>
  <si>
    <t>Tasa de ocupación por plaza en los hoteles de 1, 2, 3 Estrellas de Puerto de la Cruz</t>
  </si>
  <si>
    <t>Tasa de ocupación por plaza en los apartamentos de Puerto de la Cruz</t>
  </si>
  <si>
    <t>Distribución de viajeros españoles entrados en hoteles y apartamentos de Puerto de la Cruz  por lugar de residencia</t>
  </si>
  <si>
    <t>Viajeros españoles entrados en los hoteles y apartamentos de Puerto de la Cruz según lugar de residencia</t>
  </si>
  <si>
    <t>Viajeros españoles entrados en los hoteles y apartamentos de Puerto de la Cruz por tipología y categoría de alojamiento</t>
  </si>
  <si>
    <t>Viajeros peninsulares entrados en los hoteles y apartamentos de Puerto de la Cruz por tipología y categoría de alojamiento</t>
  </si>
  <si>
    <t>Viajeros canarios entrados en los hoteles y apartamentos de Puerto de la Cruz por tipología y categoría de alojamiento</t>
  </si>
  <si>
    <t>Evolución de viajeros españoles entrados en los establecimientos alojativos de Puerto de la Cruz
(hotel + apartamento)</t>
  </si>
  <si>
    <t>Evolución de viajeros peninsulares entrados en los establecimientos alojativos de Puerto de la Cruz
(hotel + apartamento)</t>
  </si>
  <si>
    <t>Evolución de viajeros canarios entrados en los establecimientos alojativos de Puerto de la Cruz
(hotel + apartamento)</t>
  </si>
  <si>
    <t>nd</t>
  </si>
  <si>
    <t xml:space="preserve"> enero 2020</t>
  </si>
  <si>
    <t xml:space="preserve"> enero 2021</t>
  </si>
  <si>
    <t xml:space="preserve"> enero 2022</t>
  </si>
  <si>
    <t xml:space="preserve"> enero 2023</t>
  </si>
  <si>
    <t xml:space="preserve"> enero 2024</t>
  </si>
  <si>
    <t xml:space="preserve"> enero 2025</t>
  </si>
  <si>
    <t xml:space="preserve"> enero 2019</t>
  </si>
  <si>
    <t>dif 21/20</t>
  </si>
  <si>
    <t>var 21/20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</si>
</sst>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164" formatCode="0.0%"/>
    <numFmt numFmtId="165" formatCode="#,##0.0\ &quot;€&quot;"/>
    <numFmt numFmtId="166" formatCode="#,##0\ &quot;€&quot;"/>
  </numFmts>
  <fonts count="29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1"/>
      <color theme="0"/>
      <name val="Aptos Narrow"/>
      <family val="2"/>
      <scheme val="minor"/>
    </font>
    <font>
      <b/>
      <sz val="28"/>
      <color theme="1" tint="0.34998626667073579"/>
      <name val="Aptos Narrow"/>
      <family val="2"/>
      <scheme val="minor"/>
    </font>
    <font>
      <b/>
      <sz val="18"/>
      <color theme="1" tint="0.34998626667073579"/>
      <name val="Aptos Narrow"/>
      <family val="2"/>
      <scheme val="minor"/>
    </font>
    <font>
      <sz val="11"/>
      <color theme="1" tint="0.34998626667073579"/>
      <name val="Aptos Narrow"/>
      <family val="2"/>
      <scheme val="minor"/>
    </font>
    <font>
      <b/>
      <sz val="16"/>
      <color theme="1" tint="0.34998626667073579"/>
      <name val="Aptos Narrow"/>
      <family val="2"/>
      <scheme val="minor"/>
    </font>
    <font>
      <u/>
      <sz val="11"/>
      <color theme="10"/>
      <name val="Aptos Narrow"/>
      <family val="2"/>
      <scheme val="minor"/>
    </font>
    <font>
      <sz val="12"/>
      <color theme="1" tint="0.34998626667073579"/>
      <name val="Aptos Narrow"/>
      <family val="2"/>
      <scheme val="minor"/>
    </font>
    <font>
      <b/>
      <sz val="14"/>
      <color theme="9"/>
      <name val="Aptos Narrow"/>
      <family val="2"/>
      <scheme val="minor"/>
    </font>
    <font>
      <sz val="16"/>
      <color theme="1" tint="0.34998626667073579"/>
      <name val="Aptos Narrow"/>
      <family val="2"/>
      <scheme val="minor"/>
    </font>
    <font>
      <sz val="9"/>
      <color theme="1" tint="0.34998626667073579"/>
      <name val="Aptos Narrow"/>
      <family val="2"/>
      <scheme val="minor"/>
    </font>
    <font>
      <sz val="11"/>
      <color rgb="FFFF0000"/>
      <name val="Aptos Narrow"/>
      <family val="2"/>
      <scheme val="minor"/>
    </font>
    <font>
      <sz val="11"/>
      <color theme="1" tint="0.249977111117893"/>
      <name val="Aptos Narrow"/>
      <family val="2"/>
      <scheme val="minor"/>
    </font>
    <font>
      <sz val="10"/>
      <color theme="1"/>
      <name val="Aptos Narrow"/>
      <family val="2"/>
      <scheme val="minor"/>
    </font>
    <font>
      <b/>
      <sz val="11"/>
      <color theme="1" tint="0.34998626667073579"/>
      <name val="Aptos Narrow"/>
      <family val="2"/>
      <scheme val="minor"/>
    </font>
    <font>
      <sz val="10"/>
      <color theme="1" tint="0.34998626667073579"/>
      <name val="Aptos Narrow"/>
      <family val="2"/>
      <scheme val="minor"/>
    </font>
    <font>
      <b/>
      <sz val="11"/>
      <color theme="9"/>
      <name val="Aptos Narrow"/>
      <family val="2"/>
      <scheme val="minor"/>
    </font>
    <font>
      <sz val="11"/>
      <color theme="9"/>
      <name val="Aptos Narrow"/>
      <family val="2"/>
      <scheme val="minor"/>
    </font>
    <font>
      <b/>
      <sz val="16"/>
      <color theme="0"/>
      <name val="Aptos Narrow"/>
      <family val="2"/>
      <scheme val="minor"/>
    </font>
    <font>
      <b/>
      <sz val="14"/>
      <color theme="1" tint="0.34998626667073579"/>
      <name val="Aptos Narrow"/>
      <family val="2"/>
      <scheme val="minor"/>
    </font>
    <font>
      <sz val="10"/>
      <name val="Arial"/>
      <family val="2"/>
    </font>
    <font>
      <b/>
      <sz val="12"/>
      <color theme="9"/>
      <name val="Aptos Narrow"/>
      <family val="2"/>
      <scheme val="minor"/>
    </font>
    <font>
      <sz val="18"/>
      <color rgb="FFFF0000"/>
      <name val="Aptos Narrow"/>
      <family val="2"/>
      <scheme val="minor"/>
    </font>
    <font>
      <sz val="12"/>
      <color theme="9"/>
      <name val="Aptos Narrow"/>
      <family val="2"/>
      <scheme val="minor"/>
    </font>
    <font>
      <sz val="18"/>
      <color theme="1" tint="0.34998626667073579"/>
      <name val="Aptos Narrow"/>
      <family val="2"/>
      <scheme val="minor"/>
    </font>
    <font>
      <sz val="14"/>
      <color rgb="FFFF0000"/>
      <name val="Aptos Narrow"/>
      <family val="2"/>
      <scheme val="minor"/>
    </font>
    <font>
      <b/>
      <sz val="12"/>
      <color rgb="FFFF0000"/>
      <name val="Aptos Narrow"/>
      <family val="2"/>
      <scheme val="minor"/>
    </font>
    <font>
      <b/>
      <sz val="11"/>
      <color theme="7" tint="-0.249977111117893"/>
      <name val="Aptos Narrow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</fills>
  <borders count="63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 style="medium">
        <color theme="0"/>
      </left>
      <right style="medium">
        <color theme="0"/>
      </right>
      <top/>
      <bottom style="thin">
        <color theme="9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/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/>
      <diagonal/>
    </border>
    <border>
      <left style="thin">
        <color theme="0" tint="-0.24994659260841701"/>
      </left>
      <right/>
      <top/>
      <bottom/>
      <diagonal/>
    </border>
    <border>
      <left style="thin">
        <color theme="0" tint="-0.24994659260841701"/>
      </left>
      <right/>
      <top/>
      <bottom style="thin">
        <color theme="0" tint="-0.24994659260841701"/>
      </bottom>
      <diagonal/>
    </border>
    <border>
      <left/>
      <right/>
      <top style="medium">
        <color theme="9"/>
      </top>
      <bottom/>
      <diagonal/>
    </border>
    <border>
      <left/>
      <right/>
      <top/>
      <bottom style="medium">
        <color theme="0"/>
      </bottom>
      <diagonal/>
    </border>
    <border>
      <left/>
      <right/>
      <top/>
      <bottom style="thin">
        <color theme="9" tint="-0.24994659260841701"/>
      </bottom>
      <diagonal/>
    </border>
    <border>
      <left style="thin">
        <color theme="0" tint="-0.14996795556505021"/>
      </left>
      <right style="medium">
        <color theme="0"/>
      </right>
      <top/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/>
      <right/>
      <top style="thin">
        <color theme="1" tint="0.499984740745262"/>
      </top>
      <bottom style="thin">
        <color theme="1" tint="0.499984740745262"/>
      </bottom>
      <diagonal/>
    </border>
    <border>
      <left/>
      <right/>
      <top style="thin">
        <color theme="3"/>
      </top>
      <bottom style="thin">
        <color theme="1" tint="0.499984740745262"/>
      </bottom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ck">
        <color theme="0" tint="-0.14981536301767021"/>
      </left>
      <right/>
      <top style="thick">
        <color theme="0" tint="-0.14981536301767021"/>
      </top>
      <bottom style="thick">
        <color theme="0" tint="-0.14981536301767021"/>
      </bottom>
      <diagonal/>
    </border>
    <border>
      <left/>
      <right/>
      <top style="thick">
        <color theme="0" tint="-0.14981536301767021"/>
      </top>
      <bottom style="thick">
        <color theme="0" tint="-0.14981536301767021"/>
      </bottom>
      <diagonal/>
    </border>
    <border>
      <left/>
      <right style="thin">
        <color theme="0" tint="-0.14993743705557422"/>
      </right>
      <top style="thick">
        <color theme="0" tint="-0.14981536301767021"/>
      </top>
      <bottom style="thick">
        <color theme="0" tint="-0.14981536301767021"/>
      </bottom>
      <diagonal/>
    </border>
    <border>
      <left style="thin">
        <color theme="0" tint="-0.14993743705557422"/>
      </left>
      <right/>
      <top style="thick">
        <color theme="0" tint="-0.14981536301767021"/>
      </top>
      <bottom style="thick">
        <color theme="0" tint="-0.14981536301767021"/>
      </bottom>
      <diagonal/>
    </border>
    <border>
      <left style="thick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/>
      <bottom style="medium">
        <color theme="0"/>
      </bottom>
      <diagonal/>
    </border>
    <border>
      <left style="thick">
        <color theme="0" tint="-0.14993743705557422"/>
      </left>
      <right style="medium">
        <color theme="0"/>
      </right>
      <top/>
      <bottom style="medium">
        <color theme="0"/>
      </bottom>
      <diagonal/>
    </border>
    <border>
      <left style="thick">
        <color theme="0" tint="-0.1498458815271462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ck">
        <color theme="0" tint="-0.1498458815271462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/>
      <right/>
      <top style="dashed">
        <color theme="0" tint="-0.24994659260841701"/>
      </top>
      <bottom/>
      <diagonal/>
    </border>
    <border>
      <left style="thin">
        <color theme="0" tint="-0.34998626667073579"/>
      </left>
      <right/>
      <top style="thin">
        <color theme="0" tint="-0.34998626667073579"/>
      </top>
      <bottom/>
      <diagonal/>
    </border>
    <border>
      <left/>
      <right/>
      <top style="thin">
        <color theme="0" tint="-0.34998626667073579"/>
      </top>
      <bottom/>
      <diagonal/>
    </border>
    <border>
      <left style="thin">
        <color theme="0" tint="-0.34998626667073579"/>
      </left>
      <right style="medium">
        <color theme="0"/>
      </right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theme="0"/>
      </left>
      <right style="medium">
        <color theme="0"/>
      </right>
      <top style="thin">
        <color theme="0" tint="-0.34998626667073579"/>
      </top>
      <bottom style="thin">
        <color theme="0" tint="-0.34998626667073579"/>
      </bottom>
      <diagonal/>
    </border>
    <border>
      <left style="dashed">
        <color theme="0" tint="-0.24994659260841701"/>
      </left>
      <right style="dashed">
        <color theme="0" tint="-0.24994659260841701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24994659260841701"/>
      </left>
      <right style="dashed">
        <color theme="0" tint="-0.24994659260841701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 style="dashed">
        <color theme="0" tint="-0.34998626667073579"/>
      </right>
      <top/>
      <bottom/>
      <diagonal/>
    </border>
    <border>
      <left style="dashed">
        <color theme="0" tint="-0.34998626667073579"/>
      </left>
      <right style="dashed">
        <color theme="0" tint="-0.34998626667073579"/>
      </right>
      <top/>
      <bottom/>
      <diagonal/>
    </border>
    <border>
      <left/>
      <right style="dashed">
        <color theme="0" tint="-0.34998626667073579"/>
      </right>
      <top/>
      <bottom style="thin">
        <color theme="0" tint="-0.34998626667073579"/>
      </bottom>
      <diagonal/>
    </border>
    <border>
      <left style="dashed">
        <color theme="0" tint="-0.34998626667073579"/>
      </left>
      <right style="dashed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24994659260841701"/>
      </bottom>
      <diagonal/>
    </border>
    <border>
      <left/>
      <right/>
      <top style="thin">
        <color theme="0" tint="-0.34998626667073579"/>
      </top>
      <bottom style="thin">
        <color theme="0" tint="-0.24994659260841701"/>
      </bottom>
      <diagonal/>
    </border>
    <border>
      <left style="thin">
        <color theme="0" tint="-0.24994659260841701"/>
      </left>
      <right style="dashed">
        <color theme="0" tint="-0.24994659260841701"/>
      </right>
      <top style="thin">
        <color theme="0" tint="-0.24994659260841701"/>
      </top>
      <bottom/>
      <diagonal/>
    </border>
    <border>
      <left style="dashed">
        <color theme="0" tint="-0.24994659260841701"/>
      </left>
      <right style="dashed">
        <color theme="0" tint="-0.24994659260841701"/>
      </right>
      <top style="thin">
        <color theme="0" tint="-0.24994659260841701"/>
      </top>
      <bottom/>
      <diagonal/>
    </border>
    <border>
      <left/>
      <right style="dashed">
        <color theme="0" tint="-0.34998626667073579"/>
      </right>
      <top style="thin">
        <color theme="0" tint="-0.34998626667073579"/>
      </top>
      <bottom/>
      <diagonal/>
    </border>
    <border>
      <left style="dashed">
        <color theme="0" tint="-0.34998626667073579"/>
      </left>
      <right style="dashed">
        <color theme="0" tint="-0.34998626667073579"/>
      </right>
      <top style="thin">
        <color theme="0" tint="-0.34998626667073579"/>
      </top>
      <bottom/>
      <diagonal/>
    </border>
    <border>
      <left style="thin">
        <color theme="0" tint="-0.24994659260841701"/>
      </left>
      <right style="medium">
        <color theme="0"/>
      </right>
      <top/>
      <bottom style="medium">
        <color theme="0"/>
      </bottom>
      <diagonal/>
    </border>
    <border>
      <left/>
      <right style="medium">
        <color theme="0"/>
      </right>
      <top/>
      <bottom/>
      <diagonal/>
    </border>
    <border>
      <left style="medium">
        <color theme="0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/>
      <right/>
      <top/>
      <bottom style="thin">
        <color theme="0" tint="-0.14993743705557422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14993743705557422"/>
      </top>
      <bottom/>
      <diagonal/>
    </border>
  </borders>
  <cellStyleXfs count="5">
    <xf numFmtId="0" fontId="0" fillId="0" borderId="0"/>
    <xf numFmtId="9" fontId="1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1" fillId="0" borderId="0"/>
    <xf numFmtId="1" fontId="21" fillId="0" borderId="0">
      <alignment vertical="center"/>
    </xf>
  </cellStyleXfs>
  <cellXfs count="307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0" xfId="0" applyFont="1"/>
    <xf numFmtId="0" fontId="6" fillId="0" borderId="1" xfId="0" applyFont="1" applyBorder="1"/>
    <xf numFmtId="0" fontId="8" fillId="0" borderId="0" xfId="2" applyFont="1" applyAlignment="1">
      <alignment horizontal="left" indent="3"/>
    </xf>
    <xf numFmtId="0" fontId="9" fillId="0" borderId="2" xfId="2" applyFont="1" applyFill="1" applyBorder="1" applyAlignment="1">
      <alignment horizontal="left" indent="1"/>
    </xf>
    <xf numFmtId="0" fontId="9" fillId="0" borderId="0" xfId="2" applyFont="1" applyFill="1" applyAlignment="1">
      <alignment horizontal="left" indent="1"/>
    </xf>
    <xf numFmtId="0" fontId="7" fillId="0" borderId="0" xfId="2" applyAlignment="1">
      <alignment horizontal="left" indent="3"/>
    </xf>
    <xf numFmtId="0" fontId="8" fillId="2" borderId="0" xfId="2" applyFont="1" applyFill="1" applyAlignment="1">
      <alignment horizontal="left" indent="3"/>
    </xf>
    <xf numFmtId="0" fontId="8" fillId="0" borderId="0" xfId="2" applyFont="1" applyAlignment="1">
      <alignment horizontal="left" wrapText="1" indent="3"/>
    </xf>
    <xf numFmtId="0" fontId="0" fillId="0" borderId="3" xfId="0" applyBorder="1"/>
    <xf numFmtId="17" fontId="5" fillId="3" borderId="4" xfId="0" applyNumberFormat="1" applyFont="1" applyFill="1" applyBorder="1" applyAlignment="1">
      <alignment horizontal="right" vertical="center" wrapText="1"/>
    </xf>
    <xf numFmtId="0" fontId="5" fillId="3" borderId="5" xfId="0" applyFont="1" applyFill="1" applyBorder="1" applyAlignment="1">
      <alignment horizontal="right" vertical="center" wrapText="1"/>
    </xf>
    <xf numFmtId="0" fontId="5" fillId="4" borderId="7" xfId="0" applyFont="1" applyFill="1" applyBorder="1"/>
    <xf numFmtId="3" fontId="5" fillId="4" borderId="7" xfId="0" applyNumberFormat="1" applyFont="1" applyFill="1" applyBorder="1"/>
    <xf numFmtId="164" fontId="5" fillId="4" borderId="7" xfId="1" applyNumberFormat="1" applyFont="1" applyFill="1" applyBorder="1" applyAlignment="1">
      <alignment horizontal="right"/>
    </xf>
    <xf numFmtId="164" fontId="5" fillId="4" borderId="7" xfId="1" applyNumberFormat="1" applyFont="1" applyFill="1" applyBorder="1"/>
    <xf numFmtId="0" fontId="5" fillId="4" borderId="0" xfId="0" applyFont="1" applyFill="1"/>
    <xf numFmtId="3" fontId="5" fillId="4" borderId="0" xfId="0" applyNumberFormat="1" applyFont="1" applyFill="1"/>
    <xf numFmtId="164" fontId="5" fillId="4" borderId="0" xfId="1" applyNumberFormat="1" applyFont="1" applyFill="1" applyAlignment="1">
      <alignment horizontal="right"/>
    </xf>
    <xf numFmtId="164" fontId="5" fillId="4" borderId="0" xfId="1" applyNumberFormat="1" applyFont="1" applyFill="1"/>
    <xf numFmtId="0" fontId="5" fillId="4" borderId="9" xfId="0" applyFont="1" applyFill="1" applyBorder="1"/>
    <xf numFmtId="3" fontId="5" fillId="4" borderId="9" xfId="0" applyNumberFormat="1" applyFont="1" applyFill="1" applyBorder="1" applyAlignment="1">
      <alignment horizontal="right"/>
    </xf>
    <xf numFmtId="164" fontId="5" fillId="4" borderId="9" xfId="1" applyNumberFormat="1" applyFont="1" applyFill="1" applyBorder="1" applyAlignment="1">
      <alignment horizontal="right"/>
    </xf>
    <xf numFmtId="0" fontId="5" fillId="0" borderId="7" xfId="0" applyFont="1" applyBorder="1"/>
    <xf numFmtId="3" fontId="5" fillId="0" borderId="7" xfId="0" applyNumberFormat="1" applyFont="1" applyBorder="1"/>
    <xf numFmtId="164" fontId="5" fillId="0" borderId="7" xfId="1" applyNumberFormat="1" applyFont="1" applyBorder="1" applyAlignment="1">
      <alignment horizontal="right"/>
    </xf>
    <xf numFmtId="3" fontId="5" fillId="0" borderId="0" xfId="0" applyNumberFormat="1" applyFont="1"/>
    <xf numFmtId="164" fontId="5" fillId="0" borderId="0" xfId="1" applyNumberFormat="1" applyFont="1" applyAlignment="1">
      <alignment horizontal="right"/>
    </xf>
    <xf numFmtId="164" fontId="5" fillId="0" borderId="0" xfId="1" applyNumberFormat="1" applyFont="1"/>
    <xf numFmtId="0" fontId="5" fillId="0" borderId="9" xfId="0" applyFont="1" applyBorder="1"/>
    <xf numFmtId="3" fontId="5" fillId="0" borderId="9" xfId="0" applyNumberFormat="1" applyFont="1" applyBorder="1" applyAlignment="1">
      <alignment horizontal="right"/>
    </xf>
    <xf numFmtId="164" fontId="5" fillId="0" borderId="9" xfId="1" applyNumberFormat="1" applyFont="1" applyBorder="1" applyAlignment="1">
      <alignment horizontal="right"/>
    </xf>
    <xf numFmtId="2" fontId="5" fillId="0" borderId="7" xfId="0" applyNumberFormat="1" applyFont="1" applyBorder="1"/>
    <xf numFmtId="164" fontId="5" fillId="0" borderId="7" xfId="1" applyNumberFormat="1" applyFont="1" applyFill="1" applyBorder="1" applyAlignment="1">
      <alignment horizontal="right"/>
    </xf>
    <xf numFmtId="4" fontId="5" fillId="0" borderId="7" xfId="0" applyNumberFormat="1" applyFont="1" applyBorder="1"/>
    <xf numFmtId="164" fontId="5" fillId="0" borderId="7" xfId="1" applyNumberFormat="1" applyFont="1" applyFill="1" applyBorder="1"/>
    <xf numFmtId="2" fontId="5" fillId="0" borderId="0" xfId="0" applyNumberFormat="1" applyFont="1"/>
    <xf numFmtId="164" fontId="5" fillId="0" borderId="0" xfId="1" applyNumberFormat="1" applyFont="1" applyFill="1" applyAlignment="1">
      <alignment horizontal="right"/>
    </xf>
    <xf numFmtId="4" fontId="5" fillId="0" borderId="0" xfId="0" applyNumberFormat="1" applyFont="1"/>
    <xf numFmtId="164" fontId="5" fillId="0" borderId="0" xfId="1" applyNumberFormat="1" applyFont="1" applyFill="1"/>
    <xf numFmtId="2" fontId="5" fillId="0" borderId="9" xfId="0" applyNumberFormat="1" applyFont="1" applyBorder="1" applyAlignment="1">
      <alignment horizontal="right"/>
    </xf>
    <xf numFmtId="4" fontId="5" fillId="4" borderId="7" xfId="0" applyNumberFormat="1" applyFont="1" applyFill="1" applyBorder="1"/>
    <xf numFmtId="4" fontId="5" fillId="4" borderId="0" xfId="0" applyNumberFormat="1" applyFont="1" applyFill="1"/>
    <xf numFmtId="164" fontId="5" fillId="4" borderId="9" xfId="1" applyNumberFormat="1" applyFont="1" applyFill="1" applyBorder="1"/>
    <xf numFmtId="0" fontId="0" fillId="0" borderId="11" xfId="0" applyBorder="1"/>
    <xf numFmtId="0" fontId="11" fillId="0" borderId="0" xfId="0" applyFont="1" applyAlignment="1">
      <alignment horizontal="left"/>
    </xf>
    <xf numFmtId="3" fontId="5" fillId="4" borderId="7" xfId="0" applyNumberFormat="1" applyFont="1" applyFill="1" applyBorder="1" applyAlignment="1">
      <alignment horizontal="right"/>
    </xf>
    <xf numFmtId="3" fontId="5" fillId="4" borderId="0" xfId="0" applyNumberFormat="1" applyFont="1" applyFill="1" applyAlignment="1">
      <alignment horizontal="right"/>
    </xf>
    <xf numFmtId="3" fontId="5" fillId="0" borderId="7" xfId="0" applyNumberFormat="1" applyFont="1" applyBorder="1" applyAlignment="1">
      <alignment horizontal="right"/>
    </xf>
    <xf numFmtId="3" fontId="5" fillId="0" borderId="0" xfId="0" applyNumberFormat="1" applyFont="1" applyAlignment="1">
      <alignment horizontal="right"/>
    </xf>
    <xf numFmtId="2" fontId="5" fillId="0" borderId="7" xfId="0" applyNumberFormat="1" applyFont="1" applyBorder="1" applyAlignment="1">
      <alignment horizontal="right"/>
    </xf>
    <xf numFmtId="2" fontId="5" fillId="0" borderId="0" xfId="0" applyNumberFormat="1" applyFont="1" applyAlignment="1">
      <alignment horizontal="right"/>
    </xf>
    <xf numFmtId="164" fontId="5" fillId="0" borderId="9" xfId="1" applyNumberFormat="1" applyFont="1" applyFill="1" applyBorder="1"/>
    <xf numFmtId="0" fontId="12" fillId="0" borderId="0" xfId="0" applyFont="1"/>
    <xf numFmtId="164" fontId="13" fillId="4" borderId="7" xfId="1" applyNumberFormat="1" applyFont="1" applyFill="1" applyBorder="1" applyAlignment="1">
      <alignment horizontal="right"/>
    </xf>
    <xf numFmtId="164" fontId="13" fillId="4" borderId="0" xfId="1" applyNumberFormat="1" applyFont="1" applyFill="1" applyAlignment="1">
      <alignment horizontal="right"/>
    </xf>
    <xf numFmtId="164" fontId="13" fillId="4" borderId="9" xfId="1" applyNumberFormat="1" applyFont="1" applyFill="1" applyBorder="1" applyAlignment="1">
      <alignment horizontal="right"/>
    </xf>
    <xf numFmtId="0" fontId="14" fillId="0" borderId="0" xfId="0" applyFont="1"/>
    <xf numFmtId="164" fontId="5" fillId="0" borderId="9" xfId="1" applyNumberFormat="1" applyFont="1" applyFill="1" applyBorder="1" applyAlignment="1">
      <alignment horizontal="right"/>
    </xf>
    <xf numFmtId="0" fontId="6" fillId="0" borderId="3" xfId="0" applyFont="1" applyBorder="1" applyAlignment="1">
      <alignment vertical="center" readingOrder="1"/>
    </xf>
    <xf numFmtId="0" fontId="15" fillId="2" borderId="7" xfId="0" applyFont="1" applyFill="1" applyBorder="1"/>
    <xf numFmtId="3" fontId="5" fillId="2" borderId="7" xfId="0" applyNumberFormat="1" applyFont="1" applyFill="1" applyBorder="1"/>
    <xf numFmtId="164" fontId="5" fillId="2" borderId="7" xfId="1" applyNumberFormat="1" applyFont="1" applyFill="1" applyBorder="1"/>
    <xf numFmtId="0" fontId="0" fillId="0" borderId="0" xfId="0" applyAlignment="1">
      <alignment horizontal="left"/>
    </xf>
    <xf numFmtId="164" fontId="5" fillId="4" borderId="0" xfId="1" applyNumberFormat="1" applyFont="1" applyFill="1" applyBorder="1" applyAlignment="1">
      <alignment horizontal="right"/>
    </xf>
    <xf numFmtId="164" fontId="5" fillId="4" borderId="0" xfId="1" applyNumberFormat="1" applyFont="1" applyFill="1" applyBorder="1"/>
    <xf numFmtId="3" fontId="5" fillId="4" borderId="9" xfId="0" applyNumberFormat="1" applyFont="1" applyFill="1" applyBorder="1"/>
    <xf numFmtId="164" fontId="5" fillId="0" borderId="0" xfId="1" applyNumberFormat="1" applyFont="1" applyBorder="1" applyAlignment="1">
      <alignment horizontal="right"/>
    </xf>
    <xf numFmtId="3" fontId="5" fillId="0" borderId="9" xfId="0" applyNumberFormat="1" applyFont="1" applyBorder="1"/>
    <xf numFmtId="164" fontId="5" fillId="0" borderId="9" xfId="1" applyNumberFormat="1" applyFont="1" applyBorder="1"/>
    <xf numFmtId="4" fontId="5" fillId="2" borderId="7" xfId="0" applyNumberFormat="1" applyFont="1" applyFill="1" applyBorder="1"/>
    <xf numFmtId="164" fontId="5" fillId="0" borderId="0" xfId="1" applyNumberFormat="1" applyFont="1" applyFill="1" applyBorder="1" applyAlignment="1">
      <alignment horizontal="right"/>
    </xf>
    <xf numFmtId="164" fontId="5" fillId="0" borderId="0" xfId="1" applyNumberFormat="1" applyFont="1" applyFill="1" applyBorder="1"/>
    <xf numFmtId="2" fontId="5" fillId="0" borderId="9" xfId="0" applyNumberFormat="1" applyFont="1" applyBorder="1"/>
    <xf numFmtId="4" fontId="5" fillId="0" borderId="9" xfId="0" applyNumberFormat="1" applyFont="1" applyBorder="1"/>
    <xf numFmtId="4" fontId="5" fillId="4" borderId="9" xfId="0" applyNumberFormat="1" applyFont="1" applyFill="1" applyBorder="1"/>
    <xf numFmtId="164" fontId="0" fillId="0" borderId="0" xfId="1" applyNumberFormat="1" applyFont="1"/>
    <xf numFmtId="164" fontId="5" fillId="0" borderId="7" xfId="1" applyNumberFormat="1" applyFont="1" applyBorder="1"/>
    <xf numFmtId="164" fontId="5" fillId="0" borderId="0" xfId="1" applyNumberFormat="1" applyFont="1" applyBorder="1"/>
    <xf numFmtId="0" fontId="6" fillId="0" borderId="3" xfId="3" applyFont="1" applyBorder="1" applyAlignment="1">
      <alignment vertical="center" readingOrder="1"/>
    </xf>
    <xf numFmtId="0" fontId="6" fillId="0" borderId="0" xfId="0" applyFont="1" applyAlignment="1">
      <alignment horizontal="left" vertical="center" wrapText="1" readingOrder="1"/>
    </xf>
    <xf numFmtId="0" fontId="6" fillId="0" borderId="15" xfId="0" applyFont="1" applyBorder="1" applyAlignment="1">
      <alignment horizontal="left" vertical="center" wrapText="1" readingOrder="1"/>
    </xf>
    <xf numFmtId="0" fontId="16" fillId="3" borderId="0" xfId="0" applyFont="1" applyFill="1" applyAlignment="1">
      <alignment horizontal="center" vertical="center" wrapText="1"/>
    </xf>
    <xf numFmtId="0" fontId="5" fillId="3" borderId="0" xfId="0" applyFont="1" applyFill="1" applyAlignment="1">
      <alignment horizontal="right" vertical="center"/>
    </xf>
    <xf numFmtId="0" fontId="5" fillId="3" borderId="0" xfId="0" applyFont="1" applyFill="1" applyAlignment="1">
      <alignment horizontal="right" vertical="center" wrapText="1"/>
    </xf>
    <xf numFmtId="0" fontId="16" fillId="3" borderId="17" xfId="0" applyFont="1" applyFill="1" applyBorder="1" applyAlignment="1">
      <alignment horizontal="center" vertical="center" wrapText="1"/>
    </xf>
    <xf numFmtId="0" fontId="5" fillId="3" borderId="18" xfId="0" applyFont="1" applyFill="1" applyBorder="1" applyAlignment="1">
      <alignment horizontal="right" vertical="center"/>
    </xf>
    <xf numFmtId="17" fontId="5" fillId="3" borderId="19" xfId="0" applyNumberFormat="1" applyFont="1" applyFill="1" applyBorder="1" applyAlignment="1">
      <alignment horizontal="right" vertical="center" wrapText="1"/>
    </xf>
    <xf numFmtId="0" fontId="17" fillId="2" borderId="20" xfId="0" applyFont="1" applyFill="1" applyBorder="1"/>
    <xf numFmtId="3" fontId="17" fillId="2" borderId="21" xfId="0" applyNumberFormat="1" applyFont="1" applyFill="1" applyBorder="1" applyAlignment="1">
      <alignment horizontal="right"/>
    </xf>
    <xf numFmtId="164" fontId="17" fillId="2" borderId="21" xfId="0" applyNumberFormat="1" applyFont="1" applyFill="1" applyBorder="1" applyAlignment="1">
      <alignment horizontal="right"/>
    </xf>
    <xf numFmtId="0" fontId="18" fillId="0" borderId="20" xfId="0" applyFont="1" applyBorder="1" applyAlignment="1">
      <alignment horizontal="left" indent="1"/>
    </xf>
    <xf numFmtId="3" fontId="18" fillId="0" borderId="20" xfId="0" applyNumberFormat="1" applyFont="1" applyBorder="1" applyAlignment="1">
      <alignment horizontal="right"/>
    </xf>
    <xf numFmtId="164" fontId="18" fillId="0" borderId="20" xfId="0" applyNumberFormat="1" applyFont="1" applyBorder="1" applyAlignment="1">
      <alignment horizontal="right"/>
    </xf>
    <xf numFmtId="0" fontId="5" fillId="0" borderId="0" xfId="0" applyFont="1" applyAlignment="1">
      <alignment horizontal="left" indent="2"/>
    </xf>
    <xf numFmtId="164" fontId="5" fillId="0" borderId="0" xfId="0" applyNumberFormat="1" applyFont="1" applyAlignment="1">
      <alignment horizontal="right"/>
    </xf>
    <xf numFmtId="3" fontId="17" fillId="2" borderId="20" xfId="0" applyNumberFormat="1" applyFont="1" applyFill="1" applyBorder="1" applyAlignment="1">
      <alignment horizontal="right"/>
    </xf>
    <xf numFmtId="164" fontId="17" fillId="2" borderId="20" xfId="0" applyNumberFormat="1" applyFont="1" applyFill="1" applyBorder="1" applyAlignment="1">
      <alignment horizontal="right"/>
    </xf>
    <xf numFmtId="0" fontId="5" fillId="0" borderId="22" xfId="0" applyFont="1" applyBorder="1"/>
    <xf numFmtId="3" fontId="5" fillId="0" borderId="22" xfId="0" applyNumberFormat="1" applyFont="1" applyBorder="1"/>
    <xf numFmtId="3" fontId="5" fillId="0" borderId="23" xfId="0" applyNumberFormat="1" applyFont="1" applyBorder="1"/>
    <xf numFmtId="164" fontId="5" fillId="0" borderId="22" xfId="0" applyNumberFormat="1" applyFont="1" applyBorder="1"/>
    <xf numFmtId="0" fontId="11" fillId="0" borderId="24" xfId="0" applyFont="1" applyBorder="1"/>
    <xf numFmtId="0" fontId="6" fillId="0" borderId="15" xfId="0" applyFont="1" applyBorder="1" applyAlignment="1">
      <alignment vertical="center" readingOrder="1"/>
    </xf>
    <xf numFmtId="3" fontId="6" fillId="0" borderId="15" xfId="0" applyNumberFormat="1" applyFont="1" applyBorder="1" applyAlignment="1">
      <alignment vertical="center" readingOrder="1"/>
    </xf>
    <xf numFmtId="0" fontId="19" fillId="0" borderId="0" xfId="0" applyFont="1" applyAlignment="1">
      <alignment vertical="center" readingOrder="1"/>
    </xf>
    <xf numFmtId="0" fontId="6" fillId="0" borderId="0" xfId="0" applyFont="1" applyAlignment="1">
      <alignment vertical="center" readingOrder="1"/>
    </xf>
    <xf numFmtId="0" fontId="15" fillId="3" borderId="25" xfId="0" applyFont="1" applyFill="1" applyBorder="1" applyAlignment="1">
      <alignment horizontal="center" vertical="center" wrapText="1"/>
    </xf>
    <xf numFmtId="3" fontId="15" fillId="3" borderId="29" xfId="0" applyNumberFormat="1" applyFont="1" applyFill="1" applyBorder="1" applyAlignment="1">
      <alignment horizontal="center" vertical="center" wrapText="1"/>
    </xf>
    <xf numFmtId="0" fontId="5" fillId="3" borderId="30" xfId="0" applyFont="1" applyFill="1" applyBorder="1" applyAlignment="1">
      <alignment horizontal="center" vertical="center" wrapText="1"/>
    </xf>
    <xf numFmtId="3" fontId="15" fillId="3" borderId="31" xfId="0" applyNumberFormat="1" applyFont="1" applyFill="1" applyBorder="1" applyAlignment="1">
      <alignment horizontal="center" vertical="center" wrapText="1"/>
    </xf>
    <xf numFmtId="0" fontId="5" fillId="0" borderId="0" xfId="0" applyFont="1" applyAlignment="1">
      <alignment horizontal="right"/>
    </xf>
    <xf numFmtId="3" fontId="5" fillId="0" borderId="32" xfId="0" applyNumberFormat="1" applyFont="1" applyBorder="1" applyAlignment="1">
      <alignment horizontal="right"/>
    </xf>
    <xf numFmtId="164" fontId="5" fillId="0" borderId="33" xfId="0" applyNumberFormat="1" applyFont="1" applyBorder="1" applyAlignment="1">
      <alignment horizontal="right"/>
    </xf>
    <xf numFmtId="0" fontId="22" fillId="0" borderId="34" xfId="4" applyNumberFormat="1" applyFont="1" applyBorder="1" applyAlignment="1" applyProtection="1">
      <alignment horizontal="center" vertical="center" wrapText="1"/>
      <protection hidden="1"/>
    </xf>
    <xf numFmtId="3" fontId="22" fillId="0" borderId="35" xfId="1" applyNumberFormat="1" applyFont="1" applyBorder="1" applyAlignment="1" applyProtection="1">
      <alignment vertical="center"/>
      <protection hidden="1"/>
    </xf>
    <xf numFmtId="164" fontId="22" fillId="0" borderId="36" xfId="4" applyNumberFormat="1" applyFont="1" applyBorder="1" applyAlignment="1" applyProtection="1">
      <alignment horizontal="right" vertical="center" wrapText="1"/>
      <protection hidden="1"/>
    </xf>
    <xf numFmtId="3" fontId="0" fillId="0" borderId="0" xfId="0" applyNumberFormat="1"/>
    <xf numFmtId="3" fontId="19" fillId="0" borderId="0" xfId="0" applyNumberFormat="1" applyFont="1" applyAlignment="1">
      <alignment vertical="center" readingOrder="1"/>
    </xf>
    <xf numFmtId="9" fontId="0" fillId="0" borderId="0" xfId="1" applyFont="1"/>
    <xf numFmtId="4" fontId="5" fillId="0" borderId="32" xfId="0" applyNumberFormat="1" applyFont="1" applyBorder="1" applyAlignment="1">
      <alignment horizontal="right"/>
    </xf>
    <xf numFmtId="164" fontId="11" fillId="0" borderId="24" xfId="1" applyNumberFormat="1" applyFont="1" applyBorder="1"/>
    <xf numFmtId="0" fontId="23" fillId="0" borderId="0" xfId="0" applyFont="1"/>
    <xf numFmtId="0" fontId="5" fillId="3" borderId="37" xfId="0" applyFont="1" applyFill="1" applyBorder="1" applyAlignment="1">
      <alignment horizontal="right" vertical="center"/>
    </xf>
    <xf numFmtId="0" fontId="5" fillId="3" borderId="16" xfId="0" applyFont="1" applyFill="1" applyBorder="1" applyAlignment="1">
      <alignment horizontal="right" vertical="center" wrapText="1"/>
    </xf>
    <xf numFmtId="0" fontId="22" fillId="2" borderId="0" xfId="0" applyFont="1" applyFill="1"/>
    <xf numFmtId="3" fontId="24" fillId="2" borderId="0" xfId="0" applyNumberFormat="1" applyFont="1" applyFill="1" applyAlignment="1">
      <alignment horizontal="right"/>
    </xf>
    <xf numFmtId="164" fontId="24" fillId="2" borderId="0" xfId="0" applyNumberFormat="1" applyFont="1" applyFill="1" applyAlignment="1">
      <alignment horizontal="right"/>
    </xf>
    <xf numFmtId="164" fontId="24" fillId="2" borderId="38" xfId="0" applyNumberFormat="1" applyFont="1" applyFill="1" applyBorder="1" applyAlignment="1">
      <alignment horizontal="right"/>
    </xf>
    <xf numFmtId="0" fontId="24" fillId="0" borderId="39" xfId="0" applyFont="1" applyBorder="1" applyAlignment="1">
      <alignment horizontal="left" indent="1"/>
    </xf>
    <xf numFmtId="3" fontId="24" fillId="0" borderId="39" xfId="0" applyNumberFormat="1" applyFont="1" applyBorder="1" applyAlignment="1">
      <alignment horizontal="right"/>
    </xf>
    <xf numFmtId="164" fontId="24" fillId="0" borderId="39" xfId="0" applyNumberFormat="1" applyFont="1" applyBorder="1" applyAlignment="1">
      <alignment horizontal="right"/>
    </xf>
    <xf numFmtId="0" fontId="24" fillId="0" borderId="0" xfId="0" applyFont="1" applyAlignment="1">
      <alignment horizontal="left" indent="1"/>
    </xf>
    <xf numFmtId="3" fontId="24" fillId="0" borderId="0" xfId="0" applyNumberFormat="1" applyFont="1" applyAlignment="1">
      <alignment horizontal="right"/>
    </xf>
    <xf numFmtId="164" fontId="24" fillId="0" borderId="0" xfId="0" applyNumberFormat="1" applyFont="1" applyAlignment="1">
      <alignment horizontal="right"/>
    </xf>
    <xf numFmtId="164" fontId="2" fillId="0" borderId="0" xfId="1" applyNumberFormat="1" applyFont="1"/>
    <xf numFmtId="0" fontId="6" fillId="0" borderId="3" xfId="0" applyFont="1" applyBorder="1" applyAlignment="1">
      <alignment horizontal="left" vertical="center" readingOrder="1"/>
    </xf>
    <xf numFmtId="0" fontId="6" fillId="0" borderId="3" xfId="0" applyFont="1" applyBorder="1" applyAlignment="1">
      <alignment vertical="center" wrapText="1" readingOrder="1"/>
    </xf>
    <xf numFmtId="0" fontId="0" fillId="3" borderId="6" xfId="0" applyFill="1" applyBorder="1"/>
    <xf numFmtId="0" fontId="0" fillId="0" borderId="0" xfId="0" applyAlignment="1">
      <alignment wrapText="1"/>
    </xf>
    <xf numFmtId="0" fontId="25" fillId="3" borderId="10" xfId="0" applyFont="1" applyFill="1" applyBorder="1" applyAlignment="1">
      <alignment horizontal="center" vertical="center" wrapText="1"/>
    </xf>
    <xf numFmtId="1" fontId="5" fillId="3" borderId="42" xfId="0" applyNumberFormat="1" applyFont="1" applyFill="1" applyBorder="1" applyAlignment="1">
      <alignment horizontal="right" vertical="center" wrapText="1"/>
    </xf>
    <xf numFmtId="1" fontId="5" fillId="3" borderId="43" xfId="0" applyNumberFormat="1" applyFont="1" applyFill="1" applyBorder="1" applyAlignment="1">
      <alignment horizontal="right" vertical="center" wrapText="1"/>
    </xf>
    <xf numFmtId="164" fontId="5" fillId="3" borderId="44" xfId="0" applyNumberFormat="1" applyFont="1" applyFill="1" applyBorder="1" applyAlignment="1">
      <alignment horizontal="right" vertical="center" wrapText="1"/>
    </xf>
    <xf numFmtId="3" fontId="5" fillId="3" borderId="45" xfId="0" applyNumberFormat="1" applyFont="1" applyFill="1" applyBorder="1" applyAlignment="1">
      <alignment horizontal="right" vertical="center" wrapText="1"/>
    </xf>
    <xf numFmtId="0" fontId="17" fillId="2" borderId="6" xfId="0" applyFont="1" applyFill="1" applyBorder="1"/>
    <xf numFmtId="3" fontId="17" fillId="2" borderId="7" xfId="0" applyNumberFormat="1" applyFont="1" applyFill="1" applyBorder="1" applyAlignment="1">
      <alignment horizontal="right"/>
    </xf>
    <xf numFmtId="164" fontId="17" fillId="2" borderId="7" xfId="0" applyNumberFormat="1" applyFont="1" applyFill="1" applyBorder="1" applyAlignment="1">
      <alignment horizontal="right"/>
    </xf>
    <xf numFmtId="0" fontId="17" fillId="2" borderId="8" xfId="0" applyFont="1" applyFill="1" applyBorder="1"/>
    <xf numFmtId="0" fontId="17" fillId="0" borderId="8" xfId="0" applyFont="1" applyBorder="1"/>
    <xf numFmtId="3" fontId="17" fillId="0" borderId="46" xfId="0" applyNumberFormat="1" applyFont="1" applyBorder="1" applyAlignment="1">
      <alignment horizontal="right"/>
    </xf>
    <xf numFmtId="164" fontId="17" fillId="0" borderId="47" xfId="0" applyNumberFormat="1" applyFont="1" applyBorder="1" applyAlignment="1">
      <alignment horizontal="right"/>
    </xf>
    <xf numFmtId="0" fontId="18" fillId="0" borderId="8" xfId="0" applyFont="1" applyBorder="1"/>
    <xf numFmtId="3" fontId="18" fillId="0" borderId="46" xfId="0" applyNumberFormat="1" applyFont="1" applyBorder="1" applyAlignment="1">
      <alignment horizontal="right"/>
    </xf>
    <xf numFmtId="164" fontId="18" fillId="0" borderId="47" xfId="0" applyNumberFormat="1" applyFont="1" applyBorder="1" applyAlignment="1">
      <alignment horizontal="right"/>
    </xf>
    <xf numFmtId="0" fontId="2" fillId="0" borderId="8" xfId="0" applyFont="1" applyBorder="1"/>
    <xf numFmtId="0" fontId="5" fillId="0" borderId="8" xfId="0" applyFont="1" applyBorder="1"/>
    <xf numFmtId="3" fontId="5" fillId="0" borderId="46" xfId="0" applyNumberFormat="1" applyFont="1" applyBorder="1" applyAlignment="1">
      <alignment horizontal="right"/>
    </xf>
    <xf numFmtId="164" fontId="5" fillId="0" borderId="47" xfId="0" applyNumberFormat="1" applyFont="1" applyBorder="1" applyAlignment="1">
      <alignment horizontal="right"/>
    </xf>
    <xf numFmtId="164" fontId="12" fillId="0" borderId="0" xfId="1" applyNumberFormat="1" applyFont="1"/>
    <xf numFmtId="0" fontId="2" fillId="0" borderId="10" xfId="0" applyFont="1" applyBorder="1"/>
    <xf numFmtId="0" fontId="5" fillId="0" borderId="10" xfId="0" applyFont="1" applyBorder="1"/>
    <xf numFmtId="3" fontId="5" fillId="0" borderId="48" xfId="0" applyNumberFormat="1" applyFont="1" applyBorder="1" applyAlignment="1">
      <alignment horizontal="right"/>
    </xf>
    <xf numFmtId="164" fontId="5" fillId="0" borderId="49" xfId="0" applyNumberFormat="1" applyFont="1" applyBorder="1" applyAlignment="1">
      <alignment horizontal="right"/>
    </xf>
    <xf numFmtId="0" fontId="11" fillId="0" borderId="0" xfId="0" applyFont="1"/>
    <xf numFmtId="3" fontId="5" fillId="3" borderId="52" xfId="0" applyNumberFormat="1" applyFont="1" applyFill="1" applyBorder="1" applyAlignment="1">
      <alignment horizontal="right" vertical="center" wrapText="1"/>
    </xf>
    <xf numFmtId="164" fontId="5" fillId="3" borderId="53" xfId="0" applyNumberFormat="1" applyFont="1" applyFill="1" applyBorder="1" applyAlignment="1">
      <alignment horizontal="right" vertical="center" wrapText="1"/>
    </xf>
    <xf numFmtId="3" fontId="17" fillId="2" borderId="0" xfId="0" applyNumberFormat="1" applyFont="1" applyFill="1" applyAlignment="1">
      <alignment horizontal="right"/>
    </xf>
    <xf numFmtId="164" fontId="17" fillId="2" borderId="0" xfId="0" applyNumberFormat="1" applyFont="1" applyFill="1" applyAlignment="1">
      <alignment horizontal="right"/>
    </xf>
    <xf numFmtId="3" fontId="17" fillId="0" borderId="54" xfId="0" applyNumberFormat="1" applyFont="1" applyBorder="1" applyAlignment="1">
      <alignment horizontal="right"/>
    </xf>
    <xf numFmtId="164" fontId="17" fillId="0" borderId="55" xfId="0" applyNumberFormat="1" applyFont="1" applyBorder="1" applyAlignment="1">
      <alignment horizontal="right"/>
    </xf>
    <xf numFmtId="164" fontId="18" fillId="0" borderId="47" xfId="1" applyNumberFormat="1" applyFont="1" applyBorder="1" applyAlignment="1">
      <alignment horizontal="right"/>
    </xf>
    <xf numFmtId="164" fontId="5" fillId="0" borderId="47" xfId="1" applyNumberFormat="1" applyFont="1" applyBorder="1" applyAlignment="1">
      <alignment horizontal="right"/>
    </xf>
    <xf numFmtId="164" fontId="5" fillId="0" borderId="49" xfId="1" applyNumberFormat="1" applyFont="1" applyBorder="1" applyAlignment="1">
      <alignment horizontal="right"/>
    </xf>
    <xf numFmtId="0" fontId="18" fillId="0" borderId="8" xfId="0" applyFont="1" applyBorder="1" applyAlignment="1">
      <alignment horizontal="right"/>
    </xf>
    <xf numFmtId="0" fontId="5" fillId="0" borderId="8" xfId="0" applyFont="1" applyBorder="1" applyAlignment="1">
      <alignment horizontal="right"/>
    </xf>
    <xf numFmtId="0" fontId="5" fillId="0" borderId="10" xfId="0" applyFont="1" applyBorder="1" applyAlignment="1">
      <alignment horizontal="right"/>
    </xf>
    <xf numFmtId="0" fontId="0" fillId="3" borderId="8" xfId="0" applyFill="1" applyBorder="1"/>
    <xf numFmtId="1" fontId="5" fillId="3" borderId="52" xfId="0" applyNumberFormat="1" applyFont="1" applyFill="1" applyBorder="1" applyAlignment="1">
      <alignment horizontal="right" vertical="center" wrapText="1"/>
    </xf>
    <xf numFmtId="2" fontId="5" fillId="0" borderId="32" xfId="0" applyNumberFormat="1" applyFont="1" applyBorder="1" applyAlignment="1">
      <alignment horizontal="right"/>
    </xf>
    <xf numFmtId="2" fontId="5" fillId="0" borderId="33" xfId="0" applyNumberFormat="1" applyFont="1" applyBorder="1" applyAlignment="1">
      <alignment horizontal="right"/>
    </xf>
    <xf numFmtId="2" fontId="22" fillId="0" borderId="35" xfId="1" applyNumberFormat="1" applyFont="1" applyBorder="1" applyAlignment="1" applyProtection="1">
      <alignment vertical="center"/>
      <protection hidden="1"/>
    </xf>
    <xf numFmtId="2" fontId="22" fillId="0" borderId="36" xfId="4" applyNumberFormat="1" applyFont="1" applyBorder="1" applyAlignment="1" applyProtection="1">
      <alignment horizontal="right" vertical="center" wrapText="1"/>
      <protection hidden="1"/>
    </xf>
    <xf numFmtId="2" fontId="6" fillId="0" borderId="15" xfId="0" applyNumberFormat="1" applyFont="1" applyBorder="1" applyAlignment="1">
      <alignment vertical="center" readingOrder="1"/>
    </xf>
    <xf numFmtId="2" fontId="0" fillId="0" borderId="0" xfId="0" applyNumberFormat="1"/>
    <xf numFmtId="2" fontId="11" fillId="0" borderId="24" xfId="0" applyNumberFormat="1" applyFont="1" applyBorder="1"/>
    <xf numFmtId="2" fontId="0" fillId="0" borderId="0" xfId="1" applyNumberFormat="1" applyFont="1"/>
    <xf numFmtId="0" fontId="26" fillId="0" borderId="0" xfId="0" applyFont="1"/>
    <xf numFmtId="164" fontId="5" fillId="0" borderId="32" xfId="1" applyNumberFormat="1" applyFont="1" applyBorder="1" applyAlignment="1">
      <alignment horizontal="right"/>
    </xf>
    <xf numFmtId="10" fontId="0" fillId="0" borderId="0" xfId="1" applyNumberFormat="1" applyFont="1"/>
    <xf numFmtId="164" fontId="22" fillId="0" borderId="35" xfId="1" applyNumberFormat="1" applyFont="1" applyBorder="1" applyAlignment="1" applyProtection="1">
      <alignment vertical="center"/>
      <protection hidden="1"/>
    </xf>
    <xf numFmtId="164" fontId="0" fillId="0" borderId="0" xfId="0" applyNumberFormat="1"/>
    <xf numFmtId="164" fontId="27" fillId="0" borderId="35" xfId="1" applyNumberFormat="1" applyFont="1" applyBorder="1" applyAlignment="1" applyProtection="1">
      <alignment vertical="center"/>
      <protection hidden="1"/>
    </xf>
    <xf numFmtId="164" fontId="27" fillId="0" borderId="36" xfId="4" applyNumberFormat="1" applyFont="1" applyBorder="1" applyAlignment="1" applyProtection="1">
      <alignment horizontal="right" vertical="center" wrapText="1"/>
      <protection hidden="1"/>
    </xf>
    <xf numFmtId="164" fontId="27" fillId="0" borderId="35" xfId="1" applyNumberFormat="1" applyFont="1" applyBorder="1" applyAlignment="1" applyProtection="1">
      <alignment horizontal="right" vertical="center"/>
      <protection hidden="1"/>
    </xf>
    <xf numFmtId="164" fontId="22" fillId="0" borderId="35" xfId="1" applyNumberFormat="1" applyFont="1" applyBorder="1" applyAlignment="1" applyProtection="1">
      <alignment horizontal="right" vertical="center"/>
      <protection hidden="1"/>
    </xf>
    <xf numFmtId="165" fontId="0" fillId="0" borderId="0" xfId="0" applyNumberFormat="1"/>
    <xf numFmtId="17" fontId="5" fillId="3" borderId="56" xfId="0" applyNumberFormat="1" applyFont="1" applyFill="1" applyBorder="1" applyAlignment="1">
      <alignment horizontal="right" vertical="center" wrapText="1"/>
    </xf>
    <xf numFmtId="17" fontId="5" fillId="3" borderId="57" xfId="0" applyNumberFormat="1" applyFont="1" applyFill="1" applyBorder="1" applyAlignment="1">
      <alignment horizontal="right" vertical="center" wrapText="1"/>
    </xf>
    <xf numFmtId="0" fontId="5" fillId="3" borderId="58" xfId="0" applyFont="1" applyFill="1" applyBorder="1" applyAlignment="1">
      <alignment horizontal="right" vertical="center" wrapText="1"/>
    </xf>
    <xf numFmtId="164" fontId="5" fillId="3" borderId="0" xfId="0" applyNumberFormat="1" applyFont="1" applyFill="1" applyAlignment="1">
      <alignment horizontal="right" vertical="center"/>
    </xf>
    <xf numFmtId="0" fontId="17" fillId="2" borderId="7" xfId="0" applyFont="1" applyFill="1" applyBorder="1"/>
    <xf numFmtId="165" fontId="24" fillId="2" borderId="59" xfId="1" applyNumberFormat="1" applyFont="1" applyFill="1" applyBorder="1" applyAlignment="1">
      <alignment horizontal="right"/>
    </xf>
    <xf numFmtId="165" fontId="24" fillId="2" borderId="0" xfId="0" applyNumberFormat="1" applyFont="1" applyFill="1" applyAlignment="1">
      <alignment horizontal="right"/>
    </xf>
    <xf numFmtId="165" fontId="24" fillId="2" borderId="0" xfId="1" applyNumberFormat="1" applyFont="1" applyFill="1" applyBorder="1" applyAlignment="1">
      <alignment horizontal="right"/>
    </xf>
    <xf numFmtId="165" fontId="24" fillId="2" borderId="38" xfId="1" applyNumberFormat="1" applyFont="1" applyFill="1" applyBorder="1" applyAlignment="1">
      <alignment horizontal="right"/>
    </xf>
    <xf numFmtId="3" fontId="24" fillId="2" borderId="59" xfId="0" applyNumberFormat="1" applyFont="1" applyFill="1" applyBorder="1" applyAlignment="1">
      <alignment horizontal="right"/>
    </xf>
    <xf numFmtId="166" fontId="24" fillId="2" borderId="59" xfId="1" applyNumberFormat="1" applyFont="1" applyFill="1" applyBorder="1" applyAlignment="1">
      <alignment horizontal="right"/>
    </xf>
    <xf numFmtId="166" fontId="24" fillId="2" borderId="38" xfId="1" applyNumberFormat="1" applyFont="1" applyFill="1" applyBorder="1" applyAlignment="1">
      <alignment horizontal="right"/>
    </xf>
    <xf numFmtId="165" fontId="5" fillId="0" borderId="13" xfId="1" applyNumberFormat="1" applyFont="1" applyBorder="1" applyAlignment="1">
      <alignment horizontal="right"/>
    </xf>
    <xf numFmtId="165" fontId="5" fillId="0" borderId="0" xfId="1" applyNumberFormat="1" applyFont="1" applyBorder="1" applyAlignment="1">
      <alignment horizontal="right"/>
    </xf>
    <xf numFmtId="3" fontId="5" fillId="0" borderId="13" xfId="0" applyNumberFormat="1" applyFont="1" applyBorder="1" applyAlignment="1">
      <alignment horizontal="right"/>
    </xf>
    <xf numFmtId="166" fontId="5" fillId="0" borderId="13" xfId="1" applyNumberFormat="1" applyFont="1" applyBorder="1" applyAlignment="1">
      <alignment horizontal="right"/>
    </xf>
    <xf numFmtId="166" fontId="5" fillId="0" borderId="0" xfId="1" applyNumberFormat="1" applyFont="1" applyBorder="1" applyAlignment="1">
      <alignment horizontal="right"/>
    </xf>
    <xf numFmtId="164" fontId="5" fillId="0" borderId="0" xfId="0" applyNumberFormat="1" applyFont="1"/>
    <xf numFmtId="0" fontId="11" fillId="0" borderId="0" xfId="0" applyFont="1" applyAlignment="1">
      <alignment wrapText="1"/>
    </xf>
    <xf numFmtId="0" fontId="16" fillId="0" borderId="0" xfId="0" applyFont="1" applyAlignment="1">
      <alignment wrapText="1"/>
    </xf>
    <xf numFmtId="0" fontId="5" fillId="0" borderId="0" xfId="0" applyFont="1" applyAlignment="1">
      <alignment wrapText="1"/>
    </xf>
    <xf numFmtId="0" fontId="0" fillId="0" borderId="0" xfId="0" applyAlignment="1">
      <alignment horizontal="center"/>
    </xf>
    <xf numFmtId="0" fontId="9" fillId="4" borderId="11" xfId="0" applyFont="1" applyFill="1" applyBorder="1"/>
    <xf numFmtId="3" fontId="22" fillId="4" borderId="11" xfId="0" applyNumberFormat="1" applyFont="1" applyFill="1" applyBorder="1" applyAlignment="1">
      <alignment horizontal="right" vertical="center" wrapText="1"/>
    </xf>
    <xf numFmtId="164" fontId="22" fillId="4" borderId="11" xfId="1" applyNumberFormat="1" applyFont="1" applyFill="1" applyBorder="1" applyAlignment="1">
      <alignment horizontal="right" vertical="center" wrapText="1"/>
    </xf>
    <xf numFmtId="0" fontId="24" fillId="0" borderId="11" xfId="0" applyFont="1" applyBorder="1"/>
    <xf numFmtId="3" fontId="18" fillId="0" borderId="11" xfId="0" applyNumberFormat="1" applyFont="1" applyBorder="1" applyAlignment="1">
      <alignment horizontal="right" vertical="center" wrapText="1"/>
    </xf>
    <xf numFmtId="164" fontId="18" fillId="0" borderId="11" xfId="1" applyNumberFormat="1" applyFont="1" applyBorder="1" applyAlignment="1">
      <alignment horizontal="right" vertical="center" wrapText="1"/>
    </xf>
    <xf numFmtId="0" fontId="15" fillId="0" borderId="7" xfId="0" applyFont="1" applyBorder="1"/>
    <xf numFmtId="3" fontId="15" fillId="0" borderId="0" xfId="0" applyNumberFormat="1" applyFont="1"/>
    <xf numFmtId="164" fontId="15" fillId="4" borderId="7" xfId="1" applyNumberFormat="1" applyFont="1" applyFill="1" applyBorder="1"/>
    <xf numFmtId="3" fontId="15" fillId="4" borderId="7" xfId="0" applyNumberFormat="1" applyFont="1" applyFill="1" applyBorder="1"/>
    <xf numFmtId="164" fontId="15" fillId="0" borderId="7" xfId="1" applyNumberFormat="1" applyFont="1" applyBorder="1"/>
    <xf numFmtId="0" fontId="5" fillId="0" borderId="0" xfId="0" applyFont="1" applyAlignment="1">
      <alignment horizontal="left" indent="1"/>
    </xf>
    <xf numFmtId="0" fontId="5" fillId="0" borderId="60" xfId="0" applyFont="1" applyBorder="1"/>
    <xf numFmtId="3" fontId="22" fillId="4" borderId="0" xfId="0" applyNumberFormat="1" applyFont="1" applyFill="1" applyAlignment="1">
      <alignment horizontal="right" vertical="center" wrapText="1"/>
    </xf>
    <xf numFmtId="3" fontId="18" fillId="0" borderId="0" xfId="0" applyNumberFormat="1" applyFont="1" applyAlignment="1">
      <alignment horizontal="right" vertical="center" wrapText="1"/>
    </xf>
    <xf numFmtId="0" fontId="15" fillId="0" borderId="0" xfId="0" applyFont="1"/>
    <xf numFmtId="3" fontId="15" fillId="4" borderId="0" xfId="0" applyNumberFormat="1" applyFont="1" applyFill="1"/>
    <xf numFmtId="3" fontId="5" fillId="3" borderId="6" xfId="0" applyNumberFormat="1" applyFont="1" applyFill="1" applyBorder="1" applyAlignment="1">
      <alignment horizontal="right" vertical="center" wrapText="1"/>
    </xf>
    <xf numFmtId="164" fontId="5" fillId="3" borderId="6" xfId="0" applyNumberFormat="1" applyFont="1" applyFill="1" applyBorder="1" applyAlignment="1">
      <alignment horizontal="right" vertical="center" wrapText="1"/>
    </xf>
    <xf numFmtId="3" fontId="22" fillId="4" borderId="61" xfId="0" applyNumberFormat="1" applyFont="1" applyFill="1" applyBorder="1" applyAlignment="1">
      <alignment horizontal="right" vertical="center" wrapText="1"/>
    </xf>
    <xf numFmtId="164" fontId="22" fillId="4" borderId="61" xfId="1" applyNumberFormat="1" applyFont="1" applyFill="1" applyBorder="1" applyAlignment="1">
      <alignment horizontal="right" vertical="center" wrapText="1"/>
    </xf>
    <xf numFmtId="0" fontId="28" fillId="0" borderId="0" xfId="0" applyFont="1" applyAlignment="1">
      <alignment horizontal="left" indent="1"/>
    </xf>
    <xf numFmtId="3" fontId="28" fillId="0" borderId="8" xfId="0" applyNumberFormat="1" applyFont="1" applyBorder="1"/>
    <xf numFmtId="164" fontId="28" fillId="0" borderId="8" xfId="1" applyNumberFormat="1" applyFont="1" applyBorder="1"/>
    <xf numFmtId="164" fontId="28" fillId="4" borderId="8" xfId="1" applyNumberFormat="1" applyFont="1" applyFill="1" applyBorder="1"/>
    <xf numFmtId="3" fontId="28" fillId="4" borderId="8" xfId="0" applyNumberFormat="1" applyFont="1" applyFill="1" applyBorder="1"/>
    <xf numFmtId="164" fontId="28" fillId="4" borderId="8" xfId="1" applyNumberFormat="1" applyFont="1" applyFill="1" applyBorder="1" applyAlignment="1">
      <alignment horizontal="right"/>
    </xf>
    <xf numFmtId="3" fontId="28" fillId="4" borderId="8" xfId="0" applyNumberFormat="1" applyFont="1" applyFill="1" applyBorder="1" applyAlignment="1">
      <alignment horizontal="right"/>
    </xf>
    <xf numFmtId="3" fontId="5" fillId="0" borderId="8" xfId="0" applyNumberFormat="1" applyFont="1" applyBorder="1"/>
    <xf numFmtId="164" fontId="15" fillId="0" borderId="8" xfId="1" applyNumberFormat="1" applyFont="1" applyBorder="1"/>
    <xf numFmtId="164" fontId="15" fillId="4" borderId="8" xfId="1" applyNumberFormat="1" applyFont="1" applyFill="1" applyBorder="1" applyAlignment="1">
      <alignment horizontal="right"/>
    </xf>
    <xf numFmtId="3" fontId="15" fillId="4" borderId="8" xfId="0" applyNumberFormat="1" applyFont="1" applyFill="1" applyBorder="1"/>
    <xf numFmtId="164" fontId="5" fillId="4" borderId="8" xfId="1" applyNumberFormat="1" applyFont="1" applyFill="1" applyBorder="1" applyAlignment="1">
      <alignment horizontal="right"/>
    </xf>
    <xf numFmtId="3" fontId="5" fillId="4" borderId="8" xfId="0" applyNumberFormat="1" applyFont="1" applyFill="1" applyBorder="1" applyAlignment="1">
      <alignment horizontal="right"/>
    </xf>
    <xf numFmtId="164" fontId="5" fillId="0" borderId="8" xfId="1" applyNumberFormat="1" applyFont="1" applyBorder="1"/>
    <xf numFmtId="3" fontId="5" fillId="4" borderId="8" xfId="0" applyNumberFormat="1" applyFont="1" applyFill="1" applyBorder="1"/>
    <xf numFmtId="164" fontId="5" fillId="4" borderId="8" xfId="1" applyNumberFormat="1" applyFont="1" applyFill="1" applyBorder="1"/>
    <xf numFmtId="3" fontId="28" fillId="0" borderId="8" xfId="0" applyNumberFormat="1" applyFont="1" applyBorder="1" applyAlignment="1">
      <alignment horizontal="right"/>
    </xf>
    <xf numFmtId="164" fontId="28" fillId="0" borderId="8" xfId="1" applyNumberFormat="1" applyFont="1" applyBorder="1" applyAlignment="1">
      <alignment horizontal="right"/>
    </xf>
    <xf numFmtId="0" fontId="5" fillId="0" borderId="60" xfId="0" applyFont="1" applyBorder="1" applyAlignment="1">
      <alignment horizontal="right"/>
    </xf>
    <xf numFmtId="164" fontId="15" fillId="4" borderId="8" xfId="1" applyNumberFormat="1" applyFont="1" applyFill="1" applyBorder="1"/>
    <xf numFmtId="3" fontId="5" fillId="4" borderId="8" xfId="1" applyNumberFormat="1" applyFont="1" applyFill="1" applyBorder="1"/>
    <xf numFmtId="3" fontId="15" fillId="4" borderId="8" xfId="1" applyNumberFormat="1" applyFont="1" applyFill="1" applyBorder="1"/>
    <xf numFmtId="0" fontId="6" fillId="0" borderId="3" xfId="0" applyFont="1" applyBorder="1" applyAlignment="1">
      <alignment horizontal="left" vertical="center" wrapText="1" readingOrder="1"/>
    </xf>
    <xf numFmtId="0" fontId="10" fillId="4" borderId="6" xfId="0" applyFont="1" applyFill="1" applyBorder="1" applyAlignment="1">
      <alignment horizontal="center" vertical="center" textRotation="90"/>
    </xf>
    <xf numFmtId="0" fontId="10" fillId="4" borderId="8" xfId="0" applyFont="1" applyFill="1" applyBorder="1" applyAlignment="1">
      <alignment horizontal="center" vertical="center" textRotation="90"/>
    </xf>
    <xf numFmtId="0" fontId="10" fillId="4" borderId="10" xfId="0" applyFont="1" applyFill="1" applyBorder="1" applyAlignment="1">
      <alignment horizontal="center" vertical="center" textRotation="90"/>
    </xf>
    <xf numFmtId="0" fontId="5" fillId="4" borderId="7" xfId="0" applyFont="1" applyFill="1" applyBorder="1" applyAlignment="1">
      <alignment horizontal="left" vertical="center"/>
    </xf>
    <xf numFmtId="0" fontId="5" fillId="4" borderId="0" xfId="0" applyFont="1" applyFill="1" applyAlignment="1">
      <alignment horizontal="left" vertical="center"/>
    </xf>
    <xf numFmtId="0" fontId="5" fillId="4" borderId="9" xfId="0" applyFont="1" applyFill="1" applyBorder="1" applyAlignment="1">
      <alignment horizontal="left" vertical="center"/>
    </xf>
    <xf numFmtId="0" fontId="5" fillId="0" borderId="7" xfId="0" applyFont="1" applyBorder="1" applyAlignment="1">
      <alignment horizontal="left" vertical="center"/>
    </xf>
    <xf numFmtId="0" fontId="5" fillId="0" borderId="0" xfId="0" applyFont="1" applyAlignment="1">
      <alignment horizontal="left" vertical="center"/>
    </xf>
    <xf numFmtId="0" fontId="5" fillId="0" borderId="9" xfId="0" applyFont="1" applyBorder="1" applyAlignment="1">
      <alignment horizontal="left" vertical="center"/>
    </xf>
    <xf numFmtId="0" fontId="5" fillId="4" borderId="7" xfId="0" applyFont="1" applyFill="1" applyBorder="1" applyAlignment="1">
      <alignment horizontal="left" vertical="center" wrapText="1"/>
    </xf>
    <xf numFmtId="0" fontId="5" fillId="4" borderId="0" xfId="0" applyFont="1" applyFill="1" applyAlignment="1">
      <alignment horizontal="left" vertical="center" wrapText="1"/>
    </xf>
    <xf numFmtId="0" fontId="5" fillId="4" borderId="9" xfId="0" applyFont="1" applyFill="1" applyBorder="1" applyAlignment="1">
      <alignment horizontal="left" vertical="center" wrapText="1"/>
    </xf>
    <xf numFmtId="0" fontId="5" fillId="0" borderId="7" xfId="0" applyFont="1" applyBorder="1" applyAlignment="1">
      <alignment horizontal="left" vertical="center" wrapText="1"/>
    </xf>
    <xf numFmtId="0" fontId="5" fillId="0" borderId="0" xfId="0" applyFont="1" applyAlignment="1">
      <alignment horizontal="left" vertical="center" wrapText="1"/>
    </xf>
    <xf numFmtId="0" fontId="5" fillId="0" borderId="9" xfId="0" applyFont="1" applyBorder="1" applyAlignment="1">
      <alignment horizontal="left" vertical="center" wrapText="1"/>
    </xf>
    <xf numFmtId="0" fontId="5" fillId="0" borderId="11" xfId="0" applyFont="1" applyBorder="1" applyAlignment="1">
      <alignment horizontal="center"/>
    </xf>
    <xf numFmtId="0" fontId="11" fillId="0" borderId="0" xfId="0" applyFont="1" applyAlignment="1">
      <alignment horizontal="left" wrapText="1"/>
    </xf>
    <xf numFmtId="0" fontId="11" fillId="0" borderId="0" xfId="0" applyFont="1" applyAlignment="1">
      <alignment horizontal="left"/>
    </xf>
    <xf numFmtId="0" fontId="12" fillId="0" borderId="0" xfId="0" applyFont="1" applyAlignment="1">
      <alignment horizontal="left" wrapText="1"/>
    </xf>
    <xf numFmtId="0" fontId="5" fillId="0" borderId="12" xfId="0" applyFont="1" applyBorder="1" applyAlignment="1">
      <alignment horizontal="center" vertical="center"/>
    </xf>
    <xf numFmtId="0" fontId="5" fillId="0" borderId="13" xfId="0" applyFont="1" applyBorder="1" applyAlignment="1">
      <alignment horizontal="center" vertical="center"/>
    </xf>
    <xf numFmtId="0" fontId="5" fillId="0" borderId="14" xfId="0" applyFont="1" applyBorder="1" applyAlignment="1">
      <alignment horizontal="center" vertical="center"/>
    </xf>
    <xf numFmtId="0" fontId="5" fillId="3" borderId="16" xfId="0" applyFont="1" applyFill="1" applyBorder="1" applyAlignment="1">
      <alignment horizontal="center" vertical="center" wrapText="1"/>
    </xf>
    <xf numFmtId="17" fontId="5" fillId="3" borderId="0" xfId="0" applyNumberFormat="1" applyFont="1" applyFill="1" applyAlignment="1">
      <alignment horizontal="center" vertical="center" wrapText="1"/>
    </xf>
    <xf numFmtId="3" fontId="20" fillId="3" borderId="25" xfId="0" applyNumberFormat="1" applyFont="1" applyFill="1" applyBorder="1" applyAlignment="1">
      <alignment horizontal="center" vertical="center" readingOrder="1"/>
    </xf>
    <xf numFmtId="3" fontId="20" fillId="3" borderId="26" xfId="0" applyNumberFormat="1" applyFont="1" applyFill="1" applyBorder="1" applyAlignment="1">
      <alignment horizontal="center" vertical="center" readingOrder="1"/>
    </xf>
    <xf numFmtId="0" fontId="15" fillId="3" borderId="25" xfId="0" applyFont="1" applyFill="1" applyBorder="1" applyAlignment="1">
      <alignment horizontal="center" vertical="center" wrapText="1"/>
    </xf>
    <xf numFmtId="0" fontId="15" fillId="3" borderId="27" xfId="0" applyFont="1" applyFill="1" applyBorder="1" applyAlignment="1">
      <alignment horizontal="center" vertical="center" wrapText="1"/>
    </xf>
    <xf numFmtId="0" fontId="15" fillId="3" borderId="28" xfId="0" applyFont="1" applyFill="1" applyBorder="1" applyAlignment="1">
      <alignment horizontal="center" vertical="center" wrapText="1"/>
    </xf>
    <xf numFmtId="0" fontId="15" fillId="3" borderId="26" xfId="0" applyFont="1" applyFill="1" applyBorder="1" applyAlignment="1">
      <alignment horizontal="center" vertical="center" wrapText="1"/>
    </xf>
    <xf numFmtId="0" fontId="8" fillId="3" borderId="40" xfId="0" applyFont="1" applyFill="1" applyBorder="1" applyAlignment="1">
      <alignment horizontal="center"/>
    </xf>
    <xf numFmtId="0" fontId="8" fillId="3" borderId="41" xfId="0" applyFont="1" applyFill="1" applyBorder="1" applyAlignment="1">
      <alignment horizontal="center"/>
    </xf>
    <xf numFmtId="0" fontId="8" fillId="3" borderId="50" xfId="0" applyFont="1" applyFill="1" applyBorder="1" applyAlignment="1">
      <alignment horizontal="center"/>
    </xf>
    <xf numFmtId="0" fontId="8" fillId="3" borderId="51" xfId="0" applyFont="1" applyFill="1" applyBorder="1" applyAlignment="1">
      <alignment horizontal="center"/>
    </xf>
    <xf numFmtId="2" fontId="20" fillId="3" borderId="25" xfId="0" applyNumberFormat="1" applyFont="1" applyFill="1" applyBorder="1" applyAlignment="1">
      <alignment horizontal="center" vertical="center" readingOrder="1"/>
    </xf>
    <xf numFmtId="2" fontId="20" fillId="3" borderId="26" xfId="0" applyNumberFormat="1" applyFont="1" applyFill="1" applyBorder="1" applyAlignment="1">
      <alignment horizontal="center" vertical="center" readingOrder="1"/>
    </xf>
    <xf numFmtId="0" fontId="0" fillId="0" borderId="0" xfId="0" applyAlignment="1">
      <alignment horizontal="center" wrapText="1"/>
    </xf>
    <xf numFmtId="0" fontId="11" fillId="0" borderId="0" xfId="0" applyFont="1" applyAlignment="1">
      <alignment horizontal="left" vertical="top" wrapText="1"/>
    </xf>
    <xf numFmtId="0" fontId="16" fillId="0" borderId="0" xfId="0" applyFont="1" applyAlignment="1">
      <alignment horizontal="left" wrapText="1"/>
    </xf>
    <xf numFmtId="0" fontId="11" fillId="0" borderId="24" xfId="0" applyFont="1" applyBorder="1" applyAlignment="1">
      <alignment horizontal="left"/>
    </xf>
    <xf numFmtId="0" fontId="11" fillId="0" borderId="62" xfId="0" applyFont="1" applyBorder="1" applyAlignment="1">
      <alignment horizontal="left" wrapText="1"/>
    </xf>
  </cellXfs>
  <cellStyles count="5">
    <cellStyle name="Hipervínculo" xfId="2" builtinId="8"/>
    <cellStyle name="Normal" xfId="0" builtinId="0"/>
    <cellStyle name="Normal 2 2" xfId="4" xr:uid="{7C8D7A40-0834-4F3A-8BA8-CBCC7FF8B61F}"/>
    <cellStyle name="Normal 2 6" xfId="3" xr:uid="{1E02B673-7F66-4369-BBD0-32A06F2F531E}"/>
    <cellStyle name="Porcentaje" xfId="1" builtinId="5"/>
  </cellStyles>
  <dxfs count="0"/>
  <tableStyles count="1" defaultTableStyle="TableStyleMedium2" defaultPivotStyle="PivotStyleLight16">
    <tableStyle name="Invisible" pivot="0" table="0" count="0" xr9:uid="{555BEE27-6F79-4C87-87C0-1B708C6B66A8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calcChain" Target="calcChain.xml"/><Relationship Id="rId50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customXml" Target="../customXml/item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sharedStrings" Target="sharedString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Relationship Id="rId4" Type="http://schemas.openxmlformats.org/officeDocument/2006/relationships/chartUserShapes" Target="../drawings/drawing9.xml"/></Relationships>
</file>

<file path=xl/charts/_rels/chart1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.xml"/><Relationship Id="rId2" Type="http://schemas.microsoft.com/office/2011/relationships/chartColorStyle" Target="colors10.xml"/><Relationship Id="rId1" Type="http://schemas.microsoft.com/office/2011/relationships/chartStyle" Target="style10.xml"/><Relationship Id="rId4" Type="http://schemas.openxmlformats.org/officeDocument/2006/relationships/chartUserShapes" Target="../drawings/drawing18.xml"/></Relationships>
</file>

<file path=xl/charts/_rels/chart1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.xml"/><Relationship Id="rId2" Type="http://schemas.microsoft.com/office/2011/relationships/chartColorStyle" Target="colors11.xml"/><Relationship Id="rId1" Type="http://schemas.microsoft.com/office/2011/relationships/chartStyle" Target="style11.xml"/><Relationship Id="rId4" Type="http://schemas.openxmlformats.org/officeDocument/2006/relationships/chartUserShapes" Target="../drawings/drawing19.xml"/></Relationships>
</file>

<file path=xl/charts/_rels/chart1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2.xml"/><Relationship Id="rId2" Type="http://schemas.microsoft.com/office/2011/relationships/chartColorStyle" Target="colors12.xml"/><Relationship Id="rId1" Type="http://schemas.microsoft.com/office/2011/relationships/chartStyle" Target="style12.xml"/><Relationship Id="rId4" Type="http://schemas.openxmlformats.org/officeDocument/2006/relationships/chartUserShapes" Target="../drawings/drawing20.xml"/></Relationships>
</file>

<file path=xl/charts/_rels/chart1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3.xml"/><Relationship Id="rId2" Type="http://schemas.microsoft.com/office/2011/relationships/chartColorStyle" Target="colors13.xml"/><Relationship Id="rId1" Type="http://schemas.microsoft.com/office/2011/relationships/chartStyle" Target="style13.xml"/><Relationship Id="rId4" Type="http://schemas.openxmlformats.org/officeDocument/2006/relationships/chartUserShapes" Target="../drawings/drawing21.xml"/></Relationships>
</file>

<file path=xl/charts/_rels/chart1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4.xml"/><Relationship Id="rId2" Type="http://schemas.microsoft.com/office/2011/relationships/chartColorStyle" Target="colors14.xml"/><Relationship Id="rId1" Type="http://schemas.microsoft.com/office/2011/relationships/chartStyle" Target="style14.xml"/><Relationship Id="rId4" Type="http://schemas.openxmlformats.org/officeDocument/2006/relationships/chartUserShapes" Target="../drawings/drawing24.xml"/></Relationships>
</file>

<file path=xl/charts/_rels/chart1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5.xml"/><Relationship Id="rId2" Type="http://schemas.microsoft.com/office/2011/relationships/chartColorStyle" Target="colors15.xml"/><Relationship Id="rId1" Type="http://schemas.microsoft.com/office/2011/relationships/chartStyle" Target="style15.xml"/><Relationship Id="rId4" Type="http://schemas.openxmlformats.org/officeDocument/2006/relationships/chartUserShapes" Target="../drawings/drawing25.xml"/></Relationships>
</file>

<file path=xl/charts/_rels/chart1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6.xml"/><Relationship Id="rId2" Type="http://schemas.microsoft.com/office/2011/relationships/chartColorStyle" Target="colors16.xml"/><Relationship Id="rId1" Type="http://schemas.microsoft.com/office/2011/relationships/chartStyle" Target="style16.xml"/><Relationship Id="rId4" Type="http://schemas.openxmlformats.org/officeDocument/2006/relationships/chartUserShapes" Target="../drawings/drawing26.xml"/></Relationships>
</file>

<file path=xl/charts/_rels/chart1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7.xml"/><Relationship Id="rId2" Type="http://schemas.microsoft.com/office/2011/relationships/chartColorStyle" Target="colors17.xml"/><Relationship Id="rId1" Type="http://schemas.microsoft.com/office/2011/relationships/chartStyle" Target="style17.xml"/><Relationship Id="rId4" Type="http://schemas.openxmlformats.org/officeDocument/2006/relationships/chartUserShapes" Target="../drawings/drawing27.xml"/></Relationships>
</file>

<file path=xl/charts/_rels/chart1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8.xml"/><Relationship Id="rId2" Type="http://schemas.microsoft.com/office/2011/relationships/chartColorStyle" Target="colors18.xml"/><Relationship Id="rId1" Type="http://schemas.microsoft.com/office/2011/relationships/chartStyle" Target="style18.xml"/><Relationship Id="rId4" Type="http://schemas.openxmlformats.org/officeDocument/2006/relationships/chartUserShapes" Target="../drawings/drawing28.xml"/></Relationships>
</file>

<file path=xl/charts/_rels/chart1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9.xml"/><Relationship Id="rId2" Type="http://schemas.microsoft.com/office/2011/relationships/chartColorStyle" Target="colors19.xml"/><Relationship Id="rId1" Type="http://schemas.microsoft.com/office/2011/relationships/chartStyle" Target="style19.xml"/><Relationship Id="rId4" Type="http://schemas.openxmlformats.org/officeDocument/2006/relationships/chartUserShapes" Target="../drawings/drawing30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2.xml"/><Relationship Id="rId1" Type="http://schemas.microsoft.com/office/2011/relationships/chartStyle" Target="style2.xml"/><Relationship Id="rId4" Type="http://schemas.openxmlformats.org/officeDocument/2006/relationships/chartUserShapes" Target="../drawings/drawing10.xml"/></Relationships>
</file>

<file path=xl/charts/_rels/chart2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0.xml"/><Relationship Id="rId2" Type="http://schemas.microsoft.com/office/2011/relationships/chartColorStyle" Target="colors20.xml"/><Relationship Id="rId1" Type="http://schemas.microsoft.com/office/2011/relationships/chartStyle" Target="style20.xml"/><Relationship Id="rId4" Type="http://schemas.openxmlformats.org/officeDocument/2006/relationships/chartUserShapes" Target="../drawings/drawing31.xml"/></Relationships>
</file>

<file path=xl/charts/_rels/chart2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1.xml"/><Relationship Id="rId2" Type="http://schemas.microsoft.com/office/2011/relationships/chartColorStyle" Target="colors21.xml"/><Relationship Id="rId1" Type="http://schemas.microsoft.com/office/2011/relationships/chartStyle" Target="style21.xml"/><Relationship Id="rId4" Type="http://schemas.openxmlformats.org/officeDocument/2006/relationships/chartUserShapes" Target="../drawings/drawing32.xml"/></Relationships>
</file>

<file path=xl/charts/_rels/chart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5.xml"/><Relationship Id="rId1" Type="http://schemas.openxmlformats.org/officeDocument/2006/relationships/themeOverride" Target="../theme/themeOverride22.xml"/></Relationships>
</file>

<file path=xl/charts/_rels/chart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7.xml"/><Relationship Id="rId1" Type="http://schemas.openxmlformats.org/officeDocument/2006/relationships/themeOverride" Target="../theme/themeOverride23.xml"/></Relationships>
</file>

<file path=xl/charts/_rels/chart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9.xml"/><Relationship Id="rId1" Type="http://schemas.openxmlformats.org/officeDocument/2006/relationships/themeOverride" Target="../theme/themeOverride24.xml"/></Relationships>
</file>

<file path=xl/charts/_rels/chart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1.xml"/><Relationship Id="rId1" Type="http://schemas.openxmlformats.org/officeDocument/2006/relationships/themeOverride" Target="../theme/themeOverride25.xml"/></Relationships>
</file>

<file path=xl/charts/_rels/chart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6.xml"/><Relationship Id="rId1" Type="http://schemas.openxmlformats.org/officeDocument/2006/relationships/themeOverride" Target="../theme/themeOverride26.xml"/></Relationships>
</file>

<file path=xl/charts/_rels/chart2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7.xml"/><Relationship Id="rId2" Type="http://schemas.microsoft.com/office/2011/relationships/chartColorStyle" Target="colors22.xml"/><Relationship Id="rId1" Type="http://schemas.microsoft.com/office/2011/relationships/chartStyle" Target="style22.xml"/><Relationship Id="rId4" Type="http://schemas.openxmlformats.org/officeDocument/2006/relationships/chartUserShapes" Target="../drawings/drawing49.xml"/></Relationships>
</file>

<file path=xl/charts/_rels/chart2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8.xml"/><Relationship Id="rId2" Type="http://schemas.microsoft.com/office/2011/relationships/chartColorStyle" Target="colors23.xml"/><Relationship Id="rId1" Type="http://schemas.microsoft.com/office/2011/relationships/chartStyle" Target="style23.xml"/><Relationship Id="rId4" Type="http://schemas.openxmlformats.org/officeDocument/2006/relationships/chartUserShapes" Target="../drawings/drawing50.xml"/></Relationships>
</file>

<file path=xl/charts/_rels/chart2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9.xml"/><Relationship Id="rId2" Type="http://schemas.microsoft.com/office/2011/relationships/chartColorStyle" Target="colors24.xml"/><Relationship Id="rId1" Type="http://schemas.microsoft.com/office/2011/relationships/chartStyle" Target="style24.xml"/><Relationship Id="rId4" Type="http://schemas.openxmlformats.org/officeDocument/2006/relationships/chartUserShapes" Target="../drawings/drawing51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3.xml"/><Relationship Id="rId1" Type="http://schemas.microsoft.com/office/2011/relationships/chartStyle" Target="style3.xml"/><Relationship Id="rId4" Type="http://schemas.openxmlformats.org/officeDocument/2006/relationships/chartUserShapes" Target="../drawings/drawing11.xml"/></Relationships>
</file>

<file path=xl/charts/_rels/chart3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0.xml"/><Relationship Id="rId2" Type="http://schemas.microsoft.com/office/2011/relationships/chartColorStyle" Target="colors25.xml"/><Relationship Id="rId1" Type="http://schemas.microsoft.com/office/2011/relationships/chartStyle" Target="style25.xml"/><Relationship Id="rId4" Type="http://schemas.openxmlformats.org/officeDocument/2006/relationships/chartUserShapes" Target="../drawings/drawing52.xml"/></Relationships>
</file>

<file path=xl/charts/_rels/chart3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1.xml"/><Relationship Id="rId2" Type="http://schemas.microsoft.com/office/2011/relationships/chartColorStyle" Target="colors26.xml"/><Relationship Id="rId1" Type="http://schemas.microsoft.com/office/2011/relationships/chartStyle" Target="style26.xml"/><Relationship Id="rId4" Type="http://schemas.openxmlformats.org/officeDocument/2006/relationships/chartUserShapes" Target="../drawings/drawing53.xml"/></Relationships>
</file>

<file path=xl/charts/_rels/chart3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2.xml"/><Relationship Id="rId2" Type="http://schemas.microsoft.com/office/2011/relationships/chartColorStyle" Target="colors27.xml"/><Relationship Id="rId1" Type="http://schemas.microsoft.com/office/2011/relationships/chartStyle" Target="style27.xml"/><Relationship Id="rId4" Type="http://schemas.openxmlformats.org/officeDocument/2006/relationships/chartUserShapes" Target="../drawings/drawing54.xml"/></Relationships>
</file>

<file path=xl/charts/_rels/chart3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3.xml"/><Relationship Id="rId2" Type="http://schemas.microsoft.com/office/2011/relationships/chartColorStyle" Target="colors28.xml"/><Relationship Id="rId1" Type="http://schemas.microsoft.com/office/2011/relationships/chartStyle" Target="style28.xml"/><Relationship Id="rId4" Type="http://schemas.openxmlformats.org/officeDocument/2006/relationships/chartUserShapes" Target="../drawings/drawing55.xml"/></Relationships>
</file>

<file path=xl/charts/_rels/chart3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4.xml"/><Relationship Id="rId2" Type="http://schemas.microsoft.com/office/2011/relationships/chartColorStyle" Target="colors29.xml"/><Relationship Id="rId1" Type="http://schemas.microsoft.com/office/2011/relationships/chartStyle" Target="style29.xml"/><Relationship Id="rId4" Type="http://schemas.openxmlformats.org/officeDocument/2006/relationships/chartUserShapes" Target="../drawings/drawing56.xml"/></Relationships>
</file>

<file path=xl/charts/_rels/chart3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5.xml"/><Relationship Id="rId2" Type="http://schemas.microsoft.com/office/2011/relationships/chartColorStyle" Target="colors30.xml"/><Relationship Id="rId1" Type="http://schemas.microsoft.com/office/2011/relationships/chartStyle" Target="style30.xml"/><Relationship Id="rId4" Type="http://schemas.openxmlformats.org/officeDocument/2006/relationships/chartUserShapes" Target="../drawings/drawing57.xml"/></Relationships>
</file>

<file path=xl/charts/_rels/chart3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6.xml"/><Relationship Id="rId2" Type="http://schemas.microsoft.com/office/2011/relationships/chartColorStyle" Target="colors31.xml"/><Relationship Id="rId1" Type="http://schemas.microsoft.com/office/2011/relationships/chartStyle" Target="style31.xml"/><Relationship Id="rId4" Type="http://schemas.openxmlformats.org/officeDocument/2006/relationships/chartUserShapes" Target="../drawings/drawing58.xml"/></Relationships>
</file>

<file path=xl/charts/_rels/chart3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7.xml"/><Relationship Id="rId2" Type="http://schemas.microsoft.com/office/2011/relationships/chartColorStyle" Target="colors32.xml"/><Relationship Id="rId1" Type="http://schemas.microsoft.com/office/2011/relationships/chartStyle" Target="style32.xml"/><Relationship Id="rId4" Type="http://schemas.openxmlformats.org/officeDocument/2006/relationships/chartUserShapes" Target="../drawings/drawing59.xml"/></Relationships>
</file>

<file path=xl/charts/_rels/chart3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8.xml"/><Relationship Id="rId2" Type="http://schemas.microsoft.com/office/2011/relationships/chartColorStyle" Target="colors33.xml"/><Relationship Id="rId1" Type="http://schemas.microsoft.com/office/2011/relationships/chartStyle" Target="style33.xml"/><Relationship Id="rId4" Type="http://schemas.openxmlformats.org/officeDocument/2006/relationships/chartUserShapes" Target="../drawings/drawing60.xml"/></Relationships>
</file>

<file path=xl/charts/_rels/chart3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9.xml"/><Relationship Id="rId2" Type="http://schemas.microsoft.com/office/2011/relationships/chartColorStyle" Target="colors34.xml"/><Relationship Id="rId1" Type="http://schemas.microsoft.com/office/2011/relationships/chartStyle" Target="style34.xml"/><Relationship Id="rId4" Type="http://schemas.openxmlformats.org/officeDocument/2006/relationships/chartUserShapes" Target="../drawings/drawing62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.xml"/><Relationship Id="rId2" Type="http://schemas.microsoft.com/office/2011/relationships/chartColorStyle" Target="colors4.xml"/><Relationship Id="rId1" Type="http://schemas.microsoft.com/office/2011/relationships/chartStyle" Target="style4.xml"/><Relationship Id="rId4" Type="http://schemas.openxmlformats.org/officeDocument/2006/relationships/chartUserShapes" Target="../drawings/drawing12.xml"/></Relationships>
</file>

<file path=xl/charts/_rels/chart4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0.xml"/><Relationship Id="rId2" Type="http://schemas.microsoft.com/office/2011/relationships/chartColorStyle" Target="colors35.xml"/><Relationship Id="rId1" Type="http://schemas.microsoft.com/office/2011/relationships/chartStyle" Target="style35.xml"/><Relationship Id="rId4" Type="http://schemas.openxmlformats.org/officeDocument/2006/relationships/chartUserShapes" Target="../drawings/drawing63.xml"/></Relationships>
</file>

<file path=xl/charts/_rels/chart4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1.xml"/><Relationship Id="rId2" Type="http://schemas.microsoft.com/office/2011/relationships/chartColorStyle" Target="colors36.xml"/><Relationship Id="rId1" Type="http://schemas.microsoft.com/office/2011/relationships/chartStyle" Target="style36.xml"/><Relationship Id="rId4" Type="http://schemas.openxmlformats.org/officeDocument/2006/relationships/chartUserShapes" Target="../drawings/drawing64.xml"/></Relationships>
</file>

<file path=xl/charts/_rels/chart4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2.xml"/><Relationship Id="rId2" Type="http://schemas.microsoft.com/office/2011/relationships/chartColorStyle" Target="colors37.xml"/><Relationship Id="rId1" Type="http://schemas.microsoft.com/office/2011/relationships/chartStyle" Target="style37.xml"/><Relationship Id="rId4" Type="http://schemas.openxmlformats.org/officeDocument/2006/relationships/chartUserShapes" Target="../drawings/drawing65.xml"/></Relationships>
</file>

<file path=xl/charts/_rels/chart4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3.xml"/><Relationship Id="rId2" Type="http://schemas.microsoft.com/office/2011/relationships/chartColorStyle" Target="colors38.xml"/><Relationship Id="rId1" Type="http://schemas.microsoft.com/office/2011/relationships/chartStyle" Target="style38.xml"/><Relationship Id="rId4" Type="http://schemas.openxmlformats.org/officeDocument/2006/relationships/chartUserShapes" Target="../drawings/drawing66.xml"/></Relationships>
</file>

<file path=xl/charts/_rels/chart4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4.xml"/><Relationship Id="rId2" Type="http://schemas.microsoft.com/office/2011/relationships/chartColorStyle" Target="colors39.xml"/><Relationship Id="rId1" Type="http://schemas.microsoft.com/office/2011/relationships/chartStyle" Target="style39.xml"/><Relationship Id="rId4" Type="http://schemas.openxmlformats.org/officeDocument/2006/relationships/chartUserShapes" Target="../drawings/drawing71.xml"/></Relationships>
</file>

<file path=xl/charts/_rels/chart4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5.xml"/><Relationship Id="rId2" Type="http://schemas.microsoft.com/office/2011/relationships/chartColorStyle" Target="colors40.xml"/><Relationship Id="rId1" Type="http://schemas.microsoft.com/office/2011/relationships/chartStyle" Target="style40.xml"/><Relationship Id="rId4" Type="http://schemas.openxmlformats.org/officeDocument/2006/relationships/chartUserShapes" Target="../drawings/drawing72.xml"/></Relationships>
</file>

<file path=xl/charts/_rels/chart4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6.xml"/><Relationship Id="rId2" Type="http://schemas.microsoft.com/office/2011/relationships/chartColorStyle" Target="colors41.xml"/><Relationship Id="rId1" Type="http://schemas.microsoft.com/office/2011/relationships/chartStyle" Target="style41.xml"/><Relationship Id="rId4" Type="http://schemas.openxmlformats.org/officeDocument/2006/relationships/chartUserShapes" Target="../drawings/drawing73.xml"/></Relationships>
</file>

<file path=xl/charts/_rels/chart4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7.xml"/><Relationship Id="rId2" Type="http://schemas.microsoft.com/office/2011/relationships/chartColorStyle" Target="colors42.xml"/><Relationship Id="rId1" Type="http://schemas.microsoft.com/office/2011/relationships/chartStyle" Target="style42.xml"/><Relationship Id="rId4" Type="http://schemas.openxmlformats.org/officeDocument/2006/relationships/chartUserShapes" Target="../drawings/drawing74.xml"/></Relationships>
</file>

<file path=xl/charts/_rels/chart4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8.xml"/><Relationship Id="rId2" Type="http://schemas.microsoft.com/office/2011/relationships/chartColorStyle" Target="colors43.xml"/><Relationship Id="rId1" Type="http://schemas.microsoft.com/office/2011/relationships/chartStyle" Target="style43.xml"/><Relationship Id="rId4" Type="http://schemas.openxmlformats.org/officeDocument/2006/relationships/chartUserShapes" Target="../drawings/drawing75.xml"/></Relationships>
</file>

<file path=xl/charts/_rels/chart4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9.xml"/><Relationship Id="rId2" Type="http://schemas.microsoft.com/office/2011/relationships/chartColorStyle" Target="colors44.xml"/><Relationship Id="rId1" Type="http://schemas.microsoft.com/office/2011/relationships/chartStyle" Target="style44.xml"/><Relationship Id="rId4" Type="http://schemas.openxmlformats.org/officeDocument/2006/relationships/chartUserShapes" Target="../drawings/drawing76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.xml"/><Relationship Id="rId2" Type="http://schemas.microsoft.com/office/2011/relationships/chartColorStyle" Target="colors5.xml"/><Relationship Id="rId1" Type="http://schemas.microsoft.com/office/2011/relationships/chartStyle" Target="style5.xml"/><Relationship Id="rId4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0.xml"/><Relationship Id="rId2" Type="http://schemas.microsoft.com/office/2011/relationships/chartColorStyle" Target="colors45.xml"/><Relationship Id="rId1" Type="http://schemas.microsoft.com/office/2011/relationships/chartStyle" Target="style45.xml"/><Relationship Id="rId4" Type="http://schemas.openxmlformats.org/officeDocument/2006/relationships/chartUserShapes" Target="../drawings/drawing77.xml"/></Relationships>
</file>

<file path=xl/charts/_rels/chart5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1.xml"/><Relationship Id="rId2" Type="http://schemas.microsoft.com/office/2011/relationships/chartColorStyle" Target="colors46.xml"/><Relationship Id="rId1" Type="http://schemas.microsoft.com/office/2011/relationships/chartStyle" Target="style46.xml"/><Relationship Id="rId4" Type="http://schemas.openxmlformats.org/officeDocument/2006/relationships/chartUserShapes" Target="../drawings/drawing78.xml"/></Relationships>
</file>

<file path=xl/charts/_rels/chart5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2.xml"/><Relationship Id="rId2" Type="http://schemas.microsoft.com/office/2011/relationships/chartColorStyle" Target="colors47.xml"/><Relationship Id="rId1" Type="http://schemas.microsoft.com/office/2011/relationships/chartStyle" Target="style47.xml"/><Relationship Id="rId4" Type="http://schemas.openxmlformats.org/officeDocument/2006/relationships/chartUserShapes" Target="../drawings/drawing79.xml"/></Relationships>
</file>

<file path=xl/charts/_rels/chart5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3.xml"/><Relationship Id="rId2" Type="http://schemas.microsoft.com/office/2011/relationships/chartColorStyle" Target="colors48.xml"/><Relationship Id="rId1" Type="http://schemas.microsoft.com/office/2011/relationships/chartStyle" Target="style48.xml"/><Relationship Id="rId4" Type="http://schemas.openxmlformats.org/officeDocument/2006/relationships/chartUserShapes" Target="../drawings/drawing80.xml"/></Relationships>
</file>

<file path=xl/charts/_rels/chart5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4.xml"/><Relationship Id="rId2" Type="http://schemas.microsoft.com/office/2011/relationships/chartColorStyle" Target="colors49.xml"/><Relationship Id="rId1" Type="http://schemas.microsoft.com/office/2011/relationships/chartStyle" Target="style49.xml"/><Relationship Id="rId4" Type="http://schemas.openxmlformats.org/officeDocument/2006/relationships/chartUserShapes" Target="../drawings/drawing81.xml"/></Relationships>
</file>

<file path=xl/charts/_rels/chart5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5.xml"/><Relationship Id="rId2" Type="http://schemas.microsoft.com/office/2011/relationships/chartColorStyle" Target="colors50.xml"/><Relationship Id="rId1" Type="http://schemas.microsoft.com/office/2011/relationships/chartStyle" Target="style50.xml"/><Relationship Id="rId4" Type="http://schemas.openxmlformats.org/officeDocument/2006/relationships/chartUserShapes" Target="../drawings/drawing82.xml"/></Relationships>
</file>

<file path=xl/charts/_rels/chart5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6.xml"/><Relationship Id="rId2" Type="http://schemas.microsoft.com/office/2011/relationships/chartColorStyle" Target="colors51.xml"/><Relationship Id="rId1" Type="http://schemas.microsoft.com/office/2011/relationships/chartStyle" Target="style51.xml"/><Relationship Id="rId4" Type="http://schemas.openxmlformats.org/officeDocument/2006/relationships/chartUserShapes" Target="../drawings/drawing83.xml"/></Relationships>
</file>

<file path=xl/charts/_rels/chart5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7.xml"/><Relationship Id="rId2" Type="http://schemas.microsoft.com/office/2011/relationships/chartColorStyle" Target="colors52.xml"/><Relationship Id="rId1" Type="http://schemas.microsoft.com/office/2011/relationships/chartStyle" Target="style52.xml"/><Relationship Id="rId4" Type="http://schemas.openxmlformats.org/officeDocument/2006/relationships/chartUserShapes" Target="../drawings/drawing85.xml"/></Relationships>
</file>

<file path=xl/charts/_rels/chart5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8.xml"/><Relationship Id="rId2" Type="http://schemas.microsoft.com/office/2011/relationships/chartColorStyle" Target="colors53.xml"/><Relationship Id="rId1" Type="http://schemas.microsoft.com/office/2011/relationships/chartStyle" Target="style53.xml"/><Relationship Id="rId4" Type="http://schemas.openxmlformats.org/officeDocument/2006/relationships/chartUserShapes" Target="../drawings/drawing86.xml"/></Relationships>
</file>

<file path=xl/charts/_rels/chart5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9.xml"/><Relationship Id="rId2" Type="http://schemas.microsoft.com/office/2011/relationships/chartColorStyle" Target="colors54.xml"/><Relationship Id="rId1" Type="http://schemas.microsoft.com/office/2011/relationships/chartStyle" Target="style54.xml"/><Relationship Id="rId4" Type="http://schemas.openxmlformats.org/officeDocument/2006/relationships/chartUserShapes" Target="../drawings/drawing87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.xml"/><Relationship Id="rId2" Type="http://schemas.microsoft.com/office/2011/relationships/chartColorStyle" Target="colors6.xml"/><Relationship Id="rId1" Type="http://schemas.microsoft.com/office/2011/relationships/chartStyle" Target="style6.xml"/><Relationship Id="rId4" Type="http://schemas.openxmlformats.org/officeDocument/2006/relationships/chartUserShapes" Target="../drawings/drawing14.xml"/></Relationships>
</file>

<file path=xl/charts/_rels/chart6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0.xml"/><Relationship Id="rId2" Type="http://schemas.microsoft.com/office/2011/relationships/chartColorStyle" Target="colors55.xml"/><Relationship Id="rId1" Type="http://schemas.microsoft.com/office/2011/relationships/chartStyle" Target="style55.xml"/><Relationship Id="rId4" Type="http://schemas.openxmlformats.org/officeDocument/2006/relationships/chartUserShapes" Target="../drawings/drawing88.xml"/></Relationships>
</file>

<file path=xl/charts/_rels/chart6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1.xml"/><Relationship Id="rId2" Type="http://schemas.microsoft.com/office/2011/relationships/chartColorStyle" Target="colors56.xml"/><Relationship Id="rId1" Type="http://schemas.microsoft.com/office/2011/relationships/chartStyle" Target="style56.xml"/><Relationship Id="rId4" Type="http://schemas.openxmlformats.org/officeDocument/2006/relationships/chartUserShapes" Target="../drawings/drawing89.xml"/></Relationships>
</file>

<file path=xl/charts/_rels/chart6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2.xml"/><Relationship Id="rId2" Type="http://schemas.microsoft.com/office/2011/relationships/chartColorStyle" Target="colors57.xml"/><Relationship Id="rId1" Type="http://schemas.microsoft.com/office/2011/relationships/chartStyle" Target="style57.xml"/><Relationship Id="rId4" Type="http://schemas.openxmlformats.org/officeDocument/2006/relationships/chartUserShapes" Target="../drawings/drawing92.xml"/></Relationships>
</file>

<file path=xl/charts/_rels/chart6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3.xml"/><Relationship Id="rId2" Type="http://schemas.microsoft.com/office/2011/relationships/chartColorStyle" Target="colors58.xml"/><Relationship Id="rId1" Type="http://schemas.microsoft.com/office/2011/relationships/chartStyle" Target="style58.xml"/><Relationship Id="rId4" Type="http://schemas.openxmlformats.org/officeDocument/2006/relationships/chartUserShapes" Target="../drawings/drawing93.xml"/></Relationships>
</file>

<file path=xl/charts/_rels/chart6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4.xml"/><Relationship Id="rId2" Type="http://schemas.microsoft.com/office/2011/relationships/chartColorStyle" Target="colors59.xml"/><Relationship Id="rId1" Type="http://schemas.microsoft.com/office/2011/relationships/chartStyle" Target="style59.xml"/><Relationship Id="rId4" Type="http://schemas.openxmlformats.org/officeDocument/2006/relationships/chartUserShapes" Target="../drawings/drawing94.xml"/></Relationships>
</file>

<file path=xl/charts/_rels/chart6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5.xml"/><Relationship Id="rId2" Type="http://schemas.microsoft.com/office/2011/relationships/chartColorStyle" Target="colors60.xml"/><Relationship Id="rId1" Type="http://schemas.microsoft.com/office/2011/relationships/chartStyle" Target="style60.xml"/><Relationship Id="rId4" Type="http://schemas.openxmlformats.org/officeDocument/2006/relationships/chartUserShapes" Target="../drawings/drawing95.xml"/></Relationships>
</file>

<file path=xl/charts/_rels/chart6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6.xml"/><Relationship Id="rId2" Type="http://schemas.microsoft.com/office/2011/relationships/chartColorStyle" Target="colors61.xml"/><Relationship Id="rId1" Type="http://schemas.microsoft.com/office/2011/relationships/chartStyle" Target="style61.xml"/><Relationship Id="rId4" Type="http://schemas.openxmlformats.org/officeDocument/2006/relationships/chartUserShapes" Target="../drawings/drawing96.xml"/></Relationships>
</file>

<file path=xl/charts/_rels/chart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1.xml"/></Relationships>
</file>

<file path=xl/charts/_rels/chart6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2.xml"/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6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3.xml"/><Relationship Id="rId1" Type="http://schemas.openxmlformats.org/officeDocument/2006/relationships/themeOverride" Target="../theme/themeOverride67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.xml"/><Relationship Id="rId2" Type="http://schemas.microsoft.com/office/2011/relationships/chartColorStyle" Target="colors7.xml"/><Relationship Id="rId1" Type="http://schemas.microsoft.com/office/2011/relationships/chartStyle" Target="style7.xml"/><Relationship Id="rId4" Type="http://schemas.openxmlformats.org/officeDocument/2006/relationships/chartUserShapes" Target="../drawings/drawing15.xml"/></Relationships>
</file>

<file path=xl/charts/_rels/chart7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5.xml"/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7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6.xml"/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7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8.xml"/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7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9.xml"/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7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1.xml"/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7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2.xml"/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7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4.xml"/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7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5.xml"/><Relationship Id="rId1" Type="http://schemas.openxmlformats.org/officeDocument/2006/relationships/themeOverride" Target="../theme/themeOverride68.xml"/></Relationships>
</file>

<file path=xl/charts/_rels/chart7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6.xml"/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7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8.xml"/><Relationship Id="rId2" Type="http://schemas.microsoft.com/office/2011/relationships/chartColorStyle" Target="colors71.xml"/><Relationship Id="rId1" Type="http://schemas.microsoft.com/office/2011/relationships/chartStyle" Target="style71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.xml"/><Relationship Id="rId2" Type="http://schemas.microsoft.com/office/2011/relationships/chartColorStyle" Target="colors8.xml"/><Relationship Id="rId1" Type="http://schemas.microsoft.com/office/2011/relationships/chartStyle" Target="style8.xml"/><Relationship Id="rId4" Type="http://schemas.openxmlformats.org/officeDocument/2006/relationships/chartUserShapes" Target="../drawings/drawing16.xml"/></Relationships>
</file>

<file path=xl/charts/_rels/chart8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9.xml"/><Relationship Id="rId1" Type="http://schemas.openxmlformats.org/officeDocument/2006/relationships/themeOverride" Target="../theme/themeOverride69.xml"/></Relationships>
</file>

<file path=xl/charts/_rels/chart8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0.xml"/><Relationship Id="rId2" Type="http://schemas.microsoft.com/office/2011/relationships/chartColorStyle" Target="colors72.xml"/><Relationship Id="rId1" Type="http://schemas.microsoft.com/office/2011/relationships/chartStyle" Target="style72.xml"/></Relationships>
</file>

<file path=xl/charts/_rels/chart8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2.xml"/><Relationship Id="rId2" Type="http://schemas.microsoft.com/office/2011/relationships/chartColorStyle" Target="colors73.xml"/><Relationship Id="rId1" Type="http://schemas.microsoft.com/office/2011/relationships/chartStyle" Target="style73.xml"/></Relationships>
</file>

<file path=xl/charts/_rels/chart8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3.xml"/><Relationship Id="rId1" Type="http://schemas.openxmlformats.org/officeDocument/2006/relationships/themeOverride" Target="../theme/themeOverride70.xml"/></Relationships>
</file>

<file path=xl/charts/_rels/chart8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4.xml"/><Relationship Id="rId2" Type="http://schemas.microsoft.com/office/2011/relationships/chartColorStyle" Target="colors74.xml"/><Relationship Id="rId1" Type="http://schemas.microsoft.com/office/2011/relationships/chartStyle" Target="style74.xml"/></Relationships>
</file>

<file path=xl/charts/_rels/chart8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1.xml"/><Relationship Id="rId2" Type="http://schemas.microsoft.com/office/2011/relationships/chartColorStyle" Target="colors75.xml"/><Relationship Id="rId1" Type="http://schemas.microsoft.com/office/2011/relationships/chartStyle" Target="style75.xml"/><Relationship Id="rId4" Type="http://schemas.openxmlformats.org/officeDocument/2006/relationships/chartUserShapes" Target="../drawings/drawing126.xml"/></Relationships>
</file>

<file path=xl/charts/_rels/chart8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2.xml"/><Relationship Id="rId2" Type="http://schemas.microsoft.com/office/2011/relationships/chartColorStyle" Target="colors76.xml"/><Relationship Id="rId1" Type="http://schemas.microsoft.com/office/2011/relationships/chartStyle" Target="style76.xml"/><Relationship Id="rId4" Type="http://schemas.openxmlformats.org/officeDocument/2006/relationships/chartUserShapes" Target="../drawings/drawing128.xml"/></Relationships>
</file>

<file path=xl/charts/_rels/chart8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3.xml"/><Relationship Id="rId2" Type="http://schemas.microsoft.com/office/2011/relationships/chartColorStyle" Target="colors77.xml"/><Relationship Id="rId1" Type="http://schemas.microsoft.com/office/2011/relationships/chartStyle" Target="style77.xml"/><Relationship Id="rId4" Type="http://schemas.openxmlformats.org/officeDocument/2006/relationships/chartUserShapes" Target="../drawings/drawing130.xml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.xml"/><Relationship Id="rId2" Type="http://schemas.microsoft.com/office/2011/relationships/chartColorStyle" Target="colors9.xml"/><Relationship Id="rId1" Type="http://schemas.microsoft.com/office/2011/relationships/chartStyle" Target="style9.xml"/><Relationship Id="rId4" Type="http://schemas.openxmlformats.org/officeDocument/2006/relationships/chartUserShapes" Target="../drawings/drawing1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23A-4309-AEA6-E8AA63A4CD07}"/>
              </c:ext>
            </c:extLst>
          </c:dPt>
          <c:val>
            <c:numRef>
              <c:f>'Viajeros entr evol mensu TF'!$I$9:$I$21</c:f>
              <c:numCache>
                <c:formatCode>#,##0</c:formatCode>
                <c:ptCount val="13"/>
                <c:pt idx="0">
                  <c:v>60088</c:v>
                </c:pt>
                <c:pt idx="1">
                  <c:v>57829</c:v>
                </c:pt>
                <c:pt idx="2">
                  <c:v>66430</c:v>
                </c:pt>
                <c:pt idx="3">
                  <c:v>65148</c:v>
                </c:pt>
                <c:pt idx="4">
                  <c:v>58098</c:v>
                </c:pt>
                <c:pt idx="5">
                  <c:v>71344</c:v>
                </c:pt>
                <c:pt idx="6">
                  <c:v>74357</c:v>
                </c:pt>
                <c:pt idx="7">
                  <c:v>73184</c:v>
                </c:pt>
                <c:pt idx="8">
                  <c:v>71851</c:v>
                </c:pt>
                <c:pt idx="9">
                  <c:v>70925</c:v>
                </c:pt>
                <c:pt idx="10">
                  <c:v>66055</c:v>
                </c:pt>
                <c:pt idx="11">
                  <c:v>62539</c:v>
                </c:pt>
                <c:pt idx="12">
                  <c:v>797848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23A-4309-AEA6-E8AA63A4CD07}"/>
            </c:ext>
          </c:extLst>
        </c:ser>
        <c:ser>
          <c:idx val="0"/>
          <c:order val="2"/>
          <c:tx>
            <c:strRef>
              <c:f>'Viajeros entr evol mensu TF'!$K$7:$L$7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23A-4309-AEA6-E8AA63A4CD07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TF'!$K$9:$K$21</c:f>
              <c:numCache>
                <c:formatCode>#,##0</c:formatCode>
                <c:ptCount val="13"/>
                <c:pt idx="0">
                  <c:v>64481</c:v>
                </c:pt>
                <c:pt idx="1">
                  <c:v>66869</c:v>
                </c:pt>
                <c:pt idx="2">
                  <c:v>76278</c:v>
                </c:pt>
                <c:pt idx="3">
                  <c:v>66545</c:v>
                </c:pt>
                <c:pt idx="4">
                  <c:v>77065</c:v>
                </c:pt>
                <c:pt idx="5">
                  <c:v>83393</c:v>
                </c:pt>
                <c:pt idx="6">
                  <c:v>90048</c:v>
                </c:pt>
                <c:pt idx="7">
                  <c:v>89034</c:v>
                </c:pt>
                <c:pt idx="8">
                  <c:v>77584</c:v>
                </c:pt>
                <c:pt idx="9">
                  <c:v>81853</c:v>
                </c:pt>
                <c:pt idx="10">
                  <c:v>73285</c:v>
                </c:pt>
                <c:pt idx="11">
                  <c:v>67921</c:v>
                </c:pt>
                <c:pt idx="12">
                  <c:v>914356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23A-4309-AEA6-E8AA63A4CD07}"/>
            </c:ext>
          </c:extLst>
        </c:ser>
        <c:ser>
          <c:idx val="1"/>
          <c:order val="3"/>
          <c:tx>
            <c:strRef>
              <c:f>'Viajeros entr evol mensu TF'!$M$7:$N$7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E23A-4309-AEA6-E8AA63A4CD0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E23A-4309-AEA6-E8AA63A4CD07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TF'!$M$9:$M$21</c:f>
              <c:numCache>
                <c:formatCode>#,##0</c:formatCode>
                <c:ptCount val="13"/>
                <c:pt idx="0">
                  <c:v>65410</c:v>
                </c:pt>
                <c:pt idx="12">
                  <c:v>65410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23A-4309-AEA6-E8AA63A4CD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01-E23A-4309-AEA6-E8AA63A4CD07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TF'!$C$9:$C$21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61311</c:v>
                      </c:pt>
                      <c:pt idx="1">
                        <c:v>57643</c:v>
                      </c:pt>
                      <c:pt idx="2">
                        <c:v>23288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21705</c:v>
                      </c:pt>
                      <c:pt idx="8">
                        <c:v>17561</c:v>
                      </c:pt>
                      <c:pt idx="9">
                        <c:v>14861</c:v>
                      </c:pt>
                      <c:pt idx="10">
                        <c:v>6170</c:v>
                      </c:pt>
                      <c:pt idx="11">
                        <c:v>8912</c:v>
                      </c:pt>
                      <c:pt idx="12">
                        <c:v>225835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2-E23A-4309-AEA6-E8AA63A4CD07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23A-4309-AEA6-E8AA63A4CD0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23A-4309-AEA6-E8AA63A4CD0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23A-4309-AEA6-E8AA63A4CD0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23A-4309-AEA6-E8AA63A4CD0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23A-4309-AEA6-E8AA63A4CD0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23A-4309-AEA6-E8AA63A4CD0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23A-4309-AEA6-E8AA63A4CD0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23A-4309-AEA6-E8AA63A4CD0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23A-4309-AEA6-E8AA63A4CD0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23A-4309-AEA6-E8AA63A4CD0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23A-4309-AEA6-E8AA63A4CD0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23A-4309-AEA6-E8AA63A4CD0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23A-4309-AEA6-E8AA63A4CD07}"/>
              </c:ext>
            </c:extLst>
          </c:dPt>
          <c:cat>
            <c:strRef>
              <c:f>'Viajeros entr evol mensu TF'!$B$9:$B$20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TF'!$N$9:$N$21</c:f>
              <c:numCache>
                <c:formatCode>0.0%</c:formatCode>
                <c:ptCount val="13"/>
                <c:pt idx="0">
                  <c:v>1.4407344799243216E-2</c:v>
                </c:pt>
                <c:pt idx="12">
                  <c:v>1.4407344799243216E-2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E23A-4309-AEA6-E8AA63A4CD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TF'!$I$205:$J$205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FB1-4591-9556-5DD1858393DF}"/>
              </c:ext>
            </c:extLst>
          </c:dPt>
          <c:val>
            <c:numRef>
              <c:f>'Viajeros entr evol mensu TF'!$I$207:$I$219</c:f>
              <c:numCache>
                <c:formatCode>#,##0</c:formatCode>
                <c:ptCount val="13"/>
                <c:pt idx="0">
                  <c:v>878</c:v>
                </c:pt>
                <c:pt idx="1">
                  <c:v>744</c:v>
                </c:pt>
                <c:pt idx="2">
                  <c:v>855</c:v>
                </c:pt>
                <c:pt idx="3">
                  <c:v>706</c:v>
                </c:pt>
                <c:pt idx="4">
                  <c:v>669</c:v>
                </c:pt>
                <c:pt idx="5">
                  <c:v>895</c:v>
                </c:pt>
                <c:pt idx="6">
                  <c:v>1074</c:v>
                </c:pt>
                <c:pt idx="7">
                  <c:v>1726</c:v>
                </c:pt>
                <c:pt idx="8">
                  <c:v>1287</c:v>
                </c:pt>
                <c:pt idx="9">
                  <c:v>1412</c:v>
                </c:pt>
                <c:pt idx="10">
                  <c:v>1290</c:v>
                </c:pt>
                <c:pt idx="11">
                  <c:v>1375</c:v>
                </c:pt>
                <c:pt idx="12">
                  <c:v>12911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FB1-4591-9556-5DD1858393DF}"/>
            </c:ext>
          </c:extLst>
        </c:ser>
        <c:ser>
          <c:idx val="0"/>
          <c:order val="2"/>
          <c:tx>
            <c:strRef>
              <c:f>'Viajeros entr evol mensu TF'!$K$205:$L$205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FB1-4591-9556-5DD1858393DF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TF'!$K$207:$K$219</c:f>
              <c:numCache>
                <c:formatCode>#,##0</c:formatCode>
                <c:ptCount val="13"/>
                <c:pt idx="0">
                  <c:v>1284</c:v>
                </c:pt>
                <c:pt idx="1">
                  <c:v>1177</c:v>
                </c:pt>
                <c:pt idx="2">
                  <c:v>1050</c:v>
                </c:pt>
                <c:pt idx="3">
                  <c:v>1179</c:v>
                </c:pt>
                <c:pt idx="4">
                  <c:v>1100</c:v>
                </c:pt>
                <c:pt idx="5">
                  <c:v>1467</c:v>
                </c:pt>
                <c:pt idx="6">
                  <c:v>2460</c:v>
                </c:pt>
                <c:pt idx="7">
                  <c:v>2080</c:v>
                </c:pt>
                <c:pt idx="8">
                  <c:v>1667</c:v>
                </c:pt>
                <c:pt idx="9">
                  <c:v>2087</c:v>
                </c:pt>
                <c:pt idx="10">
                  <c:v>1222</c:v>
                </c:pt>
                <c:pt idx="11">
                  <c:v>1725</c:v>
                </c:pt>
                <c:pt idx="12">
                  <c:v>18498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FB1-4591-9556-5DD1858393DF}"/>
            </c:ext>
          </c:extLst>
        </c:ser>
        <c:ser>
          <c:idx val="1"/>
          <c:order val="3"/>
          <c:tx>
            <c:strRef>
              <c:f>'Viajeros entr evol mensu TF'!$M$205:$N$205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6FB1-4591-9556-5DD1858393D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6FB1-4591-9556-5DD1858393DF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TF'!$M$207:$M$219</c:f>
              <c:numCache>
                <c:formatCode>#,##0</c:formatCode>
                <c:ptCount val="13"/>
                <c:pt idx="0">
                  <c:v>1405</c:v>
                </c:pt>
                <c:pt idx="12">
                  <c:v>1405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FB1-4591-9556-5DD1858393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TF'!$C$205:$D$205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01-6FB1-4591-9556-5DD1858393DF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TF'!$C$207:$C$219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543</c:v>
                      </c:pt>
                      <c:pt idx="1">
                        <c:v>665</c:v>
                      </c:pt>
                      <c:pt idx="2">
                        <c:v>256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200</c:v>
                      </c:pt>
                      <c:pt idx="8">
                        <c:v>57</c:v>
                      </c:pt>
                      <c:pt idx="9">
                        <c:v>48</c:v>
                      </c:pt>
                      <c:pt idx="10">
                        <c:v>55</c:v>
                      </c:pt>
                      <c:pt idx="11">
                        <c:v>69</c:v>
                      </c:pt>
                      <c:pt idx="12">
                        <c:v>2074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2-6FB1-4591-9556-5DD1858393DF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TF'!$N$206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FB1-4591-9556-5DD1858393D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FB1-4591-9556-5DD1858393D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FB1-4591-9556-5DD1858393D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FB1-4591-9556-5DD1858393D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FB1-4591-9556-5DD1858393D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FB1-4591-9556-5DD1858393D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FB1-4591-9556-5DD1858393D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FB1-4591-9556-5DD1858393D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FB1-4591-9556-5DD1858393D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FB1-4591-9556-5DD1858393D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FB1-4591-9556-5DD1858393D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FB1-4591-9556-5DD1858393D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FB1-4591-9556-5DD1858393DF}"/>
              </c:ext>
            </c:extLst>
          </c:dPt>
          <c:cat>
            <c:strRef>
              <c:f>'Viajeros entr evol mensu TF'!$B$207:$B$218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TF'!$N$207:$N$219</c:f>
              <c:numCache>
                <c:formatCode>0.0%</c:formatCode>
                <c:ptCount val="13"/>
                <c:pt idx="0">
                  <c:v>9.4236760124610575E-2</c:v>
                </c:pt>
                <c:pt idx="12">
                  <c:v>9.4236760124610575E-2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6FB1-4591-9556-5DD1858393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TF'!$I$227:$J$227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741-477C-B43D-3D0FF5327756}"/>
              </c:ext>
            </c:extLst>
          </c:dPt>
          <c:val>
            <c:numRef>
              <c:f>'Viajeros entr evol mensu TF'!$I$229:$I$241</c:f>
              <c:numCache>
                <c:formatCode>#,##0</c:formatCode>
                <c:ptCount val="13"/>
                <c:pt idx="0">
                  <c:v>577</c:v>
                </c:pt>
                <c:pt idx="1">
                  <c:v>464</c:v>
                </c:pt>
                <c:pt idx="2">
                  <c:v>655</c:v>
                </c:pt>
                <c:pt idx="3">
                  <c:v>328</c:v>
                </c:pt>
                <c:pt idx="4">
                  <c:v>353</c:v>
                </c:pt>
                <c:pt idx="5">
                  <c:v>397</c:v>
                </c:pt>
                <c:pt idx="6">
                  <c:v>799</c:v>
                </c:pt>
                <c:pt idx="7">
                  <c:v>830</c:v>
                </c:pt>
                <c:pt idx="8">
                  <c:v>664</c:v>
                </c:pt>
                <c:pt idx="9">
                  <c:v>701</c:v>
                </c:pt>
                <c:pt idx="10">
                  <c:v>587</c:v>
                </c:pt>
                <c:pt idx="11">
                  <c:v>613</c:v>
                </c:pt>
                <c:pt idx="12">
                  <c:v>6968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741-477C-B43D-3D0FF5327756}"/>
            </c:ext>
          </c:extLst>
        </c:ser>
        <c:ser>
          <c:idx val="0"/>
          <c:order val="2"/>
          <c:tx>
            <c:strRef>
              <c:f>'Viajeros entr evol mensu TF'!$K$227:$L$227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741-477C-B43D-3D0FF5327756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TF'!$K$229:$K$241</c:f>
              <c:numCache>
                <c:formatCode>#,##0</c:formatCode>
                <c:ptCount val="13"/>
                <c:pt idx="0">
                  <c:v>552</c:v>
                </c:pt>
                <c:pt idx="1">
                  <c:v>653</c:v>
                </c:pt>
                <c:pt idx="2">
                  <c:v>624</c:v>
                </c:pt>
                <c:pt idx="3">
                  <c:v>505</c:v>
                </c:pt>
                <c:pt idx="4">
                  <c:v>606</c:v>
                </c:pt>
                <c:pt idx="5">
                  <c:v>702</c:v>
                </c:pt>
                <c:pt idx="6">
                  <c:v>1214</c:v>
                </c:pt>
                <c:pt idx="7">
                  <c:v>796</c:v>
                </c:pt>
                <c:pt idx="8">
                  <c:v>820</c:v>
                </c:pt>
                <c:pt idx="9">
                  <c:v>870</c:v>
                </c:pt>
                <c:pt idx="10">
                  <c:v>724</c:v>
                </c:pt>
                <c:pt idx="11">
                  <c:v>830</c:v>
                </c:pt>
                <c:pt idx="12">
                  <c:v>8896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741-477C-B43D-3D0FF5327756}"/>
            </c:ext>
          </c:extLst>
        </c:ser>
        <c:ser>
          <c:idx val="1"/>
          <c:order val="3"/>
          <c:tx>
            <c:strRef>
              <c:f>'Viajeros entr evol mensu TF'!$M$227:$N$227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E741-477C-B43D-3D0FF532775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E741-477C-B43D-3D0FF5327756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TF'!$M$229:$M$241</c:f>
              <c:numCache>
                <c:formatCode>#,##0</c:formatCode>
                <c:ptCount val="13"/>
                <c:pt idx="0">
                  <c:v>792</c:v>
                </c:pt>
                <c:pt idx="12">
                  <c:v>792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741-477C-B43D-3D0FF53277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TF'!$C$227:$D$227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01-E741-477C-B43D-3D0FF5327756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TF'!$C$229:$C$241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433</c:v>
                      </c:pt>
                      <c:pt idx="1">
                        <c:v>399</c:v>
                      </c:pt>
                      <c:pt idx="2">
                        <c:v>255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240</c:v>
                      </c:pt>
                      <c:pt idx="8">
                        <c:v>446</c:v>
                      </c:pt>
                      <c:pt idx="9">
                        <c:v>129</c:v>
                      </c:pt>
                      <c:pt idx="10">
                        <c:v>38</c:v>
                      </c:pt>
                      <c:pt idx="11">
                        <c:v>101</c:v>
                      </c:pt>
                      <c:pt idx="12">
                        <c:v>2082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2-E741-477C-B43D-3D0FF5327756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TF'!$N$228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741-477C-B43D-3D0FF532775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741-477C-B43D-3D0FF532775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741-477C-B43D-3D0FF532775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741-477C-B43D-3D0FF532775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741-477C-B43D-3D0FF532775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741-477C-B43D-3D0FF532775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741-477C-B43D-3D0FF532775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741-477C-B43D-3D0FF532775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741-477C-B43D-3D0FF532775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741-477C-B43D-3D0FF532775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741-477C-B43D-3D0FF532775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741-477C-B43D-3D0FF532775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741-477C-B43D-3D0FF5327756}"/>
              </c:ext>
            </c:extLst>
          </c:dPt>
          <c:cat>
            <c:strRef>
              <c:f>'Viajeros entr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TF'!$N$229:$N$241</c:f>
              <c:numCache>
                <c:formatCode>0.0%</c:formatCode>
                <c:ptCount val="13"/>
                <c:pt idx="0">
                  <c:v>0.43478260869565211</c:v>
                </c:pt>
                <c:pt idx="12">
                  <c:v>0.43478260869565211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E741-477C-B43D-3D0FF53277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TF'!$I$249:$J$249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095-43CA-97D2-C6737F8F09ED}"/>
              </c:ext>
            </c:extLst>
          </c:dPt>
          <c:val>
            <c:numRef>
              <c:f>'Viajeros entr evol mensu TF'!$I$251:$I$263</c:f>
              <c:numCache>
                <c:formatCode>#,##0</c:formatCode>
                <c:ptCount val="13"/>
                <c:pt idx="0">
                  <c:v>1686</c:v>
                </c:pt>
                <c:pt idx="1">
                  <c:v>1463</c:v>
                </c:pt>
                <c:pt idx="2">
                  <c:v>1196</c:v>
                </c:pt>
                <c:pt idx="3">
                  <c:v>518</c:v>
                </c:pt>
                <c:pt idx="4">
                  <c:v>201</c:v>
                </c:pt>
                <c:pt idx="5">
                  <c:v>160</c:v>
                </c:pt>
                <c:pt idx="6">
                  <c:v>140</c:v>
                </c:pt>
                <c:pt idx="7">
                  <c:v>157</c:v>
                </c:pt>
                <c:pt idx="8">
                  <c:v>125</c:v>
                </c:pt>
                <c:pt idx="9">
                  <c:v>669</c:v>
                </c:pt>
                <c:pt idx="10">
                  <c:v>1197</c:v>
                </c:pt>
                <c:pt idx="11">
                  <c:v>1012</c:v>
                </c:pt>
                <c:pt idx="12">
                  <c:v>8524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095-43CA-97D2-C6737F8F09ED}"/>
            </c:ext>
          </c:extLst>
        </c:ser>
        <c:ser>
          <c:idx val="0"/>
          <c:order val="2"/>
          <c:tx>
            <c:strRef>
              <c:f>'Viajeros entr evol mensu TF'!$K$249:$L$249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095-43CA-97D2-C6737F8F09ED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TF'!$K$251:$K$263</c:f>
              <c:numCache>
                <c:formatCode>#,##0</c:formatCode>
                <c:ptCount val="13"/>
                <c:pt idx="0">
                  <c:v>1354</c:v>
                </c:pt>
                <c:pt idx="1">
                  <c:v>1259</c:v>
                </c:pt>
                <c:pt idx="2">
                  <c:v>1166</c:v>
                </c:pt>
                <c:pt idx="3">
                  <c:v>300</c:v>
                </c:pt>
                <c:pt idx="4">
                  <c:v>111</c:v>
                </c:pt>
                <c:pt idx="5">
                  <c:v>128</c:v>
                </c:pt>
                <c:pt idx="6">
                  <c:v>219</c:v>
                </c:pt>
                <c:pt idx="7">
                  <c:v>156</c:v>
                </c:pt>
                <c:pt idx="8">
                  <c:v>164</c:v>
                </c:pt>
                <c:pt idx="9">
                  <c:v>649</c:v>
                </c:pt>
                <c:pt idx="10">
                  <c:v>1072</c:v>
                </c:pt>
                <c:pt idx="11">
                  <c:v>805</c:v>
                </c:pt>
                <c:pt idx="12">
                  <c:v>7383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095-43CA-97D2-C6737F8F09ED}"/>
            </c:ext>
          </c:extLst>
        </c:ser>
        <c:ser>
          <c:idx val="1"/>
          <c:order val="3"/>
          <c:tx>
            <c:strRef>
              <c:f>'Viajeros entr evol mensu TF'!$M$249:$N$249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5095-43CA-97D2-C6737F8F09E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5095-43CA-97D2-C6737F8F09ED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TF'!$M$251:$M$263</c:f>
              <c:numCache>
                <c:formatCode>#,##0</c:formatCode>
                <c:ptCount val="13"/>
                <c:pt idx="0">
                  <c:v>1213</c:v>
                </c:pt>
                <c:pt idx="12">
                  <c:v>1213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5095-43CA-97D2-C6737F8F09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TF'!$C$249:$D$249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01-5095-43CA-97D2-C6737F8F09ED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TF'!$C$251:$C$263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1251</c:v>
                      </c:pt>
                      <c:pt idx="1">
                        <c:v>1180</c:v>
                      </c:pt>
                      <c:pt idx="2">
                        <c:v>571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</c:v>
                      </c:pt>
                      <c:pt idx="8">
                        <c:v>20</c:v>
                      </c:pt>
                      <c:pt idx="9">
                        <c:v>5</c:v>
                      </c:pt>
                      <c:pt idx="10">
                        <c:v>3</c:v>
                      </c:pt>
                      <c:pt idx="11">
                        <c:v>12</c:v>
                      </c:pt>
                      <c:pt idx="12">
                        <c:v>3046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2-5095-43CA-97D2-C6737F8F09ED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TF'!$N$250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095-43CA-97D2-C6737F8F09E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095-43CA-97D2-C6737F8F09E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095-43CA-97D2-C6737F8F09E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095-43CA-97D2-C6737F8F09E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095-43CA-97D2-C6737F8F09E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095-43CA-97D2-C6737F8F09E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095-43CA-97D2-C6737F8F09E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095-43CA-97D2-C6737F8F09E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095-43CA-97D2-C6737F8F09E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095-43CA-97D2-C6737F8F09E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095-43CA-97D2-C6737F8F09E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095-43CA-97D2-C6737F8F09E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095-43CA-97D2-C6737F8F09ED}"/>
              </c:ext>
            </c:extLst>
          </c:dPt>
          <c:cat>
            <c:strRef>
              <c:f>'Viajeros entr evol mensu TF'!$B$251:$B$262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TF'!$N$251:$N$263</c:f>
              <c:numCache>
                <c:formatCode>0.0%</c:formatCode>
                <c:ptCount val="13"/>
                <c:pt idx="0">
                  <c:v>-0.104135893648449</c:v>
                </c:pt>
                <c:pt idx="12">
                  <c:v>-0.104135893648449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5095-43CA-97D2-C6737F8F09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TF'!$I$271:$J$271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C46-4A26-86F9-EAA3FDF2343A}"/>
              </c:ext>
            </c:extLst>
          </c:dPt>
          <c:val>
            <c:numRef>
              <c:f>'Viajeros entr evol mensu TF'!$I$273:$I$285</c:f>
              <c:numCache>
                <c:formatCode>#,##0</c:formatCode>
                <c:ptCount val="13"/>
                <c:pt idx="0">
                  <c:v>1727</c:v>
                </c:pt>
                <c:pt idx="1">
                  <c:v>1268</c:v>
                </c:pt>
                <c:pt idx="2">
                  <c:v>1579</c:v>
                </c:pt>
                <c:pt idx="3">
                  <c:v>823</c:v>
                </c:pt>
                <c:pt idx="4">
                  <c:v>114</c:v>
                </c:pt>
                <c:pt idx="5">
                  <c:v>147</c:v>
                </c:pt>
                <c:pt idx="6">
                  <c:v>117</c:v>
                </c:pt>
                <c:pt idx="7">
                  <c:v>94</c:v>
                </c:pt>
                <c:pt idx="8">
                  <c:v>101</c:v>
                </c:pt>
                <c:pt idx="9">
                  <c:v>842</c:v>
                </c:pt>
                <c:pt idx="10">
                  <c:v>1400</c:v>
                </c:pt>
                <c:pt idx="11">
                  <c:v>1749</c:v>
                </c:pt>
                <c:pt idx="12">
                  <c:v>9961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C46-4A26-86F9-EAA3FDF2343A}"/>
            </c:ext>
          </c:extLst>
        </c:ser>
        <c:ser>
          <c:idx val="0"/>
          <c:order val="2"/>
          <c:tx>
            <c:strRef>
              <c:f>'Viajeros entr evol mensu TF'!$K$271:$L$271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C46-4A26-86F9-EAA3FDF2343A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TF'!$K$273:$K$285</c:f>
              <c:numCache>
                <c:formatCode>#,##0</c:formatCode>
                <c:ptCount val="13"/>
                <c:pt idx="0">
                  <c:v>1751</c:v>
                </c:pt>
                <c:pt idx="1">
                  <c:v>1627</c:v>
                </c:pt>
                <c:pt idx="2">
                  <c:v>1711</c:v>
                </c:pt>
                <c:pt idx="3">
                  <c:v>657</c:v>
                </c:pt>
                <c:pt idx="4">
                  <c:v>74</c:v>
                </c:pt>
                <c:pt idx="5">
                  <c:v>119</c:v>
                </c:pt>
                <c:pt idx="6">
                  <c:v>69</c:v>
                </c:pt>
                <c:pt idx="7">
                  <c:v>62</c:v>
                </c:pt>
                <c:pt idx="8">
                  <c:v>169</c:v>
                </c:pt>
                <c:pt idx="9">
                  <c:v>637</c:v>
                </c:pt>
                <c:pt idx="10">
                  <c:v>1183</c:v>
                </c:pt>
                <c:pt idx="11">
                  <c:v>1482</c:v>
                </c:pt>
                <c:pt idx="12">
                  <c:v>9541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C46-4A26-86F9-EAA3FDF2343A}"/>
            </c:ext>
          </c:extLst>
        </c:ser>
        <c:ser>
          <c:idx val="1"/>
          <c:order val="3"/>
          <c:tx>
            <c:strRef>
              <c:f>'Viajeros entr evol mensu TF'!$M$271:$N$271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BC46-4A26-86F9-EAA3FDF2343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BC46-4A26-86F9-EAA3FDF2343A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TF'!$M$273:$M$285</c:f>
              <c:numCache>
                <c:formatCode>#,##0</c:formatCode>
                <c:ptCount val="13"/>
                <c:pt idx="0">
                  <c:v>1414</c:v>
                </c:pt>
                <c:pt idx="12">
                  <c:v>1414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BC46-4A26-86F9-EAA3FDF234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TF'!$C$271:$D$271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01-BC46-4A26-86F9-EAA3FDF2343A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TF'!$C$273:$C$285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2201</c:v>
                      </c:pt>
                      <c:pt idx="1">
                        <c:v>1727</c:v>
                      </c:pt>
                      <c:pt idx="2">
                        <c:v>708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23</c:v>
                      </c:pt>
                      <c:pt idx="8">
                        <c:v>24</c:v>
                      </c:pt>
                      <c:pt idx="9">
                        <c:v>46</c:v>
                      </c:pt>
                      <c:pt idx="10">
                        <c:v>47</c:v>
                      </c:pt>
                      <c:pt idx="11">
                        <c:v>54</c:v>
                      </c:pt>
                      <c:pt idx="12">
                        <c:v>4839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2-BC46-4A26-86F9-EAA3FDF2343A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TF'!$N$272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C46-4A26-86F9-EAA3FDF2343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C46-4A26-86F9-EAA3FDF2343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C46-4A26-86F9-EAA3FDF2343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C46-4A26-86F9-EAA3FDF2343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C46-4A26-86F9-EAA3FDF2343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C46-4A26-86F9-EAA3FDF2343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C46-4A26-86F9-EAA3FDF2343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C46-4A26-86F9-EAA3FDF2343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C46-4A26-86F9-EAA3FDF2343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C46-4A26-86F9-EAA3FDF2343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C46-4A26-86F9-EAA3FDF2343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C46-4A26-86F9-EAA3FDF2343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C46-4A26-86F9-EAA3FDF2343A}"/>
              </c:ext>
            </c:extLst>
          </c:dPt>
          <c:cat>
            <c:strRef>
              <c:f>'Viajeros entr evol mensu TF'!$B$273:$B$284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TF'!$N$273:$N$285</c:f>
              <c:numCache>
                <c:formatCode>0.0%</c:formatCode>
                <c:ptCount val="13"/>
                <c:pt idx="0">
                  <c:v>-0.19246145059965736</c:v>
                </c:pt>
                <c:pt idx="12">
                  <c:v>-0.19246145059965736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BC46-4A26-86F9-EAA3FDF234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 cat'!$I$7:$J$7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A4F-4B81-8E97-84DB64569204}"/>
              </c:ext>
            </c:extLst>
          </c:dPt>
          <c:val>
            <c:numRef>
              <c:f>'Viajeros entr evol mensu TF cat'!$I$9:$I$21</c:f>
              <c:numCache>
                <c:formatCode>#,##0</c:formatCode>
                <c:ptCount val="13"/>
                <c:pt idx="0">
                  <c:v>60088</c:v>
                </c:pt>
                <c:pt idx="1">
                  <c:v>57829</c:v>
                </c:pt>
                <c:pt idx="2">
                  <c:v>66430</c:v>
                </c:pt>
                <c:pt idx="3">
                  <c:v>65148</c:v>
                </c:pt>
                <c:pt idx="4">
                  <c:v>58098</c:v>
                </c:pt>
                <c:pt idx="5">
                  <c:v>71344</c:v>
                </c:pt>
                <c:pt idx="6">
                  <c:v>74357</c:v>
                </c:pt>
                <c:pt idx="7">
                  <c:v>73184</c:v>
                </c:pt>
                <c:pt idx="8">
                  <c:v>71851</c:v>
                </c:pt>
                <c:pt idx="9">
                  <c:v>70925</c:v>
                </c:pt>
                <c:pt idx="10">
                  <c:v>66055</c:v>
                </c:pt>
                <c:pt idx="11">
                  <c:v>62539</c:v>
                </c:pt>
                <c:pt idx="12">
                  <c:v>797848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A4F-4B81-8E97-84DB64569204}"/>
            </c:ext>
          </c:extLst>
        </c:ser>
        <c:ser>
          <c:idx val="0"/>
          <c:order val="2"/>
          <c:tx>
            <c:strRef>
              <c:f>'Viajeros entr evol mensu TF cat'!$K$7:$L$7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A4F-4B81-8E97-84DB64569204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cat'!$K$9:$K$21</c:f>
              <c:numCache>
                <c:formatCode>#,##0</c:formatCode>
                <c:ptCount val="13"/>
                <c:pt idx="0">
                  <c:v>64481</c:v>
                </c:pt>
                <c:pt idx="1">
                  <c:v>66869</c:v>
                </c:pt>
                <c:pt idx="2">
                  <c:v>76278</c:v>
                </c:pt>
                <c:pt idx="3">
                  <c:v>66545</c:v>
                </c:pt>
                <c:pt idx="4">
                  <c:v>77065</c:v>
                </c:pt>
                <c:pt idx="5">
                  <c:v>83393</c:v>
                </c:pt>
                <c:pt idx="6">
                  <c:v>90048</c:v>
                </c:pt>
                <c:pt idx="7">
                  <c:v>89034</c:v>
                </c:pt>
                <c:pt idx="8">
                  <c:v>77584</c:v>
                </c:pt>
                <c:pt idx="9">
                  <c:v>81853</c:v>
                </c:pt>
                <c:pt idx="10">
                  <c:v>73285</c:v>
                </c:pt>
                <c:pt idx="11">
                  <c:v>67921</c:v>
                </c:pt>
                <c:pt idx="12">
                  <c:v>914356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A4F-4B81-8E97-84DB64569204}"/>
            </c:ext>
          </c:extLst>
        </c:ser>
        <c:ser>
          <c:idx val="1"/>
          <c:order val="3"/>
          <c:tx>
            <c:strRef>
              <c:f>'Viajeros entr evol mensu TF cat'!$M$7:$N$7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A4F-4B81-8E97-84DB6456920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1A4F-4B81-8E97-84DB64569204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cat'!$M$9:$M$21</c:f>
              <c:numCache>
                <c:formatCode>#,##0</c:formatCode>
                <c:ptCount val="13"/>
                <c:pt idx="0">
                  <c:v>65410</c:v>
                </c:pt>
                <c:pt idx="12">
                  <c:v>65410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A4F-4B81-8E97-84DB645692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 cat'!$C$7:$D$7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01-1A4F-4B81-8E97-84DB64569204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 cat'!$A$9:$A$21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 cat'!$C$9:$C$21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61311</c:v>
                      </c:pt>
                      <c:pt idx="1">
                        <c:v>57643</c:v>
                      </c:pt>
                      <c:pt idx="2">
                        <c:v>23288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21705</c:v>
                      </c:pt>
                      <c:pt idx="8">
                        <c:v>17561</c:v>
                      </c:pt>
                      <c:pt idx="9">
                        <c:v>14861</c:v>
                      </c:pt>
                      <c:pt idx="10">
                        <c:v>6170</c:v>
                      </c:pt>
                      <c:pt idx="11">
                        <c:v>8912</c:v>
                      </c:pt>
                      <c:pt idx="12">
                        <c:v>225835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2-1A4F-4B81-8E97-84DB64569204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A4F-4B81-8E97-84DB6456920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A4F-4B81-8E97-84DB6456920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A4F-4B81-8E97-84DB6456920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A4F-4B81-8E97-84DB6456920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A4F-4B81-8E97-84DB6456920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A4F-4B81-8E97-84DB6456920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A4F-4B81-8E97-84DB6456920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A4F-4B81-8E97-84DB6456920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A4F-4B81-8E97-84DB6456920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A4F-4B81-8E97-84DB6456920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A4F-4B81-8E97-84DB6456920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A4F-4B81-8E97-84DB6456920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A4F-4B81-8E97-84DB64569204}"/>
              </c:ext>
            </c:extLst>
          </c:dPt>
          <c:cat>
            <c:strRef>
              <c:f>'Viajeros entr evol mensu TF cat'!$B$9:$B$20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cat'!$N$9:$N$21</c:f>
              <c:numCache>
                <c:formatCode>0.0%</c:formatCode>
                <c:ptCount val="13"/>
                <c:pt idx="0">
                  <c:v>1.4407344799243216E-2</c:v>
                </c:pt>
                <c:pt idx="12">
                  <c:v>1.4407344799243216E-2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1A4F-4B81-8E97-84DB645692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 cat'!$I$29:$J$29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F2A-4843-A983-105E44D886C3}"/>
              </c:ext>
            </c:extLst>
          </c:dPt>
          <c:val>
            <c:numRef>
              <c:f>'Viajeros entr evol mensu TF cat'!$I$31:$I$43</c:f>
              <c:numCache>
                <c:formatCode>#,##0</c:formatCode>
                <c:ptCount val="13"/>
                <c:pt idx="0">
                  <c:v>49540</c:v>
                </c:pt>
                <c:pt idx="1">
                  <c:v>48085</c:v>
                </c:pt>
                <c:pt idx="2">
                  <c:v>53645</c:v>
                </c:pt>
                <c:pt idx="3">
                  <c:v>51684</c:v>
                </c:pt>
                <c:pt idx="4">
                  <c:v>46378</c:v>
                </c:pt>
                <c:pt idx="5">
                  <c:v>57186</c:v>
                </c:pt>
                <c:pt idx="6">
                  <c:v>61296</c:v>
                </c:pt>
                <c:pt idx="7">
                  <c:v>61320</c:v>
                </c:pt>
                <c:pt idx="8">
                  <c:v>58014</c:v>
                </c:pt>
                <c:pt idx="9">
                  <c:v>58960</c:v>
                </c:pt>
                <c:pt idx="10">
                  <c:v>55542</c:v>
                </c:pt>
                <c:pt idx="11">
                  <c:v>50998</c:v>
                </c:pt>
                <c:pt idx="12">
                  <c:v>652648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F2A-4843-A983-105E44D886C3}"/>
            </c:ext>
          </c:extLst>
        </c:ser>
        <c:ser>
          <c:idx val="0"/>
          <c:order val="2"/>
          <c:tx>
            <c:strRef>
              <c:f>'Viajeros entr evol mensu TF cat'!$K$29:$L$29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F2A-4843-A983-105E44D886C3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cat'!$K$31:$K$43</c:f>
              <c:numCache>
                <c:formatCode>#,##0</c:formatCode>
                <c:ptCount val="13"/>
                <c:pt idx="0">
                  <c:v>54397</c:v>
                </c:pt>
                <c:pt idx="1">
                  <c:v>56657</c:v>
                </c:pt>
                <c:pt idx="2">
                  <c:v>62724</c:v>
                </c:pt>
                <c:pt idx="3">
                  <c:v>51569</c:v>
                </c:pt>
                <c:pt idx="4">
                  <c:v>61791</c:v>
                </c:pt>
                <c:pt idx="5">
                  <c:v>66284</c:v>
                </c:pt>
                <c:pt idx="6">
                  <c:v>71595</c:v>
                </c:pt>
                <c:pt idx="7">
                  <c:v>71470</c:v>
                </c:pt>
                <c:pt idx="8">
                  <c:v>60705</c:v>
                </c:pt>
                <c:pt idx="9">
                  <c:v>66534</c:v>
                </c:pt>
                <c:pt idx="10">
                  <c:v>60936</c:v>
                </c:pt>
                <c:pt idx="11">
                  <c:v>56389</c:v>
                </c:pt>
                <c:pt idx="12">
                  <c:v>741051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F2A-4843-A983-105E44D886C3}"/>
            </c:ext>
          </c:extLst>
        </c:ser>
        <c:ser>
          <c:idx val="1"/>
          <c:order val="3"/>
          <c:tx>
            <c:strRef>
              <c:f>'Viajeros entr evol mensu TF cat'!$M$29:$N$29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4F2A-4843-A983-105E44D886C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4F2A-4843-A983-105E44D886C3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cat'!$M$31:$M$43</c:f>
              <c:numCache>
                <c:formatCode>#,##0</c:formatCode>
                <c:ptCount val="13"/>
                <c:pt idx="0">
                  <c:v>54883</c:v>
                </c:pt>
                <c:pt idx="12">
                  <c:v>54883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F2A-4843-A983-105E44D886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 cat'!$C$29:$D$29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01-4F2A-4843-A983-105E44D886C3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 cat'!$A$9:$A$21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 cat'!$C$31:$C$43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49163</c:v>
                      </c:pt>
                      <c:pt idx="1">
                        <c:v>47980</c:v>
                      </c:pt>
                      <c:pt idx="2">
                        <c:v>19076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17316</c:v>
                      </c:pt>
                      <c:pt idx="8">
                        <c:v>13941</c:v>
                      </c:pt>
                      <c:pt idx="9">
                        <c:v>10972</c:v>
                      </c:pt>
                      <c:pt idx="10">
                        <c:v>4036</c:v>
                      </c:pt>
                      <c:pt idx="11">
                        <c:v>5448</c:v>
                      </c:pt>
                      <c:pt idx="12">
                        <c:v>177177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2-4F2A-4843-A983-105E44D886C3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cat'!$N$30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F2A-4843-A983-105E44D886C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F2A-4843-A983-105E44D886C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F2A-4843-A983-105E44D886C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F2A-4843-A983-105E44D886C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F2A-4843-A983-105E44D886C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F2A-4843-A983-105E44D886C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F2A-4843-A983-105E44D886C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F2A-4843-A983-105E44D886C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F2A-4843-A983-105E44D886C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F2A-4843-A983-105E44D886C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F2A-4843-A983-105E44D886C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F2A-4843-A983-105E44D886C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F2A-4843-A983-105E44D886C3}"/>
              </c:ext>
            </c:extLst>
          </c:dPt>
          <c:cat>
            <c:strRef>
              <c:f>'Viajeros entr evol mensu TF cat'!$B$31:$B$42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cat'!$N$31:$N$43</c:f>
              <c:numCache>
                <c:formatCode>0.0%</c:formatCode>
                <c:ptCount val="13"/>
                <c:pt idx="0">
                  <c:v>8.9343162306745327E-3</c:v>
                </c:pt>
                <c:pt idx="12">
                  <c:v>8.9343162306745327E-3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4F2A-4843-A983-105E44D886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1187294267900032"/>
          <c:w val="0.86939722222222227"/>
          <c:h val="0.42070463713947498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 cat'!$I$51:$J$51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7EA-40CD-A8DC-DA1C4F72B599}"/>
              </c:ext>
            </c:extLst>
          </c:dPt>
          <c:val>
            <c:numRef>
              <c:f>'Viajeros entr evol mensu TF cat'!$I$53:$I$65</c:f>
              <c:numCache>
                <c:formatCode>#,##0</c:formatCode>
                <c:ptCount val="13"/>
                <c:pt idx="0">
                  <c:v>42127</c:v>
                </c:pt>
                <c:pt idx="1">
                  <c:v>40353</c:v>
                </c:pt>
                <c:pt idx="2">
                  <c:v>44700</c:v>
                </c:pt>
                <c:pt idx="3">
                  <c:v>43079</c:v>
                </c:pt>
                <c:pt idx="4">
                  <c:v>38430</c:v>
                </c:pt>
                <c:pt idx="5">
                  <c:v>47732</c:v>
                </c:pt>
                <c:pt idx="6">
                  <c:v>51553</c:v>
                </c:pt>
                <c:pt idx="7">
                  <c:v>52333</c:v>
                </c:pt>
                <c:pt idx="8">
                  <c:v>49248</c:v>
                </c:pt>
                <c:pt idx="9">
                  <c:v>50542</c:v>
                </c:pt>
                <c:pt idx="10">
                  <c:v>46726</c:v>
                </c:pt>
                <c:pt idx="11">
                  <c:v>42526</c:v>
                </c:pt>
                <c:pt idx="12">
                  <c:v>549349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7EA-40CD-A8DC-DA1C4F72B599}"/>
            </c:ext>
          </c:extLst>
        </c:ser>
        <c:ser>
          <c:idx val="0"/>
          <c:order val="2"/>
          <c:tx>
            <c:strRef>
              <c:f>'Viajeros entr evol mensu TF cat'!$K$51:$L$51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7EA-40CD-A8DC-DA1C4F72B599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cat'!$K$53:$K$65</c:f>
              <c:numCache>
                <c:formatCode>#,##0</c:formatCode>
                <c:ptCount val="13"/>
                <c:pt idx="0">
                  <c:v>46328</c:v>
                </c:pt>
                <c:pt idx="1">
                  <c:v>48431</c:v>
                </c:pt>
                <c:pt idx="2">
                  <c:v>53005</c:v>
                </c:pt>
                <c:pt idx="3">
                  <c:v>42442</c:v>
                </c:pt>
                <c:pt idx="4">
                  <c:v>51394</c:v>
                </c:pt>
                <c:pt idx="5">
                  <c:v>55532</c:v>
                </c:pt>
                <c:pt idx="6">
                  <c:v>60327</c:v>
                </c:pt>
                <c:pt idx="7">
                  <c:v>61133</c:v>
                </c:pt>
                <c:pt idx="8">
                  <c:v>51449</c:v>
                </c:pt>
                <c:pt idx="9">
                  <c:v>55323</c:v>
                </c:pt>
                <c:pt idx="10">
                  <c:v>49692</c:v>
                </c:pt>
                <c:pt idx="11">
                  <c:v>47307</c:v>
                </c:pt>
                <c:pt idx="12">
                  <c:v>622363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7EA-40CD-A8DC-DA1C4F72B599}"/>
            </c:ext>
          </c:extLst>
        </c:ser>
        <c:ser>
          <c:idx val="1"/>
          <c:order val="3"/>
          <c:tx>
            <c:strRef>
              <c:f>'Viajeros entr evol mensu TF cat'!$M$51:$N$51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67EA-40CD-A8DC-DA1C4F72B59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67EA-40CD-A8DC-DA1C4F72B599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cat'!$M$53:$M$65</c:f>
              <c:numCache>
                <c:formatCode>#,##0</c:formatCode>
                <c:ptCount val="13"/>
                <c:pt idx="0">
                  <c:v>46073</c:v>
                </c:pt>
                <c:pt idx="12">
                  <c:v>46073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7EA-40CD-A8DC-DA1C4F72B5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 cat'!$C$51:$D$51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01-67EA-40CD-A8DC-DA1C4F72B599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 cat'!$A$9:$A$21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 cat'!$C$53:$C$65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39435</c:v>
                      </c:pt>
                      <c:pt idx="1">
                        <c:v>38553</c:v>
                      </c:pt>
                      <c:pt idx="2">
                        <c:v>15406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15102</c:v>
                      </c:pt>
                      <c:pt idx="8">
                        <c:v>11726</c:v>
                      </c:pt>
                      <c:pt idx="9">
                        <c:v>8592</c:v>
                      </c:pt>
                      <c:pt idx="10">
                        <c:v>2617</c:v>
                      </c:pt>
                      <c:pt idx="11">
                        <c:v>3713</c:v>
                      </c:pt>
                      <c:pt idx="12">
                        <c:v>143122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2-67EA-40CD-A8DC-DA1C4F72B599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cat'!$N$52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7EA-40CD-A8DC-DA1C4F72B59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7EA-40CD-A8DC-DA1C4F72B59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7EA-40CD-A8DC-DA1C4F72B59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7EA-40CD-A8DC-DA1C4F72B59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7EA-40CD-A8DC-DA1C4F72B59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7EA-40CD-A8DC-DA1C4F72B59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7EA-40CD-A8DC-DA1C4F72B59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7EA-40CD-A8DC-DA1C4F72B59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7EA-40CD-A8DC-DA1C4F72B59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7EA-40CD-A8DC-DA1C4F72B59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7EA-40CD-A8DC-DA1C4F72B59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7EA-40CD-A8DC-DA1C4F72B59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7EA-40CD-A8DC-DA1C4F72B599}"/>
              </c:ext>
            </c:extLst>
          </c:dPt>
          <c:cat>
            <c:strRef>
              <c:f>'Viajeros entr evol mensu TF cat'!$B$53:$B$64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cat'!$N$53:$N$65</c:f>
              <c:numCache>
                <c:formatCode>0.0%</c:formatCode>
                <c:ptCount val="13"/>
                <c:pt idx="0">
                  <c:v>-5.5042307028146942E-3</c:v>
                </c:pt>
                <c:pt idx="12">
                  <c:v>-5.5042307028146942E-3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67EA-40CD-A8DC-DA1C4F72B5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205497302908249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 cat'!$I$73:$J$73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E4F-40FA-8FBF-250E607BBB2B}"/>
              </c:ext>
            </c:extLst>
          </c:dPt>
          <c:val>
            <c:numRef>
              <c:f>'Viajeros entr evol mensu TF cat'!$I$75:$I$87</c:f>
              <c:numCache>
                <c:formatCode>#,##0</c:formatCode>
                <c:ptCount val="13"/>
                <c:pt idx="0">
                  <c:v>7413</c:v>
                </c:pt>
                <c:pt idx="1">
                  <c:v>7732</c:v>
                </c:pt>
                <c:pt idx="2">
                  <c:v>8945</c:v>
                </c:pt>
                <c:pt idx="3">
                  <c:v>8605</c:v>
                </c:pt>
                <c:pt idx="4">
                  <c:v>7948</c:v>
                </c:pt>
                <c:pt idx="5">
                  <c:v>9454</c:v>
                </c:pt>
                <c:pt idx="6">
                  <c:v>9743</c:v>
                </c:pt>
                <c:pt idx="7">
                  <c:v>8987</c:v>
                </c:pt>
                <c:pt idx="8">
                  <c:v>8766</c:v>
                </c:pt>
                <c:pt idx="9">
                  <c:v>8418</c:v>
                </c:pt>
                <c:pt idx="10">
                  <c:v>8816</c:v>
                </c:pt>
                <c:pt idx="11">
                  <c:v>8472</c:v>
                </c:pt>
                <c:pt idx="12">
                  <c:v>103299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E4F-40FA-8FBF-250E607BBB2B}"/>
            </c:ext>
          </c:extLst>
        </c:ser>
        <c:ser>
          <c:idx val="0"/>
          <c:order val="2"/>
          <c:tx>
            <c:strRef>
              <c:f>'Viajeros entr evol mensu TF cat'!$K$73:$L$73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E4F-40FA-8FBF-250E607BBB2B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cat'!$K$75:$K$87</c:f>
              <c:numCache>
                <c:formatCode>#,##0</c:formatCode>
                <c:ptCount val="13"/>
                <c:pt idx="0">
                  <c:v>8069</c:v>
                </c:pt>
                <c:pt idx="1">
                  <c:v>8226</c:v>
                </c:pt>
                <c:pt idx="2">
                  <c:v>9719</c:v>
                </c:pt>
                <c:pt idx="3">
                  <c:v>9127</c:v>
                </c:pt>
                <c:pt idx="4">
                  <c:v>10397</c:v>
                </c:pt>
                <c:pt idx="5">
                  <c:v>10752</c:v>
                </c:pt>
                <c:pt idx="6">
                  <c:v>11268</c:v>
                </c:pt>
                <c:pt idx="7">
                  <c:v>10337</c:v>
                </c:pt>
                <c:pt idx="8">
                  <c:v>9256</c:v>
                </c:pt>
                <c:pt idx="9">
                  <c:v>11211</c:v>
                </c:pt>
                <c:pt idx="10">
                  <c:v>11244</c:v>
                </c:pt>
                <c:pt idx="11">
                  <c:v>9082</c:v>
                </c:pt>
                <c:pt idx="12">
                  <c:v>118688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E4F-40FA-8FBF-250E607BBB2B}"/>
            </c:ext>
          </c:extLst>
        </c:ser>
        <c:ser>
          <c:idx val="1"/>
          <c:order val="3"/>
          <c:tx>
            <c:strRef>
              <c:f>'Viajeros entr evol mensu TF cat'!$M$73:$N$73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4E4F-40FA-8FBF-250E607BBB2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4E4F-40FA-8FBF-250E607BBB2B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cat'!$M$75:$M$87</c:f>
              <c:numCache>
                <c:formatCode>#,##0</c:formatCode>
                <c:ptCount val="13"/>
                <c:pt idx="0">
                  <c:v>8810</c:v>
                </c:pt>
                <c:pt idx="12">
                  <c:v>8810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E4F-40FA-8FBF-250E607BBB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 cat'!$C$73:$D$73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01-4E4F-40FA-8FBF-250E607BBB2B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 cat'!$A$9:$A$21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 cat'!$C$75:$C$87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9728</c:v>
                      </c:pt>
                      <c:pt idx="1">
                        <c:v>9427</c:v>
                      </c:pt>
                      <c:pt idx="2">
                        <c:v>3670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2214</c:v>
                      </c:pt>
                      <c:pt idx="8">
                        <c:v>2215</c:v>
                      </c:pt>
                      <c:pt idx="9">
                        <c:v>2380</c:v>
                      </c:pt>
                      <c:pt idx="10">
                        <c:v>1419</c:v>
                      </c:pt>
                      <c:pt idx="11">
                        <c:v>1735</c:v>
                      </c:pt>
                      <c:pt idx="12">
                        <c:v>34055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2-4E4F-40FA-8FBF-250E607BBB2B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cat'!$N$74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E4F-40FA-8FBF-250E607BBB2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E4F-40FA-8FBF-250E607BBB2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E4F-40FA-8FBF-250E607BBB2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E4F-40FA-8FBF-250E607BBB2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E4F-40FA-8FBF-250E607BBB2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E4F-40FA-8FBF-250E607BBB2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E4F-40FA-8FBF-250E607BBB2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E4F-40FA-8FBF-250E607BBB2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E4F-40FA-8FBF-250E607BBB2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E4F-40FA-8FBF-250E607BBB2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E4F-40FA-8FBF-250E607BBB2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E4F-40FA-8FBF-250E607BBB2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E4F-40FA-8FBF-250E607BBB2B}"/>
              </c:ext>
            </c:extLst>
          </c:dPt>
          <c:cat>
            <c:strRef>
              <c:f>'Viajeros entr evol mensu TF cat'!$B$75:$B$86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cat'!$N$75:$N$87</c:f>
              <c:numCache>
                <c:formatCode>0.0%</c:formatCode>
                <c:ptCount val="13"/>
                <c:pt idx="0">
                  <c:v>9.1832940884867931E-2</c:v>
                </c:pt>
                <c:pt idx="12">
                  <c:v>9.1832940884867931E-2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4E4F-40FA-8FBF-250E607BBB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446751207729469"/>
          <c:y val="0.11476520521627519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 cat'!$I$95:$J$95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EEA-4D25-9B5E-B3128F13F2DE}"/>
              </c:ext>
            </c:extLst>
          </c:dPt>
          <c:val>
            <c:numRef>
              <c:f>'Viajeros entr evol mensu TF cat'!$I$97:$I$109</c:f>
              <c:numCache>
                <c:formatCode>#,##0</c:formatCode>
                <c:ptCount val="13"/>
                <c:pt idx="0">
                  <c:v>10548</c:v>
                </c:pt>
                <c:pt idx="1">
                  <c:v>9744</c:v>
                </c:pt>
                <c:pt idx="2">
                  <c:v>12785</c:v>
                </c:pt>
                <c:pt idx="3">
                  <c:v>13464</c:v>
                </c:pt>
                <c:pt idx="4">
                  <c:v>11720</c:v>
                </c:pt>
                <c:pt idx="5">
                  <c:v>14158</c:v>
                </c:pt>
                <c:pt idx="6">
                  <c:v>13061</c:v>
                </c:pt>
                <c:pt idx="7">
                  <c:v>11864</c:v>
                </c:pt>
                <c:pt idx="8">
                  <c:v>13837</c:v>
                </c:pt>
                <c:pt idx="9">
                  <c:v>11965</c:v>
                </c:pt>
                <c:pt idx="10">
                  <c:v>10513</c:v>
                </c:pt>
                <c:pt idx="11">
                  <c:v>11541</c:v>
                </c:pt>
                <c:pt idx="12">
                  <c:v>145200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EEA-4D25-9B5E-B3128F13F2DE}"/>
            </c:ext>
          </c:extLst>
        </c:ser>
        <c:ser>
          <c:idx val="0"/>
          <c:order val="2"/>
          <c:tx>
            <c:strRef>
              <c:f>'Viajeros entr evol mensu TF cat'!$K$95:$L$95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EEA-4D25-9B5E-B3128F13F2DE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cat'!$K$97:$K$109</c:f>
              <c:numCache>
                <c:formatCode>#,##0</c:formatCode>
                <c:ptCount val="13"/>
                <c:pt idx="0">
                  <c:v>10084</c:v>
                </c:pt>
                <c:pt idx="1">
                  <c:v>10212</c:v>
                </c:pt>
                <c:pt idx="2">
                  <c:v>13554</c:v>
                </c:pt>
                <c:pt idx="3">
                  <c:v>14976</c:v>
                </c:pt>
                <c:pt idx="4">
                  <c:v>15274</c:v>
                </c:pt>
                <c:pt idx="5">
                  <c:v>17109</c:v>
                </c:pt>
                <c:pt idx="6">
                  <c:v>18453</c:v>
                </c:pt>
                <c:pt idx="7">
                  <c:v>17564</c:v>
                </c:pt>
                <c:pt idx="8">
                  <c:v>16879</c:v>
                </c:pt>
                <c:pt idx="9">
                  <c:v>15319</c:v>
                </c:pt>
                <c:pt idx="10">
                  <c:v>12349</c:v>
                </c:pt>
                <c:pt idx="11">
                  <c:v>11532</c:v>
                </c:pt>
                <c:pt idx="12">
                  <c:v>173305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EEA-4D25-9B5E-B3128F13F2DE}"/>
            </c:ext>
          </c:extLst>
        </c:ser>
        <c:ser>
          <c:idx val="1"/>
          <c:order val="3"/>
          <c:tx>
            <c:strRef>
              <c:f>'Viajeros entr evol mensu TF cat'!$M$95:$N$95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4EEA-4D25-9B5E-B3128F13F2D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4EEA-4D25-9B5E-B3128F13F2DE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cat'!$M$97:$M$109</c:f>
              <c:numCache>
                <c:formatCode>#,##0</c:formatCode>
                <c:ptCount val="13"/>
                <c:pt idx="0">
                  <c:v>10527</c:v>
                </c:pt>
                <c:pt idx="12">
                  <c:v>10527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EEA-4D25-9B5E-B3128F13F2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 cat'!$C$95:$D$95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01-4EEA-4D25-9B5E-B3128F13F2DE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 cat'!$A$9:$A$21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 cat'!$C$97:$C$109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12148</c:v>
                      </c:pt>
                      <c:pt idx="1">
                        <c:v>9663</c:v>
                      </c:pt>
                      <c:pt idx="2">
                        <c:v>4212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4389</c:v>
                      </c:pt>
                      <c:pt idx="8">
                        <c:v>3620</c:v>
                      </c:pt>
                      <c:pt idx="9">
                        <c:v>3889</c:v>
                      </c:pt>
                      <c:pt idx="10">
                        <c:v>2134</c:v>
                      </c:pt>
                      <c:pt idx="11">
                        <c:v>3464</c:v>
                      </c:pt>
                      <c:pt idx="12">
                        <c:v>48658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2-4EEA-4D25-9B5E-B3128F13F2DE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cat'!$N$96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EEA-4D25-9B5E-B3128F13F2D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EEA-4D25-9B5E-B3128F13F2D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EEA-4D25-9B5E-B3128F13F2D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EEA-4D25-9B5E-B3128F13F2D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EEA-4D25-9B5E-B3128F13F2D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EEA-4D25-9B5E-B3128F13F2D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EEA-4D25-9B5E-B3128F13F2D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EEA-4D25-9B5E-B3128F13F2D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EEA-4D25-9B5E-B3128F13F2D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EEA-4D25-9B5E-B3128F13F2D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EEA-4D25-9B5E-B3128F13F2D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EEA-4D25-9B5E-B3128F13F2D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EEA-4D25-9B5E-B3128F13F2DE}"/>
              </c:ext>
            </c:extLst>
          </c:dPt>
          <c:cat>
            <c:strRef>
              <c:f>'Viajeros entr evol mensu TF cat'!$B$97:$B$108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cat'!$N$97:$N$109</c:f>
              <c:numCache>
                <c:formatCode>0.0%</c:formatCode>
                <c:ptCount val="13"/>
                <c:pt idx="0">
                  <c:v>4.3930979769932543E-2</c:v>
                </c:pt>
                <c:pt idx="12">
                  <c:v>4.3930979769932543E-2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4EEA-4D25-9B5E-B3128F13F2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cat'!$C$8:$C$22</c:f>
              <c:numCache>
                <c:formatCode>#,##0</c:formatCode>
                <c:ptCount val="15"/>
                <c:pt idx="0">
                  <c:v>914356</c:v>
                </c:pt>
                <c:pt idx="1">
                  <c:v>797848</c:v>
                </c:pt>
                <c:pt idx="2">
                  <c:v>710225</c:v>
                </c:pt>
                <c:pt idx="3">
                  <c:v>354204</c:v>
                </c:pt>
                <c:pt idx="4">
                  <c:v>225835</c:v>
                </c:pt>
                <c:pt idx="5">
                  <c:v>791721</c:v>
                </c:pt>
                <c:pt idx="6">
                  <c:v>816835</c:v>
                </c:pt>
                <c:pt idx="7">
                  <c:v>816827</c:v>
                </c:pt>
                <c:pt idx="8">
                  <c:v>779287</c:v>
                </c:pt>
                <c:pt idx="9">
                  <c:v>691266</c:v>
                </c:pt>
                <c:pt idx="10">
                  <c:v>716342</c:v>
                </c:pt>
                <c:pt idx="11">
                  <c:v>710064</c:v>
                </c:pt>
                <c:pt idx="12">
                  <c:v>683727</c:v>
                </c:pt>
                <c:pt idx="13">
                  <c:v>697620</c:v>
                </c:pt>
                <c:pt idx="14">
                  <c:v>687177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526-4E5F-BF20-03832FFCC3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cat'!$D$8:$D$22</c:f>
              <c:numCache>
                <c:formatCode>0.0%</c:formatCode>
                <c:ptCount val="15"/>
                <c:pt idx="0">
                  <c:v>0.14602781482187077</c:v>
                </c:pt>
                <c:pt idx="1">
                  <c:v>0.12337357879545219</c:v>
                </c:pt>
                <c:pt idx="2">
                  <c:v>1.0051298121986201</c:v>
                </c:pt>
                <c:pt idx="3">
                  <c:v>0.56841942125888378</c:v>
                </c:pt>
                <c:pt idx="4">
                  <c:v>-0.71475431370394371</c:v>
                </c:pt>
                <c:pt idx="5">
                  <c:v>-3.0745499397063059E-2</c:v>
                </c:pt>
                <c:pt idx="6">
                  <c:v>9.7939955461257E-6</c:v>
                </c:pt>
                <c:pt idx="7">
                  <c:v>4.8172239495846814E-2</c:v>
                </c:pt>
                <c:pt idx="8">
                  <c:v>0.12733303822262343</c:v>
                </c:pt>
                <c:pt idx="9">
                  <c:v>-3.5005625804434226E-2</c:v>
                </c:pt>
                <c:pt idx="10">
                  <c:v>8.8414565447620941E-3</c:v>
                </c:pt>
                <c:pt idx="11">
                  <c:v>3.8519760079680943E-2</c:v>
                </c:pt>
                <c:pt idx="12">
                  <c:v>-1.9914853358561913E-2</c:v>
                </c:pt>
                <c:pt idx="13">
                  <c:v>1.5196957988989679E-2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526-4E5F-BF20-03832FFCC3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B5A-4C18-B9BE-E510DAC0A024}"/>
              </c:ext>
            </c:extLst>
          </c:dPt>
          <c:val>
            <c:numRef>
              <c:f>'Viajeros entr evol mensu TF'!$I$31:$I$43</c:f>
              <c:numCache>
                <c:formatCode>#,##0</c:formatCode>
                <c:ptCount val="13"/>
                <c:pt idx="0">
                  <c:v>18745</c:v>
                </c:pt>
                <c:pt idx="1">
                  <c:v>18181</c:v>
                </c:pt>
                <c:pt idx="2">
                  <c:v>25120</c:v>
                </c:pt>
                <c:pt idx="3">
                  <c:v>30357</c:v>
                </c:pt>
                <c:pt idx="4">
                  <c:v>31312</c:v>
                </c:pt>
                <c:pt idx="5">
                  <c:v>41665</c:v>
                </c:pt>
                <c:pt idx="6">
                  <c:v>40381</c:v>
                </c:pt>
                <c:pt idx="7">
                  <c:v>37101</c:v>
                </c:pt>
                <c:pt idx="8">
                  <c:v>34430</c:v>
                </c:pt>
                <c:pt idx="9">
                  <c:v>27145</c:v>
                </c:pt>
                <c:pt idx="10">
                  <c:v>18241</c:v>
                </c:pt>
                <c:pt idx="11">
                  <c:v>19245</c:v>
                </c:pt>
                <c:pt idx="12">
                  <c:v>341923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B5A-4C18-B9BE-E510DAC0A024}"/>
            </c:ext>
          </c:extLst>
        </c:ser>
        <c:ser>
          <c:idx val="0"/>
          <c:order val="2"/>
          <c:tx>
            <c:strRef>
              <c:f>'Viajeros entr evol mensu TF'!$K$29:$L$29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B5A-4C18-B9BE-E510DAC0A024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TF'!$K$31:$K$43</c:f>
              <c:numCache>
                <c:formatCode>#,##0</c:formatCode>
                <c:ptCount val="13"/>
                <c:pt idx="0">
                  <c:v>17189</c:v>
                </c:pt>
                <c:pt idx="1">
                  <c:v>18681</c:v>
                </c:pt>
                <c:pt idx="2">
                  <c:v>25095</c:v>
                </c:pt>
                <c:pt idx="3">
                  <c:v>29692</c:v>
                </c:pt>
                <c:pt idx="4">
                  <c:v>41525</c:v>
                </c:pt>
                <c:pt idx="5">
                  <c:v>44993</c:v>
                </c:pt>
                <c:pt idx="6">
                  <c:v>46418</c:v>
                </c:pt>
                <c:pt idx="7">
                  <c:v>47635</c:v>
                </c:pt>
                <c:pt idx="8">
                  <c:v>34597</c:v>
                </c:pt>
                <c:pt idx="9">
                  <c:v>30970</c:v>
                </c:pt>
                <c:pt idx="10">
                  <c:v>24997</c:v>
                </c:pt>
                <c:pt idx="11">
                  <c:v>20445</c:v>
                </c:pt>
                <c:pt idx="12">
                  <c:v>382237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B5A-4C18-B9BE-E510DAC0A024}"/>
            </c:ext>
          </c:extLst>
        </c:ser>
        <c:ser>
          <c:idx val="1"/>
          <c:order val="3"/>
          <c:tx>
            <c:strRef>
              <c:f>'Viajeros entr evol mensu TF'!$M$29:$N$29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6B5A-4C18-B9BE-E510DAC0A02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6B5A-4C18-B9BE-E510DAC0A024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TF'!$M$31:$M$43</c:f>
              <c:numCache>
                <c:formatCode>#,##0</c:formatCode>
                <c:ptCount val="13"/>
                <c:pt idx="0">
                  <c:v>18625</c:v>
                </c:pt>
                <c:pt idx="12">
                  <c:v>18625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B5A-4C18-B9BE-E510DAC0A0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01-6B5A-4C18-B9BE-E510DAC0A024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TF'!$C$31:$C$43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19992</c:v>
                      </c:pt>
                      <c:pt idx="1">
                        <c:v>19508</c:v>
                      </c:pt>
                      <c:pt idx="2">
                        <c:v>7560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14514</c:v>
                      </c:pt>
                      <c:pt idx="8">
                        <c:v>13494</c:v>
                      </c:pt>
                      <c:pt idx="9">
                        <c:v>10718</c:v>
                      </c:pt>
                      <c:pt idx="10">
                        <c:v>3323</c:v>
                      </c:pt>
                      <c:pt idx="11">
                        <c:v>4935</c:v>
                      </c:pt>
                      <c:pt idx="12">
                        <c:v>103133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2-6B5A-4C18-B9BE-E510DAC0A024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TF'!$N$30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B5A-4C18-B9BE-E510DAC0A02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B5A-4C18-B9BE-E510DAC0A02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B5A-4C18-B9BE-E510DAC0A02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B5A-4C18-B9BE-E510DAC0A02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B5A-4C18-B9BE-E510DAC0A02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B5A-4C18-B9BE-E510DAC0A02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B5A-4C18-B9BE-E510DAC0A02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B5A-4C18-B9BE-E510DAC0A02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B5A-4C18-B9BE-E510DAC0A02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B5A-4C18-B9BE-E510DAC0A02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B5A-4C18-B9BE-E510DAC0A02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B5A-4C18-B9BE-E510DAC0A02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B5A-4C18-B9BE-E510DAC0A024}"/>
              </c:ext>
            </c:extLst>
          </c:dPt>
          <c:cat>
            <c:strRef>
              <c:f>'Viajeros entr evol mensu TF'!$B$31:$B$42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TF'!$N$31:$N$43</c:f>
              <c:numCache>
                <c:formatCode>0.0%</c:formatCode>
                <c:ptCount val="13"/>
                <c:pt idx="0">
                  <c:v>8.3541799988364751E-2</c:v>
                </c:pt>
                <c:pt idx="12">
                  <c:v>8.3541799988364751E-2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6B5A-4C18-B9BE-E510DAC0A0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cat'!$B$31:$B$45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cat'!$C$31:$C$45</c:f>
              <c:numCache>
                <c:formatCode>#,##0</c:formatCode>
                <c:ptCount val="15"/>
                <c:pt idx="0">
                  <c:v>741051</c:v>
                </c:pt>
                <c:pt idx="1">
                  <c:v>652648</c:v>
                </c:pt>
                <c:pt idx="2">
                  <c:v>574800</c:v>
                </c:pt>
                <c:pt idx="3">
                  <c:v>285256</c:v>
                </c:pt>
                <c:pt idx="4">
                  <c:v>177177</c:v>
                </c:pt>
                <c:pt idx="5">
                  <c:v>632559</c:v>
                </c:pt>
                <c:pt idx="6">
                  <c:v>643249</c:v>
                </c:pt>
                <c:pt idx="7">
                  <c:v>632543</c:v>
                </c:pt>
                <c:pt idx="8">
                  <c:v>588624</c:v>
                </c:pt>
                <c:pt idx="9">
                  <c:v>528310</c:v>
                </c:pt>
                <c:pt idx="10">
                  <c:v>558325</c:v>
                </c:pt>
                <c:pt idx="11">
                  <c:v>563361</c:v>
                </c:pt>
                <c:pt idx="12">
                  <c:v>544807</c:v>
                </c:pt>
                <c:pt idx="13">
                  <c:v>547396</c:v>
                </c:pt>
                <c:pt idx="14">
                  <c:v>526599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478-42D2-BB93-355BBD8FF2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cat'!$D$30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cat'!$B$31:$B$45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cat'!$D$31:$D$45</c:f>
              <c:numCache>
                <c:formatCode>0.0%</c:formatCode>
                <c:ptCount val="15"/>
                <c:pt idx="0">
                  <c:v>0.13545280151015548</c:v>
                </c:pt>
                <c:pt idx="1">
                  <c:v>0.13543493389004868</c:v>
                </c:pt>
                <c:pt idx="2">
                  <c:v>1.0150321115068568</c:v>
                </c:pt>
                <c:pt idx="3">
                  <c:v>0.61000581339564386</c:v>
                </c:pt>
                <c:pt idx="4">
                  <c:v>-0.71990438836535409</c:v>
                </c:pt>
                <c:pt idx="5">
                  <c:v>-1.6618758832116387E-2</c:v>
                </c:pt>
                <c:pt idx="6">
                  <c:v>1.6925331558486967E-2</c:v>
                </c:pt>
                <c:pt idx="7">
                  <c:v>7.4612995732419973E-2</c:v>
                </c:pt>
                <c:pt idx="8">
                  <c:v>0.11416403248092966</c:v>
                </c:pt>
                <c:pt idx="9">
                  <c:v>-5.375901132852734E-2</c:v>
                </c:pt>
                <c:pt idx="10">
                  <c:v>-8.9392059443234029E-3</c:v>
                </c:pt>
                <c:pt idx="11">
                  <c:v>3.4056096929738322E-2</c:v>
                </c:pt>
                <c:pt idx="12">
                  <c:v>-4.7296655437745194E-3</c:v>
                </c:pt>
                <c:pt idx="13">
                  <c:v>3.9493048790445906E-2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478-42D2-BB93-355BBD8FF2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cat'!$B$54:$B$68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cat'!$C$54:$C$68</c:f>
              <c:numCache>
                <c:formatCode>#,##0</c:formatCode>
                <c:ptCount val="15"/>
                <c:pt idx="0">
                  <c:v>622363</c:v>
                </c:pt>
                <c:pt idx="1">
                  <c:v>549349</c:v>
                </c:pt>
                <c:pt idx="2">
                  <c:v>476344</c:v>
                </c:pt>
                <c:pt idx="3">
                  <c:v>214429</c:v>
                </c:pt>
                <c:pt idx="4">
                  <c:v>143122</c:v>
                </c:pt>
                <c:pt idx="5">
                  <c:v>501207</c:v>
                </c:pt>
                <c:pt idx="6">
                  <c:v>508840</c:v>
                </c:pt>
                <c:pt idx="7">
                  <c:v>482207</c:v>
                </c:pt>
                <c:pt idx="8">
                  <c:v>443712</c:v>
                </c:pt>
                <c:pt idx="9">
                  <c:v>412346</c:v>
                </c:pt>
                <c:pt idx="10">
                  <c:v>439654</c:v>
                </c:pt>
                <c:pt idx="11">
                  <c:v>451246</c:v>
                </c:pt>
                <c:pt idx="12">
                  <c:v>435425</c:v>
                </c:pt>
                <c:pt idx="13">
                  <c:v>430908</c:v>
                </c:pt>
                <c:pt idx="14">
                  <c:v>430020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D31-4F4A-A718-255918B1B5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cat'!$D$53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cat'!$B$54:$B$68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cat'!$D$54:$D$68</c:f>
              <c:numCache>
                <c:formatCode>0.0%</c:formatCode>
                <c:ptCount val="15"/>
                <c:pt idx="0">
                  <c:v>0.13291004443441246</c:v>
                </c:pt>
                <c:pt idx="1">
                  <c:v>0.15326108862502719</c:v>
                </c:pt>
                <c:pt idx="2">
                  <c:v>1.2214532549235413</c:v>
                </c:pt>
                <c:pt idx="3">
                  <c:v>0.4982252903117621</c:v>
                </c:pt>
                <c:pt idx="4">
                  <c:v>-0.71444532897585233</c:v>
                </c:pt>
                <c:pt idx="5">
                  <c:v>-1.5000786101721508E-2</c:v>
                </c:pt>
                <c:pt idx="6">
                  <c:v>5.5231466984096089E-2</c:v>
                </c:pt>
                <c:pt idx="7">
                  <c:v>8.6756725082936637E-2</c:v>
                </c:pt>
                <c:pt idx="8">
                  <c:v>7.6067186295004641E-2</c:v>
                </c:pt>
                <c:pt idx="9">
                  <c:v>-6.2112479358768513E-2</c:v>
                </c:pt>
                <c:pt idx="10">
                  <c:v>-2.5688870372258199E-2</c:v>
                </c:pt>
                <c:pt idx="11">
                  <c:v>3.6334615605442933E-2</c:v>
                </c:pt>
                <c:pt idx="12">
                  <c:v>1.0482515989491903E-2</c:v>
                </c:pt>
                <c:pt idx="13">
                  <c:v>2.0650202316170319E-3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D31-4F4A-A718-255918B1B5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7.372732290890549E-2"/>
          <c:y val="0.28154949862036477"/>
          <c:w val="0.95795330741250462"/>
          <c:h val="0.3969467662696008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 años '!$T$6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9C88-48C3-A5FE-153410A4358B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9C88-48C3-A5FE-153410A4358B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9C88-48C3-A5FE-153410A4358B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9C88-48C3-A5FE-153410A4358B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9C88-48C3-A5FE-153410A4358B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9C88-48C3-A5FE-153410A4358B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9C88-48C3-A5FE-153410A4358B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9C88-48C3-A5FE-153410A4358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 años '!$N$8:$N$9,'viaj entrados lugar resid años '!$N$12:$N$20)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 años '!$T$8:$T$9,'viaj entrados lugar resid años '!$T$12:$T$20)</c:f>
              <c:numCache>
                <c:formatCode>#,##0</c:formatCode>
                <c:ptCount val="11"/>
                <c:pt idx="0">
                  <c:v>914356</c:v>
                </c:pt>
                <c:pt idx="1">
                  <c:v>382237</c:v>
                </c:pt>
                <c:pt idx="2">
                  <c:v>532119</c:v>
                </c:pt>
                <c:pt idx="3">
                  <c:v>110313</c:v>
                </c:pt>
                <c:pt idx="4">
                  <c:v>141364</c:v>
                </c:pt>
                <c:pt idx="5">
                  <c:v>57925</c:v>
                </c:pt>
                <c:pt idx="6">
                  <c:v>18498</c:v>
                </c:pt>
                <c:pt idx="7">
                  <c:v>8896</c:v>
                </c:pt>
                <c:pt idx="8">
                  <c:v>7383</c:v>
                </c:pt>
                <c:pt idx="9">
                  <c:v>9541</c:v>
                </c:pt>
                <c:pt idx="10">
                  <c:v>178199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C88-48C3-A5FE-153410A4358B}"/>
            </c:ext>
          </c:extLst>
        </c:ser>
        <c:ser>
          <c:idx val="1"/>
          <c:order val="1"/>
          <c:tx>
            <c:strRef>
              <c:f>'viaj entrados lugar resid años '!$U$6</c:f>
              <c:strCache>
                <c:ptCount val="1"/>
                <c:pt idx="0">
                  <c:v>var. 24/23</c:v>
                </c:pt>
              </c:strCache>
            </c:strRef>
          </c:tx>
          <c:invertIfNegative val="0"/>
          <c:cat>
            <c:strRef>
              <c:f>('viaj entrados lugar resid años '!$N$8:$N$9,'viaj entrados lugar resid años '!$N$12:$N$20)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 años '!$U$8:$U$9,'viaj entrados lugar resid años '!$U$12:$U$20)</c:f>
              <c:numCache>
                <c:formatCode>0.0%</c:formatCode>
                <c:ptCount val="11"/>
                <c:pt idx="0">
                  <c:v>0.14602781482187077</c:v>
                </c:pt>
                <c:pt idx="1">
                  <c:v>0.1179037385610211</c:v>
                </c:pt>
                <c:pt idx="2">
                  <c:v>0.16711959203816407</c:v>
                </c:pt>
                <c:pt idx="3">
                  <c:v>0.17529298955891748</c:v>
                </c:pt>
                <c:pt idx="4">
                  <c:v>0.11005190460859526</c:v>
                </c:pt>
                <c:pt idx="5">
                  <c:v>0.36169162415665634</c:v>
                </c:pt>
                <c:pt idx="6">
                  <c:v>0.43273177910309046</c:v>
                </c:pt>
                <c:pt idx="7">
                  <c:v>0.27669345579793347</c:v>
                </c:pt>
                <c:pt idx="8">
                  <c:v>-0.13385734396996718</c:v>
                </c:pt>
                <c:pt idx="9">
                  <c:v>-4.216444132115249E-2</c:v>
                </c:pt>
                <c:pt idx="10">
                  <c:v>0.15854316605228425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9C88-48C3-A5FE-153410A4358B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9C88-48C3-A5FE-153410A4358B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9C88-48C3-A5FE-153410A4358B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9C88-48C3-A5FE-153410A4358B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9C88-48C3-A5FE-153410A4358B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9C88-48C3-A5FE-153410A4358B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9C88-48C3-A5FE-153410A4358B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9C88-48C3-A5FE-153410A4358B}"/>
              </c:ext>
            </c:extLst>
          </c:dPt>
          <c:cat>
            <c:strRef>
              <c:f>('viaj entrados lugar resid años '!$N$8:$N$9,'viaj entrados lugar resid años '!$N$12:$N$20)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 años '!$W$8:$W$9,'viaj entrados lugar resid años '!$W$12:$W$20)</c:f>
              <c:numCache>
                <c:formatCode>0.0%</c:formatCode>
                <c:ptCount val="11"/>
                <c:pt idx="0">
                  <c:v>1</c:v>
                </c:pt>
                <c:pt idx="1">
                  <c:v>0.41803958195713703</c:v>
                </c:pt>
                <c:pt idx="2">
                  <c:v>0.58196041804286291</c:v>
                </c:pt>
                <c:pt idx="3">
                  <c:v>0.12064556912187376</c:v>
                </c:pt>
                <c:pt idx="4">
                  <c:v>0.15460498974141362</c:v>
                </c:pt>
                <c:pt idx="5">
                  <c:v>6.3350598672727035E-2</c:v>
                </c:pt>
                <c:pt idx="6">
                  <c:v>2.0230632270144232E-2</c:v>
                </c:pt>
                <c:pt idx="7">
                  <c:v>9.7292520637475999E-3</c:v>
                </c:pt>
                <c:pt idx="8">
                  <c:v>8.0745355200818932E-3</c:v>
                </c:pt>
                <c:pt idx="9">
                  <c:v>1.0434666585006278E-2</c:v>
                </c:pt>
                <c:pt idx="10">
                  <c:v>0.19489017406786854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9C88-48C3-A5FE-153410A435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958193173347365"/>
          <c:y val="0.18932313911888835"/>
          <c:w val="0.95795330741250462"/>
          <c:h val="0.4292076272420834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residencia'!$R$9</c:f>
              <c:strCache>
                <c:ptCount val="1"/>
                <c:pt idx="0">
                  <c:v>enero 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8991-4A88-BC0C-0C21B2F7F930}"/>
              </c:ext>
            </c:extLst>
          </c:dPt>
          <c:dPt>
            <c:idx val="4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8991-4A88-BC0C-0C21B2F7F930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8991-4A88-BC0C-0C21B2F7F930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8991-4A88-BC0C-0C21B2F7F930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8991-4A88-BC0C-0C21B2F7F930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8991-4A88-BC0C-0C21B2F7F930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8991-4A88-BC0C-0C21B2F7F930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8991-4A88-BC0C-0C21B2F7F93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'viaj entrados lugar residencia'!$M$11:$M$23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entrados lugar residencia'!$R$11:$R$23</c:f>
              <c:numCache>
                <c:formatCode>#,##0</c:formatCode>
                <c:ptCount val="13"/>
                <c:pt idx="0">
                  <c:v>64481</c:v>
                </c:pt>
                <c:pt idx="1">
                  <c:v>17189</c:v>
                </c:pt>
                <c:pt idx="2">
                  <c:v>3298</c:v>
                </c:pt>
                <c:pt idx="3">
                  <c:v>13891</c:v>
                </c:pt>
                <c:pt idx="4">
                  <c:v>47292</c:v>
                </c:pt>
                <c:pt idx="5">
                  <c:v>9178</c:v>
                </c:pt>
                <c:pt idx="6">
                  <c:v>14175</c:v>
                </c:pt>
                <c:pt idx="7">
                  <c:v>3566</c:v>
                </c:pt>
                <c:pt idx="8">
                  <c:v>1284</c:v>
                </c:pt>
                <c:pt idx="9">
                  <c:v>552</c:v>
                </c:pt>
                <c:pt idx="10">
                  <c:v>1354</c:v>
                </c:pt>
                <c:pt idx="11">
                  <c:v>1751</c:v>
                </c:pt>
                <c:pt idx="12">
                  <c:v>15432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8991-4A88-BC0C-0C21B2F7F930}"/>
            </c:ext>
          </c:extLst>
        </c:ser>
        <c:ser>
          <c:idx val="1"/>
          <c:order val="1"/>
          <c:tx>
            <c:strRef>
              <c:f>'viaj entrados lugar residencia'!$S$9</c:f>
              <c:strCache>
                <c:ptCount val="1"/>
                <c:pt idx="0">
                  <c:v>enero 2025</c:v>
                </c:pt>
              </c:strCache>
            </c:strRef>
          </c:tx>
          <c:invertIfNegative val="0"/>
          <c:cat>
            <c:strRef>
              <c:f>'viaj entrados lugar residencia'!$M$11:$M$23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entrados lugar residencia'!$S$11:$S$23</c:f>
              <c:numCache>
                <c:formatCode>0.0%</c:formatCode>
                <c:ptCount val="13"/>
                <c:pt idx="0">
                  <c:v>7.3109439488749928E-2</c:v>
                </c:pt>
                <c:pt idx="1">
                  <c:v>-8.3008802347292576E-2</c:v>
                </c:pt>
                <c:pt idx="2">
                  <c:v>-8.7437742114001127E-2</c:v>
                </c:pt>
                <c:pt idx="3">
                  <c:v>-8.1950961602009098E-2</c:v>
                </c:pt>
                <c:pt idx="4">
                  <c:v>0.14389376678034971</c:v>
                </c:pt>
                <c:pt idx="5">
                  <c:v>0.26054113445955229</c:v>
                </c:pt>
                <c:pt idx="6">
                  <c:v>9.9263280341217452E-2</c:v>
                </c:pt>
                <c:pt idx="7">
                  <c:v>0.16535947712418309</c:v>
                </c:pt>
                <c:pt idx="8">
                  <c:v>0.46241457858769941</c:v>
                </c:pt>
                <c:pt idx="9">
                  <c:v>-4.3327556325823191E-2</c:v>
                </c:pt>
                <c:pt idx="10">
                  <c:v>-0.1969157769869514</c:v>
                </c:pt>
                <c:pt idx="11">
                  <c:v>1.389693109438328E-2</c:v>
                </c:pt>
                <c:pt idx="12">
                  <c:v>0.16564695218672099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8991-4A88-BC0C-0C21B2F7F930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8991-4A88-BC0C-0C21B2F7F930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8991-4A88-BC0C-0C21B2F7F930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8991-4A88-BC0C-0C21B2F7F930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8991-4A88-BC0C-0C21B2F7F930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8991-4A88-BC0C-0C21B2F7F930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8991-4A88-BC0C-0C21B2F7F930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8991-4A88-BC0C-0C21B2F7F930}"/>
              </c:ext>
            </c:extLst>
          </c:dPt>
          <c:cat>
            <c:strRef>
              <c:f>'viaj entrados lugar residencia'!$M$11:$M$23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entrados lugar residencia'!$T$11:$T$23</c:f>
              <c:numCache>
                <c:formatCode>0.0%</c:formatCode>
                <c:ptCount val="13"/>
                <c:pt idx="0">
                  <c:v>1</c:v>
                </c:pt>
                <c:pt idx="1">
                  <c:v>0.26657464989686885</c:v>
                </c:pt>
                <c:pt idx="2">
                  <c:v>5.1146849459530713E-2</c:v>
                </c:pt>
                <c:pt idx="3">
                  <c:v>0.21542780043733814</c:v>
                </c:pt>
                <c:pt idx="4">
                  <c:v>0.73342535010313115</c:v>
                </c:pt>
                <c:pt idx="5">
                  <c:v>0.14233650222546176</c:v>
                </c:pt>
                <c:pt idx="6">
                  <c:v>0.2198321986321552</c:v>
                </c:pt>
                <c:pt idx="7">
                  <c:v>5.5303112544780632E-2</c:v>
                </c:pt>
                <c:pt idx="8">
                  <c:v>1.9912842542764535E-2</c:v>
                </c:pt>
                <c:pt idx="9">
                  <c:v>8.5606612800669963E-3</c:v>
                </c:pt>
                <c:pt idx="10">
                  <c:v>2.0998433647120857E-2</c:v>
                </c:pt>
                <c:pt idx="11">
                  <c:v>2.7155286053255998E-2</c:v>
                </c:pt>
                <c:pt idx="12">
                  <c:v>0.23932631317752517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8991-4A88-BC0C-0C21B2F7F9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6442828298014062"/>
          <c:y val="0.20632289384879521"/>
          <c:w val="0.95795330741250462"/>
          <c:h val="0.3849039546748385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 hot'!$T$7</c:f>
              <c:strCache>
                <c:ptCount val="1"/>
                <c:pt idx="0">
                  <c:v> enero 2025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66E7-4A2E-8E0D-766F841E3DAD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66E7-4A2E-8E0D-766F841E3DAD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66E7-4A2E-8E0D-766F841E3DAD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66E7-4A2E-8E0D-766F841E3DAD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66E7-4A2E-8E0D-766F841E3DAD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66E7-4A2E-8E0D-766F841E3DAD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66E7-4A2E-8E0D-766F841E3DAD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66E7-4A2E-8E0D-766F841E3DA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 hot'!$N$9:$N$10,'viaj entrados lugar residen hot'!$N$13:$N$21)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hot'!$T$9:$T$10,'viaj entrados lugar residen hot'!$T$13:$T$21)</c:f>
              <c:numCache>
                <c:formatCode>#,##0</c:formatCode>
                <c:ptCount val="11"/>
                <c:pt idx="0">
                  <c:v>54883</c:v>
                </c:pt>
                <c:pt idx="1">
                  <c:v>16231</c:v>
                </c:pt>
                <c:pt idx="2">
                  <c:v>38652</c:v>
                </c:pt>
                <c:pt idx="3">
                  <c:v>8023</c:v>
                </c:pt>
                <c:pt idx="4">
                  <c:v>12210</c:v>
                </c:pt>
                <c:pt idx="5">
                  <c:v>3226</c:v>
                </c:pt>
                <c:pt idx="6">
                  <c:v>1122</c:v>
                </c:pt>
                <c:pt idx="7">
                  <c:v>710</c:v>
                </c:pt>
                <c:pt idx="8">
                  <c:v>753</c:v>
                </c:pt>
                <c:pt idx="9">
                  <c:v>716</c:v>
                </c:pt>
                <c:pt idx="10">
                  <c:v>11892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6E7-4A2E-8E0D-766F841E3DAD}"/>
            </c:ext>
          </c:extLst>
        </c:ser>
        <c:ser>
          <c:idx val="1"/>
          <c:order val="1"/>
          <c:tx>
            <c:strRef>
              <c:f>'viaj entrados lugar residen hot'!$U$7</c:f>
              <c:strCache>
                <c:ptCount val="1"/>
                <c:pt idx="0">
                  <c:v>var. 25/24</c:v>
                </c:pt>
              </c:strCache>
            </c:strRef>
          </c:tx>
          <c:invertIfNegative val="0"/>
          <c:cat>
            <c:strRef>
              <c:f>('viaj entrados lugar residen hot'!$N$9:$N$10,'viaj entrados lugar residen hot'!$N$13:$N$21)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hot'!$U$9:$U$10,'viaj entrados lugar residen hot'!$U$13:$U$21)</c:f>
              <c:numCache>
                <c:formatCode>0.0%</c:formatCode>
                <c:ptCount val="11"/>
                <c:pt idx="0">
                  <c:v>8.9343162306745327E-3</c:v>
                </c:pt>
                <c:pt idx="1">
                  <c:v>5.4097934796726754E-2</c:v>
                </c:pt>
                <c:pt idx="2">
                  <c:v>-8.8976640426677855E-3</c:v>
                </c:pt>
                <c:pt idx="3">
                  <c:v>-2.086892848425681E-2</c:v>
                </c:pt>
                <c:pt idx="4">
                  <c:v>-2.8021015761821366E-2</c:v>
                </c:pt>
                <c:pt idx="5">
                  <c:v>-2.6847662141779804E-2</c:v>
                </c:pt>
                <c:pt idx="6">
                  <c:v>0.31690140845070425</c:v>
                </c:pt>
                <c:pt idx="7">
                  <c:v>0.44897959183673475</c:v>
                </c:pt>
                <c:pt idx="8">
                  <c:v>-7.2660098522167482E-2</c:v>
                </c:pt>
                <c:pt idx="9">
                  <c:v>-0.22927879440258347</c:v>
                </c:pt>
                <c:pt idx="10">
                  <c:v>3.9679189531447445E-3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66E7-4A2E-8E0D-766F841E3DAD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66E7-4A2E-8E0D-766F841E3DAD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66E7-4A2E-8E0D-766F841E3DAD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66E7-4A2E-8E0D-766F841E3DAD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66E7-4A2E-8E0D-766F841E3DAD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66E7-4A2E-8E0D-766F841E3DAD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66E7-4A2E-8E0D-766F841E3DAD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66E7-4A2E-8E0D-766F841E3DAD}"/>
              </c:ext>
            </c:extLst>
          </c:dPt>
          <c:cat>
            <c:strRef>
              <c:f>('viaj entrados lugar residen hot'!$N$9:$N$10,'viaj entrados lugar residen hot'!$N$13:$N$21)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hot'!$W$9:$W$10,'viaj entrados lugar residen hot'!$W$13:$W$21)</c:f>
              <c:numCache>
                <c:formatCode>0.0%</c:formatCode>
                <c:ptCount val="11"/>
                <c:pt idx="0">
                  <c:v>1</c:v>
                </c:pt>
                <c:pt idx="1">
                  <c:v>0.29573820673068163</c:v>
                </c:pt>
                <c:pt idx="2">
                  <c:v>0.70426179326931837</c:v>
                </c:pt>
                <c:pt idx="3">
                  <c:v>0.1461836998706339</c:v>
                </c:pt>
                <c:pt idx="4">
                  <c:v>0.2224732613013137</c:v>
                </c:pt>
                <c:pt idx="5">
                  <c:v>5.8779585664048978E-2</c:v>
                </c:pt>
                <c:pt idx="6">
                  <c:v>2.0443488876336936E-2</c:v>
                </c:pt>
                <c:pt idx="7">
                  <c:v>1.2936610608020699E-2</c:v>
                </c:pt>
                <c:pt idx="8">
                  <c:v>1.3720095475830403E-2</c:v>
                </c:pt>
                <c:pt idx="9">
                  <c:v>1.3045934077947635E-2</c:v>
                </c:pt>
                <c:pt idx="10">
                  <c:v>0.21667911739518611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66E7-4A2E-8E0D-766F841E3D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6442828298014062"/>
          <c:y val="0.23973976937093389"/>
          <c:w val="0.95795330741250462"/>
          <c:h val="0.3419394004320888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 apt'!$T$7</c:f>
              <c:strCache>
                <c:ptCount val="1"/>
                <c:pt idx="0">
                  <c:v> enero 2025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C957-422A-811E-9A84D59DEA98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C957-422A-811E-9A84D59DEA98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C957-422A-811E-9A84D59DEA98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C957-422A-811E-9A84D59DEA98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C957-422A-811E-9A84D59DEA98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C957-422A-811E-9A84D59DEA98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C957-422A-811E-9A84D59DEA98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C957-422A-811E-9A84D59DEA9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 apt'!$N$9:$N$10,'viaj entrados lugar residen apt'!$N$13:$N$21)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apt'!$T$9:$T$10,'viaj entrados lugar residen apt'!$T$13:$T$21)</c:f>
              <c:numCache>
                <c:formatCode>#,##0</c:formatCode>
                <c:ptCount val="11"/>
                <c:pt idx="0">
                  <c:v>10527</c:v>
                </c:pt>
                <c:pt idx="1">
                  <c:v>2394</c:v>
                </c:pt>
                <c:pt idx="2">
                  <c:v>8133</c:v>
                </c:pt>
                <c:pt idx="3">
                  <c:v>930</c:v>
                </c:pt>
                <c:pt idx="4">
                  <c:v>1952</c:v>
                </c:pt>
                <c:pt idx="5">
                  <c:v>393</c:v>
                </c:pt>
                <c:pt idx="6">
                  <c:v>283</c:v>
                </c:pt>
                <c:pt idx="7">
                  <c:v>82</c:v>
                </c:pt>
                <c:pt idx="8">
                  <c:v>460</c:v>
                </c:pt>
                <c:pt idx="9">
                  <c:v>698</c:v>
                </c:pt>
                <c:pt idx="10">
                  <c:v>3335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C957-422A-811E-9A84D59DEA98}"/>
            </c:ext>
          </c:extLst>
        </c:ser>
        <c:ser>
          <c:idx val="1"/>
          <c:order val="1"/>
          <c:tx>
            <c:strRef>
              <c:f>'viaj entrados lugar residen apt'!$U$7</c:f>
              <c:strCache>
                <c:ptCount val="1"/>
                <c:pt idx="0">
                  <c:v>var. 25/24</c:v>
                </c:pt>
              </c:strCache>
            </c:strRef>
          </c:tx>
          <c:invertIfNegative val="0"/>
          <c:cat>
            <c:strRef>
              <c:f>('viaj entrados lugar residen apt'!$N$9:$N$10,'viaj entrados lugar residen apt'!$N$13:$N$21)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apt'!$U$9:$U$10,'viaj entrados lugar residen apt'!$U$13:$U$21)</c:f>
              <c:numCache>
                <c:formatCode>0.0%</c:formatCode>
                <c:ptCount val="11"/>
                <c:pt idx="0">
                  <c:v>4.3930979769932543E-2</c:v>
                </c:pt>
                <c:pt idx="1">
                  <c:v>0.33668341708542715</c:v>
                </c:pt>
                <c:pt idx="2">
                  <c:v>-1.92933799590016E-2</c:v>
                </c:pt>
                <c:pt idx="3">
                  <c:v>-5.4878048780487854E-2</c:v>
                </c:pt>
                <c:pt idx="4">
                  <c:v>0.21016738995660256</c:v>
                </c:pt>
                <c:pt idx="5">
                  <c:v>0.56573705179282863</c:v>
                </c:pt>
                <c:pt idx="6">
                  <c:v>-0.34490740740740744</c:v>
                </c:pt>
                <c:pt idx="7">
                  <c:v>0.32258064516129026</c:v>
                </c:pt>
                <c:pt idx="8">
                  <c:v>-0.1512915129151291</c:v>
                </c:pt>
                <c:pt idx="9">
                  <c:v>-0.15085158150851585</c:v>
                </c:pt>
                <c:pt idx="10">
                  <c:v>-7.025369389461944E-2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C957-422A-811E-9A84D59DEA98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C957-422A-811E-9A84D59DEA98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C957-422A-811E-9A84D59DEA98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C957-422A-811E-9A84D59DEA98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C957-422A-811E-9A84D59DEA98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C957-422A-811E-9A84D59DEA98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C957-422A-811E-9A84D59DEA98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C957-422A-811E-9A84D59DEA98}"/>
              </c:ext>
            </c:extLst>
          </c:dPt>
          <c:cat>
            <c:strRef>
              <c:f>('viaj entrados lugar residen apt'!$N$9:$N$10,'viaj entrados lugar residen apt'!$N$13:$N$21)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apt'!$W$9:$W$10,'viaj entrados lugar residen apt'!$W$13:$W$21)</c:f>
              <c:numCache>
                <c:formatCode>0.0%</c:formatCode>
                <c:ptCount val="11"/>
                <c:pt idx="0">
                  <c:v>1</c:v>
                </c:pt>
                <c:pt idx="1">
                  <c:v>0.22741521801082928</c:v>
                </c:pt>
                <c:pt idx="2">
                  <c:v>0.77258478198917069</c:v>
                </c:pt>
                <c:pt idx="3">
                  <c:v>8.8344257623254485E-2</c:v>
                </c:pt>
                <c:pt idx="4">
                  <c:v>0.18542794718343308</c:v>
                </c:pt>
                <c:pt idx="5">
                  <c:v>3.7332573382730119E-2</c:v>
                </c:pt>
                <c:pt idx="6">
                  <c:v>2.6883252588581742E-2</c:v>
                </c:pt>
                <c:pt idx="7">
                  <c:v>7.7894936829106106E-3</c:v>
                </c:pt>
                <c:pt idx="8">
                  <c:v>4.3697159684620498E-2</c:v>
                </c:pt>
                <c:pt idx="9">
                  <c:v>6.6305690130141537E-2</c:v>
                </c:pt>
                <c:pt idx="10">
                  <c:v>0.3168044077134986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C957-422A-811E-9A84D59DEA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6551459596079018"/>
          <c:y val="0.19048427217274536"/>
          <c:w val="0.82247339202719794"/>
          <c:h val="0.4095317032739328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alojados lugar residen acu'!$U$7</c:f>
              <c:strCache>
                <c:ptCount val="1"/>
                <c:pt idx="0">
                  <c:v> enero 2025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8294-4928-A809-79D6470A8ABE}"/>
              </c:ext>
            </c:extLst>
          </c:dPt>
          <c:dPt>
            <c:idx val="4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8294-4928-A809-79D6470A8ABE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8294-4928-A809-79D6470A8ABE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8294-4928-A809-79D6470A8ABE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8294-4928-A809-79D6470A8ABE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8294-4928-A809-79D6470A8ABE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8294-4928-A809-79D6470A8ABE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8294-4928-A809-79D6470A8AB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'viaj alojados lugar residen acu'!$O$9:$O$21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alojados lugar residen acu'!$U$9:$U$21</c:f>
              <c:numCache>
                <c:formatCode>#,##0</c:formatCode>
                <c:ptCount val="13"/>
                <c:pt idx="0">
                  <c:v>80690</c:v>
                </c:pt>
                <c:pt idx="1">
                  <c:v>21637</c:v>
                </c:pt>
                <c:pt idx="2">
                  <c:v>4218</c:v>
                </c:pt>
                <c:pt idx="3">
                  <c:v>17419</c:v>
                </c:pt>
                <c:pt idx="4">
                  <c:v>59053</c:v>
                </c:pt>
                <c:pt idx="5">
                  <c:v>10975</c:v>
                </c:pt>
                <c:pt idx="6">
                  <c:v>18509</c:v>
                </c:pt>
                <c:pt idx="7">
                  <c:v>4566</c:v>
                </c:pt>
                <c:pt idx="8">
                  <c:v>1759</c:v>
                </c:pt>
                <c:pt idx="9">
                  <c:v>976</c:v>
                </c:pt>
                <c:pt idx="10">
                  <c:v>1482</c:v>
                </c:pt>
                <c:pt idx="11">
                  <c:v>1874</c:v>
                </c:pt>
                <c:pt idx="12">
                  <c:v>18912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8294-4928-A809-79D6470A8ABE}"/>
            </c:ext>
          </c:extLst>
        </c:ser>
        <c:ser>
          <c:idx val="1"/>
          <c:order val="1"/>
          <c:tx>
            <c:strRef>
              <c:f>'viaj alojados lugar residen acu'!$V$7</c:f>
              <c:strCache>
                <c:ptCount val="1"/>
                <c:pt idx="0">
                  <c:v>var. 25/24</c:v>
                </c:pt>
              </c:strCache>
            </c:strRef>
          </c:tx>
          <c:invertIfNegative val="0"/>
          <c:cat>
            <c:strRef>
              <c:f>'viaj alojados lugar residen acu'!$O$9:$O$21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alojados lugar residen acu'!$V$9:$V$21</c:f>
              <c:numCache>
                <c:formatCode>0.0%</c:formatCode>
                <c:ptCount val="13"/>
                <c:pt idx="0">
                  <c:v>2.3556124973044268E-2</c:v>
                </c:pt>
                <c:pt idx="1">
                  <c:v>7.7539840637450119E-2</c:v>
                </c:pt>
                <c:pt idx="2">
                  <c:v>0.16874480465502906</c:v>
                </c:pt>
                <c:pt idx="3">
                  <c:v>5.7555703964543792E-2</c:v>
                </c:pt>
                <c:pt idx="4">
                  <c:v>5.1061222405663909E-3</c:v>
                </c:pt>
                <c:pt idx="5">
                  <c:v>7.157933376158665E-3</c:v>
                </c:pt>
                <c:pt idx="6">
                  <c:v>-7.4538824538824544E-3</c:v>
                </c:pt>
                <c:pt idx="7">
                  <c:v>2.1476510067114152E-2</c:v>
                </c:pt>
                <c:pt idx="8">
                  <c:v>0.17032601463739194</c:v>
                </c:pt>
                <c:pt idx="9">
                  <c:v>0.32608695652173902</c:v>
                </c:pt>
                <c:pt idx="10">
                  <c:v>-7.7210460772104583E-2</c:v>
                </c:pt>
                <c:pt idx="11">
                  <c:v>-0.15203619909502264</c:v>
                </c:pt>
                <c:pt idx="12">
                  <c:v>1.2257132152224015E-2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8294-4928-A809-79D6470A8ABE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8294-4928-A809-79D6470A8ABE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8294-4928-A809-79D6470A8ABE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8294-4928-A809-79D6470A8ABE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8294-4928-A809-79D6470A8ABE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8294-4928-A809-79D6470A8ABE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8294-4928-A809-79D6470A8ABE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8294-4928-A809-79D6470A8ABE}"/>
              </c:ext>
            </c:extLst>
          </c:dPt>
          <c:cat>
            <c:strRef>
              <c:f>'viaj alojados lugar residen acu'!$O$9:$O$21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alojados lugar residen acu'!$X$9:$X$21</c:f>
              <c:numCache>
                <c:formatCode>0.0%</c:formatCode>
                <c:ptCount val="13"/>
                <c:pt idx="0">
                  <c:v>1</c:v>
                </c:pt>
                <c:pt idx="1">
                  <c:v>0.26814970876192834</c:v>
                </c:pt>
                <c:pt idx="2">
                  <c:v>5.2274135580617179E-2</c:v>
                </c:pt>
                <c:pt idx="3">
                  <c:v>0.2158755731813112</c:v>
                </c:pt>
                <c:pt idx="4">
                  <c:v>0.73185029123807166</c:v>
                </c:pt>
                <c:pt idx="5">
                  <c:v>0.13601437600694014</c:v>
                </c:pt>
                <c:pt idx="6">
                  <c:v>0.22938406246127152</c:v>
                </c:pt>
                <c:pt idx="7">
                  <c:v>5.6586937662659563E-2</c:v>
                </c:pt>
                <c:pt idx="8">
                  <c:v>2.1799479489403892E-2</c:v>
                </c:pt>
                <c:pt idx="9">
                  <c:v>1.2095674804808526E-2</c:v>
                </c:pt>
                <c:pt idx="10">
                  <c:v>1.8366588176973602E-2</c:v>
                </c:pt>
                <c:pt idx="11">
                  <c:v>2.3224687073986863E-2</c:v>
                </c:pt>
                <c:pt idx="12">
                  <c:v>0.23437848556202751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8294-4928-A809-79D6470A8A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4D4-4E7E-9D39-AD6F21177A36}"/>
              </c:ext>
            </c:extLst>
          </c:dPt>
          <c:val>
            <c:numRef>
              <c:f>'Pernoctaciones evol mensu TF'!$I$9:$I$21</c:f>
              <c:numCache>
                <c:formatCode>#,##0</c:formatCode>
                <c:ptCount val="13"/>
                <c:pt idx="0">
                  <c:v>459644</c:v>
                </c:pt>
                <c:pt idx="1">
                  <c:v>411785</c:v>
                </c:pt>
                <c:pt idx="2">
                  <c:v>435839</c:v>
                </c:pt>
                <c:pt idx="3">
                  <c:v>379392</c:v>
                </c:pt>
                <c:pt idx="4">
                  <c:v>340598</c:v>
                </c:pt>
                <c:pt idx="5">
                  <c:v>393768</c:v>
                </c:pt>
                <c:pt idx="6">
                  <c:v>454413</c:v>
                </c:pt>
                <c:pt idx="7">
                  <c:v>480859</c:v>
                </c:pt>
                <c:pt idx="8">
                  <c:v>441114</c:v>
                </c:pt>
                <c:pt idx="9">
                  <c:v>428972</c:v>
                </c:pt>
                <c:pt idx="10">
                  <c:v>456108</c:v>
                </c:pt>
                <c:pt idx="11">
                  <c:v>440835</c:v>
                </c:pt>
                <c:pt idx="12">
                  <c:v>5123327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4D4-4E7E-9D39-AD6F21177A36}"/>
            </c:ext>
          </c:extLst>
        </c:ser>
        <c:ser>
          <c:idx val="0"/>
          <c:order val="2"/>
          <c:tx>
            <c:strRef>
              <c:f>'Pernoctaciones evol mensu TF'!$K$7:$L$7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4D4-4E7E-9D39-AD6F21177A36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TF'!$K$9:$K$21</c:f>
              <c:numCache>
                <c:formatCode>#,##0</c:formatCode>
                <c:ptCount val="13"/>
                <c:pt idx="0">
                  <c:v>482317</c:v>
                </c:pt>
                <c:pt idx="1">
                  <c:v>476786</c:v>
                </c:pt>
                <c:pt idx="2">
                  <c:v>499150</c:v>
                </c:pt>
                <c:pt idx="3">
                  <c:v>411482</c:v>
                </c:pt>
                <c:pt idx="4">
                  <c:v>405702</c:v>
                </c:pt>
                <c:pt idx="5">
                  <c:v>460449</c:v>
                </c:pt>
                <c:pt idx="6">
                  <c:v>532065</c:v>
                </c:pt>
                <c:pt idx="7">
                  <c:v>551869</c:v>
                </c:pt>
                <c:pt idx="8">
                  <c:v>489204</c:v>
                </c:pt>
                <c:pt idx="9">
                  <c:v>490987</c:v>
                </c:pt>
                <c:pt idx="10">
                  <c:v>482914</c:v>
                </c:pt>
                <c:pt idx="11">
                  <c:v>468874</c:v>
                </c:pt>
                <c:pt idx="12">
                  <c:v>5751799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4D4-4E7E-9D39-AD6F21177A36}"/>
            </c:ext>
          </c:extLst>
        </c:ser>
        <c:ser>
          <c:idx val="1"/>
          <c:order val="3"/>
          <c:tx>
            <c:strRef>
              <c:f>'Pernoctaciones evol mensu TF'!$M$7:$N$7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04D4-4E7E-9D39-AD6F21177A3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04D4-4E7E-9D39-AD6F21177A36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TF'!$M$9:$M$21</c:f>
              <c:numCache>
                <c:formatCode>#,##0</c:formatCode>
                <c:ptCount val="13"/>
                <c:pt idx="0">
                  <c:v>494946</c:v>
                </c:pt>
                <c:pt idx="12">
                  <c:v>494946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4D4-4E7E-9D39-AD6F21177A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01-04D4-4E7E-9D39-AD6F21177A36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TF'!$C$9:$C$21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493497</c:v>
                      </c:pt>
                      <c:pt idx="1">
                        <c:v>430844</c:v>
                      </c:pt>
                      <c:pt idx="2">
                        <c:v>217806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115808</c:v>
                      </c:pt>
                      <c:pt idx="8">
                        <c:v>80706</c:v>
                      </c:pt>
                      <c:pt idx="9">
                        <c:v>56100</c:v>
                      </c:pt>
                      <c:pt idx="10">
                        <c:v>36828</c:v>
                      </c:pt>
                      <c:pt idx="11">
                        <c:v>44846</c:v>
                      </c:pt>
                      <c:pt idx="12">
                        <c:v>1546641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2-04D4-4E7E-9D39-AD6F21177A36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4D4-4E7E-9D39-AD6F21177A3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4D4-4E7E-9D39-AD6F21177A3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4D4-4E7E-9D39-AD6F21177A3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4D4-4E7E-9D39-AD6F21177A3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4D4-4E7E-9D39-AD6F21177A3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4D4-4E7E-9D39-AD6F21177A3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4D4-4E7E-9D39-AD6F21177A3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4D4-4E7E-9D39-AD6F21177A3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4D4-4E7E-9D39-AD6F21177A3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4D4-4E7E-9D39-AD6F21177A3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4D4-4E7E-9D39-AD6F21177A3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4D4-4E7E-9D39-AD6F21177A3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4D4-4E7E-9D39-AD6F21177A36}"/>
              </c:ext>
            </c:extLst>
          </c:dPt>
          <c:cat>
            <c:strRef>
              <c:f>'Pernoctaciones evol mensu TF'!$B$9:$B$20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TF'!$N$9:$N$21</c:f>
              <c:numCache>
                <c:formatCode>0.0%</c:formatCode>
                <c:ptCount val="13"/>
                <c:pt idx="0">
                  <c:v>2.6184024199851885E-2</c:v>
                </c:pt>
                <c:pt idx="12">
                  <c:v>2.6184024199851885E-2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04D4-4E7E-9D39-AD6F21177A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6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3D4-4650-B4F4-DF5388B8FCD8}"/>
              </c:ext>
            </c:extLst>
          </c:dPt>
          <c:val>
            <c:numRef>
              <c:f>'Pernoctaciones evol mensu TF'!$I$31:$I$43</c:f>
              <c:numCache>
                <c:formatCode>#,##0</c:formatCode>
                <c:ptCount val="13"/>
                <c:pt idx="0">
                  <c:v>107373</c:v>
                </c:pt>
                <c:pt idx="1">
                  <c:v>93902</c:v>
                </c:pt>
                <c:pt idx="2">
                  <c:v>120720</c:v>
                </c:pt>
                <c:pt idx="3">
                  <c:v>140492</c:v>
                </c:pt>
                <c:pt idx="4">
                  <c:v>148058</c:v>
                </c:pt>
                <c:pt idx="5">
                  <c:v>185864</c:v>
                </c:pt>
                <c:pt idx="6">
                  <c:v>201058</c:v>
                </c:pt>
                <c:pt idx="7">
                  <c:v>202524</c:v>
                </c:pt>
                <c:pt idx="8">
                  <c:v>158021</c:v>
                </c:pt>
                <c:pt idx="9">
                  <c:v>118073</c:v>
                </c:pt>
                <c:pt idx="10">
                  <c:v>80072</c:v>
                </c:pt>
                <c:pt idx="11">
                  <c:v>84951</c:v>
                </c:pt>
                <c:pt idx="12">
                  <c:v>1641108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3D4-4650-B4F4-DF5388B8FCD8}"/>
            </c:ext>
          </c:extLst>
        </c:ser>
        <c:ser>
          <c:idx val="0"/>
          <c:order val="2"/>
          <c:tx>
            <c:strRef>
              <c:f>'Pernoctaciones evol mensu TF'!$K$29:$L$29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3D4-4650-B4F4-DF5388B8FCD8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TF'!$K$31:$K$43</c:f>
              <c:numCache>
                <c:formatCode>#,##0</c:formatCode>
                <c:ptCount val="13"/>
                <c:pt idx="0">
                  <c:v>84180</c:v>
                </c:pt>
                <c:pt idx="1">
                  <c:v>82338</c:v>
                </c:pt>
                <c:pt idx="2">
                  <c:v>112876</c:v>
                </c:pt>
                <c:pt idx="3">
                  <c:v>127831</c:v>
                </c:pt>
                <c:pt idx="4">
                  <c:v>161111</c:v>
                </c:pt>
                <c:pt idx="5">
                  <c:v>186304</c:v>
                </c:pt>
                <c:pt idx="6">
                  <c:v>207746</c:v>
                </c:pt>
                <c:pt idx="7">
                  <c:v>229806</c:v>
                </c:pt>
                <c:pt idx="8">
                  <c:v>159761</c:v>
                </c:pt>
                <c:pt idx="9">
                  <c:v>131586</c:v>
                </c:pt>
                <c:pt idx="10">
                  <c:v>107403</c:v>
                </c:pt>
                <c:pt idx="11">
                  <c:v>89457</c:v>
                </c:pt>
                <c:pt idx="12">
                  <c:v>1680399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3D4-4650-B4F4-DF5388B8FCD8}"/>
            </c:ext>
          </c:extLst>
        </c:ser>
        <c:ser>
          <c:idx val="1"/>
          <c:order val="3"/>
          <c:tx>
            <c:strRef>
              <c:f>'Pernoctaciones evol mensu TF'!$M$29:$N$29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F3D4-4650-B4F4-DF5388B8FCD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F3D4-4650-B4F4-DF5388B8FCD8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TF'!$M$31:$M$43</c:f>
              <c:numCache>
                <c:formatCode>#,##0</c:formatCode>
                <c:ptCount val="13"/>
                <c:pt idx="0">
                  <c:v>87577</c:v>
                </c:pt>
                <c:pt idx="12">
                  <c:v>87577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3D4-4650-B4F4-DF5388B8FC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01-F3D4-4650-B4F4-DF5388B8FCD8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TF'!$C$31:$C$43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109435</c:v>
                      </c:pt>
                      <c:pt idx="1">
                        <c:v>98017</c:v>
                      </c:pt>
                      <c:pt idx="2">
                        <c:v>45193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66105</c:v>
                      </c:pt>
                      <c:pt idx="8">
                        <c:v>52265</c:v>
                      </c:pt>
                      <c:pt idx="9">
                        <c:v>36133</c:v>
                      </c:pt>
                      <c:pt idx="10">
                        <c:v>14426</c:v>
                      </c:pt>
                      <c:pt idx="11">
                        <c:v>14280</c:v>
                      </c:pt>
                      <c:pt idx="12">
                        <c:v>472177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2-F3D4-4650-B4F4-DF5388B8FCD8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TF'!$N$30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3D4-4650-B4F4-DF5388B8FCD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3D4-4650-B4F4-DF5388B8FCD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3D4-4650-B4F4-DF5388B8FCD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3D4-4650-B4F4-DF5388B8FCD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3D4-4650-B4F4-DF5388B8FCD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3D4-4650-B4F4-DF5388B8FCD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3D4-4650-B4F4-DF5388B8FCD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3D4-4650-B4F4-DF5388B8FCD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3D4-4650-B4F4-DF5388B8FCD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3D4-4650-B4F4-DF5388B8FCD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3D4-4650-B4F4-DF5388B8FCD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3D4-4650-B4F4-DF5388B8FCD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3D4-4650-B4F4-DF5388B8FCD8}"/>
              </c:ext>
            </c:extLst>
          </c:dPt>
          <c:cat>
            <c:strRef>
              <c:f>'Pernoctaciones evol mensu TF'!$B$31:$B$42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TF'!$N$31:$N$43</c:f>
              <c:numCache>
                <c:formatCode>0.0%</c:formatCode>
                <c:ptCount val="13"/>
                <c:pt idx="0">
                  <c:v>4.0354003326205756E-2</c:v>
                </c:pt>
                <c:pt idx="12">
                  <c:v>4.0354003326205756E-2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F3D4-4650-B4F4-DF5388B8FC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4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AD3-4FF1-A970-89B267F3EF00}"/>
              </c:ext>
            </c:extLst>
          </c:dPt>
          <c:val>
            <c:numRef>
              <c:f>'Pernoctaciones evol mensu TF'!$I$53:$I$65</c:f>
              <c:numCache>
                <c:formatCode>#,##0</c:formatCode>
                <c:ptCount val="13"/>
                <c:pt idx="0">
                  <c:v>94379</c:v>
                </c:pt>
                <c:pt idx="1">
                  <c:v>85353</c:v>
                </c:pt>
                <c:pt idx="2">
                  <c:v>107350</c:v>
                </c:pt>
                <c:pt idx="3">
                  <c:v>113397</c:v>
                </c:pt>
                <c:pt idx="4">
                  <c:v>122735</c:v>
                </c:pt>
                <c:pt idx="5">
                  <c:v>151037</c:v>
                </c:pt>
                <c:pt idx="6">
                  <c:v>161599</c:v>
                </c:pt>
                <c:pt idx="7">
                  <c:v>177694</c:v>
                </c:pt>
                <c:pt idx="8">
                  <c:v>127466</c:v>
                </c:pt>
                <c:pt idx="9">
                  <c:v>103186</c:v>
                </c:pt>
                <c:pt idx="10">
                  <c:v>69364</c:v>
                </c:pt>
                <c:pt idx="11">
                  <c:v>71834</c:v>
                </c:pt>
                <c:pt idx="12">
                  <c:v>1385394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AD3-4FF1-A970-89B267F3EF00}"/>
            </c:ext>
          </c:extLst>
        </c:ser>
        <c:ser>
          <c:idx val="0"/>
          <c:order val="2"/>
          <c:tx>
            <c:strRef>
              <c:f>'Pernoctaciones evol mensu TF'!$K$51:$L$51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AD3-4FF1-A970-89B267F3EF00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TF'!$K$53:$K$65</c:f>
              <c:numCache>
                <c:formatCode>#,##0</c:formatCode>
                <c:ptCount val="13"/>
                <c:pt idx="0">
                  <c:v>76235</c:v>
                </c:pt>
                <c:pt idx="1">
                  <c:v>74115</c:v>
                </c:pt>
                <c:pt idx="2">
                  <c:v>98365</c:v>
                </c:pt>
                <c:pt idx="3">
                  <c:v>108738</c:v>
                </c:pt>
                <c:pt idx="4">
                  <c:v>127566</c:v>
                </c:pt>
                <c:pt idx="5">
                  <c:v>145345</c:v>
                </c:pt>
                <c:pt idx="6">
                  <c:v>163095</c:v>
                </c:pt>
                <c:pt idx="7">
                  <c:v>188499</c:v>
                </c:pt>
                <c:pt idx="8">
                  <c:v>137327</c:v>
                </c:pt>
                <c:pt idx="9">
                  <c:v>109884</c:v>
                </c:pt>
                <c:pt idx="10">
                  <c:v>89993</c:v>
                </c:pt>
                <c:pt idx="11">
                  <c:v>73903</c:v>
                </c:pt>
                <c:pt idx="12">
                  <c:v>1393065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AD3-4FF1-A970-89B267F3EF00}"/>
            </c:ext>
          </c:extLst>
        </c:ser>
        <c:ser>
          <c:idx val="1"/>
          <c:order val="3"/>
          <c:tx>
            <c:strRef>
              <c:f>'Pernoctaciones evol mensu TF'!$M$51:$N$51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DAD3-4FF1-A970-89B267F3EF0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DAD3-4FF1-A970-89B267F3EF00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TF'!$M$53:$M$65</c:f>
              <c:numCache>
                <c:formatCode>#,##0</c:formatCode>
                <c:ptCount val="13"/>
                <c:pt idx="0">
                  <c:v>77024</c:v>
                </c:pt>
                <c:pt idx="12">
                  <c:v>77024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AD3-4FF1-A970-89B267F3EF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01-DAD3-4FF1-A970-89B267F3EF00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TF'!$C$53:$C$65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100476</c:v>
                      </c:pt>
                      <c:pt idx="1">
                        <c:v>90119</c:v>
                      </c:pt>
                      <c:pt idx="2">
                        <c:v>40050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54073</c:v>
                      </c:pt>
                      <c:pt idx="8">
                        <c:v>44522</c:v>
                      </c:pt>
                      <c:pt idx="9">
                        <c:v>26446</c:v>
                      </c:pt>
                      <c:pt idx="10">
                        <c:v>9600</c:v>
                      </c:pt>
                      <c:pt idx="11">
                        <c:v>6993</c:v>
                      </c:pt>
                      <c:pt idx="12">
                        <c:v>400640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2-DAD3-4FF1-A970-89B267F3EF00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TF'!$N$52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AD3-4FF1-A970-89B267F3EF0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AD3-4FF1-A970-89B267F3EF0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AD3-4FF1-A970-89B267F3EF0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AD3-4FF1-A970-89B267F3EF0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AD3-4FF1-A970-89B267F3EF0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AD3-4FF1-A970-89B267F3EF0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AD3-4FF1-A970-89B267F3EF0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AD3-4FF1-A970-89B267F3EF0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AD3-4FF1-A970-89B267F3EF0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AD3-4FF1-A970-89B267F3EF0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AD3-4FF1-A970-89B267F3EF0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AD3-4FF1-A970-89B267F3EF0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AD3-4FF1-A970-89B267F3EF00}"/>
              </c:ext>
            </c:extLst>
          </c:dPt>
          <c:cat>
            <c:strRef>
              <c:f>'Pernoctaciones evol mensu TF'!$B$53:$B$64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TF'!$N$53:$N$65</c:f>
              <c:numCache>
                <c:formatCode>0.0%</c:formatCode>
                <c:ptCount val="13"/>
                <c:pt idx="0">
                  <c:v>1.0349576965960505E-2</c:v>
                </c:pt>
                <c:pt idx="12">
                  <c:v>1.0349576965960505E-2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DAD3-4FF1-A970-89B267F3EF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E83-46BB-A630-62A21C9824EB}"/>
              </c:ext>
            </c:extLst>
          </c:dPt>
          <c:val>
            <c:numRef>
              <c:f>'Viajeros entr evol mensu TF'!$I$53:$I$65</c:f>
              <c:numCache>
                <c:formatCode>#,##0</c:formatCode>
                <c:ptCount val="13"/>
                <c:pt idx="0">
                  <c:v>15131</c:v>
                </c:pt>
                <c:pt idx="1">
                  <c:v>15141</c:v>
                </c:pt>
                <c:pt idx="2">
                  <c:v>19982</c:v>
                </c:pt>
                <c:pt idx="3">
                  <c:v>21271</c:v>
                </c:pt>
                <c:pt idx="4">
                  <c:v>22383</c:v>
                </c:pt>
                <c:pt idx="5">
                  <c:v>28739</c:v>
                </c:pt>
                <c:pt idx="6">
                  <c:v>27261</c:v>
                </c:pt>
                <c:pt idx="7">
                  <c:v>28059</c:v>
                </c:pt>
                <c:pt idx="8">
                  <c:v>23246</c:v>
                </c:pt>
                <c:pt idx="9">
                  <c:v>20489</c:v>
                </c:pt>
                <c:pt idx="10">
                  <c:v>13792</c:v>
                </c:pt>
                <c:pt idx="11">
                  <c:v>14326</c:v>
                </c:pt>
                <c:pt idx="12">
                  <c:v>249820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E83-46BB-A630-62A21C9824EB}"/>
            </c:ext>
          </c:extLst>
        </c:ser>
        <c:ser>
          <c:idx val="0"/>
          <c:order val="2"/>
          <c:tx>
            <c:strRef>
              <c:f>'Viajeros entr evol mensu TF'!$K$51:$L$51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E83-46BB-A630-62A21C9824EB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TF'!$K$53:$K$65</c:f>
              <c:numCache>
                <c:formatCode>#,##0</c:formatCode>
                <c:ptCount val="13"/>
                <c:pt idx="0">
                  <c:v>13891</c:v>
                </c:pt>
                <c:pt idx="1">
                  <c:v>15143</c:v>
                </c:pt>
                <c:pt idx="2">
                  <c:v>19127</c:v>
                </c:pt>
                <c:pt idx="3">
                  <c:v>21707</c:v>
                </c:pt>
                <c:pt idx="4">
                  <c:v>27547</c:v>
                </c:pt>
                <c:pt idx="5">
                  <c:v>29587</c:v>
                </c:pt>
                <c:pt idx="6">
                  <c:v>31281</c:v>
                </c:pt>
                <c:pt idx="7">
                  <c:v>34534</c:v>
                </c:pt>
                <c:pt idx="8">
                  <c:v>26626</c:v>
                </c:pt>
                <c:pt idx="9">
                  <c:v>22936</c:v>
                </c:pt>
                <c:pt idx="10">
                  <c:v>18518</c:v>
                </c:pt>
                <c:pt idx="11">
                  <c:v>15056</c:v>
                </c:pt>
                <c:pt idx="12">
                  <c:v>275953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E83-46BB-A630-62A21C9824EB}"/>
            </c:ext>
          </c:extLst>
        </c:ser>
        <c:ser>
          <c:idx val="1"/>
          <c:order val="3"/>
          <c:tx>
            <c:strRef>
              <c:f>'Viajeros entr evol mensu TF'!$M$51:$N$51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4E83-46BB-A630-62A21C9824E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4E83-46BB-A630-62A21C9824EB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TF'!$M$53:$M$65</c:f>
              <c:numCache>
                <c:formatCode>#,##0</c:formatCode>
                <c:ptCount val="13"/>
                <c:pt idx="0">
                  <c:v>14812</c:v>
                </c:pt>
                <c:pt idx="12">
                  <c:v>14812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E83-46BB-A630-62A21C9824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01-4E83-46BB-A630-62A21C9824EB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TF'!$C$53:$C$65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16449</c:v>
                      </c:pt>
                      <c:pt idx="1">
                        <c:v>15519</c:v>
                      </c:pt>
                      <c:pt idx="2">
                        <c:v>6340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10383</c:v>
                      </c:pt>
                      <c:pt idx="8">
                        <c:v>10136</c:v>
                      </c:pt>
                      <c:pt idx="9">
                        <c:v>6283</c:v>
                      </c:pt>
                      <c:pt idx="10">
                        <c:v>1583</c:v>
                      </c:pt>
                      <c:pt idx="11">
                        <c:v>1958</c:v>
                      </c:pt>
                      <c:pt idx="12">
                        <c:v>74813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2-4E83-46BB-A630-62A21C9824EB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TF'!$N$52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E83-46BB-A630-62A21C9824E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E83-46BB-A630-62A21C9824E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E83-46BB-A630-62A21C9824E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E83-46BB-A630-62A21C9824E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E83-46BB-A630-62A21C9824E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E83-46BB-A630-62A21C9824E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E83-46BB-A630-62A21C9824E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E83-46BB-A630-62A21C9824E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E83-46BB-A630-62A21C9824E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E83-46BB-A630-62A21C9824E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E83-46BB-A630-62A21C9824E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E83-46BB-A630-62A21C9824E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E83-46BB-A630-62A21C9824EB}"/>
              </c:ext>
            </c:extLst>
          </c:dPt>
          <c:cat>
            <c:strRef>
              <c:f>'Viajeros entr evol mensu TF'!$B$53:$B$64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TF'!$N$53:$N$65</c:f>
              <c:numCache>
                <c:formatCode>0.0%</c:formatCode>
                <c:ptCount val="13"/>
                <c:pt idx="0">
                  <c:v>6.6301922107839584E-2</c:v>
                </c:pt>
                <c:pt idx="12">
                  <c:v>6.6301922107839584E-2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4E83-46BB-A630-62A21C9824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0E9-4F23-B49B-E604AA46CDD5}"/>
              </c:ext>
            </c:extLst>
          </c:dPt>
          <c:val>
            <c:numRef>
              <c:f>'Pernoctaciones evol mensu TF'!$I$75:$I$87</c:f>
              <c:numCache>
                <c:formatCode>#,##0</c:formatCode>
                <c:ptCount val="13"/>
                <c:pt idx="0">
                  <c:v>12994</c:v>
                </c:pt>
                <c:pt idx="1">
                  <c:v>8549</c:v>
                </c:pt>
                <c:pt idx="2">
                  <c:v>13370</c:v>
                </c:pt>
                <c:pt idx="3">
                  <c:v>27095</c:v>
                </c:pt>
                <c:pt idx="4">
                  <c:v>25323</c:v>
                </c:pt>
                <c:pt idx="5">
                  <c:v>34827</c:v>
                </c:pt>
                <c:pt idx="6">
                  <c:v>39459</c:v>
                </c:pt>
                <c:pt idx="7">
                  <c:v>24830</c:v>
                </c:pt>
                <c:pt idx="8">
                  <c:v>30555</c:v>
                </c:pt>
                <c:pt idx="9">
                  <c:v>14887</c:v>
                </c:pt>
                <c:pt idx="10">
                  <c:v>10708</c:v>
                </c:pt>
                <c:pt idx="11">
                  <c:v>13117</c:v>
                </c:pt>
                <c:pt idx="12">
                  <c:v>255714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0E9-4F23-B49B-E604AA46CDD5}"/>
            </c:ext>
          </c:extLst>
        </c:ser>
        <c:ser>
          <c:idx val="0"/>
          <c:order val="2"/>
          <c:tx>
            <c:strRef>
              <c:f>'Pernoctaciones evol mensu TF'!$K$73:$L$73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0E9-4F23-B49B-E604AA46CDD5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TF'!$K$75:$K$87</c:f>
              <c:numCache>
                <c:formatCode>#,##0</c:formatCode>
                <c:ptCount val="13"/>
                <c:pt idx="0">
                  <c:v>7945</c:v>
                </c:pt>
                <c:pt idx="1">
                  <c:v>8223</c:v>
                </c:pt>
                <c:pt idx="2">
                  <c:v>14511</c:v>
                </c:pt>
                <c:pt idx="3">
                  <c:v>19093</c:v>
                </c:pt>
                <c:pt idx="4">
                  <c:v>33545</c:v>
                </c:pt>
                <c:pt idx="5">
                  <c:v>40959</c:v>
                </c:pt>
                <c:pt idx="6">
                  <c:v>44651</c:v>
                </c:pt>
                <c:pt idx="7">
                  <c:v>41307</c:v>
                </c:pt>
                <c:pt idx="8">
                  <c:v>22434</c:v>
                </c:pt>
                <c:pt idx="9">
                  <c:v>21702</c:v>
                </c:pt>
                <c:pt idx="10">
                  <c:v>17410</c:v>
                </c:pt>
                <c:pt idx="11">
                  <c:v>15554</c:v>
                </c:pt>
                <c:pt idx="12">
                  <c:v>287334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0E9-4F23-B49B-E604AA46CDD5}"/>
            </c:ext>
          </c:extLst>
        </c:ser>
        <c:ser>
          <c:idx val="1"/>
          <c:order val="3"/>
          <c:tx>
            <c:strRef>
              <c:f>'Pernoctaciones evol mensu TF'!$M$73:$N$73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60E9-4F23-B49B-E604AA46CDD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60E9-4F23-B49B-E604AA46CDD5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TF'!$M$75:$M$87</c:f>
              <c:numCache>
                <c:formatCode>#,##0</c:formatCode>
                <c:ptCount val="13"/>
                <c:pt idx="0">
                  <c:v>10553</c:v>
                </c:pt>
                <c:pt idx="12">
                  <c:v>10553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0E9-4F23-B49B-E604AA46CD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TF'!$C$73:$D$73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01-60E9-4F23-B49B-E604AA46CDD5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TF'!$C$75:$C$87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8959</c:v>
                      </c:pt>
                      <c:pt idx="1">
                        <c:v>7898</c:v>
                      </c:pt>
                      <c:pt idx="2">
                        <c:v>5143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12032</c:v>
                      </c:pt>
                      <c:pt idx="8">
                        <c:v>7743</c:v>
                      </c:pt>
                      <c:pt idx="9">
                        <c:v>9687</c:v>
                      </c:pt>
                      <c:pt idx="10">
                        <c:v>4826</c:v>
                      </c:pt>
                      <c:pt idx="11">
                        <c:v>7287</c:v>
                      </c:pt>
                      <c:pt idx="12">
                        <c:v>71537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2-60E9-4F23-B49B-E604AA46CDD5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TF'!$N$74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0E9-4F23-B49B-E604AA46CDD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0E9-4F23-B49B-E604AA46CDD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0E9-4F23-B49B-E604AA46CDD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0E9-4F23-B49B-E604AA46CDD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0E9-4F23-B49B-E604AA46CDD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0E9-4F23-B49B-E604AA46CDD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0E9-4F23-B49B-E604AA46CDD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0E9-4F23-B49B-E604AA46CDD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0E9-4F23-B49B-E604AA46CDD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0E9-4F23-B49B-E604AA46CDD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0E9-4F23-B49B-E604AA46CDD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0E9-4F23-B49B-E604AA46CDD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0E9-4F23-B49B-E604AA46CDD5}"/>
              </c:ext>
            </c:extLst>
          </c:dPt>
          <c:cat>
            <c:strRef>
              <c:f>'Pernoctaciones evol mensu TF'!$B$75:$B$86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TF'!$N$75:$N$87</c:f>
              <c:numCache>
                <c:formatCode>0.0%</c:formatCode>
                <c:ptCount val="13"/>
                <c:pt idx="0">
                  <c:v>0.32825676526117054</c:v>
                </c:pt>
                <c:pt idx="12">
                  <c:v>0.32825676526117054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60E9-4F23-B49B-E604AA46CD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TF'!$I$95:$J$95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3A8-4595-A430-053FFB211B65}"/>
              </c:ext>
            </c:extLst>
          </c:dPt>
          <c:val>
            <c:numRef>
              <c:f>'Pernoctaciones evol mensu TF'!$I$97:$I$109</c:f>
              <c:numCache>
                <c:formatCode>#,##0</c:formatCode>
                <c:ptCount val="13"/>
                <c:pt idx="0">
                  <c:v>352271</c:v>
                </c:pt>
                <c:pt idx="1">
                  <c:v>317883</c:v>
                </c:pt>
                <c:pt idx="2">
                  <c:v>315119</c:v>
                </c:pt>
                <c:pt idx="3">
                  <c:v>238900</c:v>
                </c:pt>
                <c:pt idx="4">
                  <c:v>192540</c:v>
                </c:pt>
                <c:pt idx="5">
                  <c:v>207904</c:v>
                </c:pt>
                <c:pt idx="6">
                  <c:v>253355</c:v>
                </c:pt>
                <c:pt idx="7">
                  <c:v>278335</c:v>
                </c:pt>
                <c:pt idx="8">
                  <c:v>283093</c:v>
                </c:pt>
                <c:pt idx="9">
                  <c:v>310899</c:v>
                </c:pt>
                <c:pt idx="10">
                  <c:v>376036</c:v>
                </c:pt>
                <c:pt idx="11">
                  <c:v>355884</c:v>
                </c:pt>
                <c:pt idx="12">
                  <c:v>3482219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3A8-4595-A430-053FFB211B65}"/>
            </c:ext>
          </c:extLst>
        </c:ser>
        <c:ser>
          <c:idx val="0"/>
          <c:order val="2"/>
          <c:tx>
            <c:strRef>
              <c:f>'Pernoctaciones evol mensu TF'!$K$95:$L$95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3A8-4595-A430-053FFB211B65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TF'!$K$97:$K$109</c:f>
              <c:numCache>
                <c:formatCode>#,##0</c:formatCode>
                <c:ptCount val="13"/>
                <c:pt idx="0">
                  <c:v>398137</c:v>
                </c:pt>
                <c:pt idx="1">
                  <c:v>394448</c:v>
                </c:pt>
                <c:pt idx="2">
                  <c:v>386274</c:v>
                </c:pt>
                <c:pt idx="3">
                  <c:v>283651</c:v>
                </c:pt>
                <c:pt idx="4">
                  <c:v>244591</c:v>
                </c:pt>
                <c:pt idx="5">
                  <c:v>274145</c:v>
                </c:pt>
                <c:pt idx="6">
                  <c:v>324319</c:v>
                </c:pt>
                <c:pt idx="7">
                  <c:v>322063</c:v>
                </c:pt>
                <c:pt idx="8">
                  <c:v>329443</c:v>
                </c:pt>
                <c:pt idx="9">
                  <c:v>359401</c:v>
                </c:pt>
                <c:pt idx="10">
                  <c:v>375511</c:v>
                </c:pt>
                <c:pt idx="11">
                  <c:v>379417</c:v>
                </c:pt>
                <c:pt idx="12">
                  <c:v>4071400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3A8-4595-A430-053FFB211B65}"/>
            </c:ext>
          </c:extLst>
        </c:ser>
        <c:ser>
          <c:idx val="1"/>
          <c:order val="3"/>
          <c:tx>
            <c:strRef>
              <c:f>'Pernoctaciones evol mensu TF'!$M$95:$N$95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B3A8-4595-A430-053FFB211B6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B3A8-4595-A430-053FFB211B65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TF'!$M$97:$M$109</c:f>
              <c:numCache>
                <c:formatCode>#,##0</c:formatCode>
                <c:ptCount val="13"/>
                <c:pt idx="0">
                  <c:v>407369</c:v>
                </c:pt>
                <c:pt idx="12">
                  <c:v>407369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B3A8-4595-A430-053FFB211B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TF'!$C$95:$D$95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01-B3A8-4595-A430-053FFB211B65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TF'!$C$97:$C$109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384062</c:v>
                      </c:pt>
                      <c:pt idx="1">
                        <c:v>332827</c:v>
                      </c:pt>
                      <c:pt idx="2">
                        <c:v>172613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49703</c:v>
                      </c:pt>
                      <c:pt idx="8">
                        <c:v>28441</c:v>
                      </c:pt>
                      <c:pt idx="9">
                        <c:v>19967</c:v>
                      </c:pt>
                      <c:pt idx="10">
                        <c:v>22402</c:v>
                      </c:pt>
                      <c:pt idx="11">
                        <c:v>30566</c:v>
                      </c:pt>
                      <c:pt idx="12">
                        <c:v>1074464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2-B3A8-4595-A430-053FFB211B65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TF'!$N$96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3A8-4595-A430-053FFB211B6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3A8-4595-A430-053FFB211B6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3A8-4595-A430-053FFB211B6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3A8-4595-A430-053FFB211B6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3A8-4595-A430-053FFB211B6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3A8-4595-A430-053FFB211B6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3A8-4595-A430-053FFB211B6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3A8-4595-A430-053FFB211B6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3A8-4595-A430-053FFB211B6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3A8-4595-A430-053FFB211B6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3A8-4595-A430-053FFB211B6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3A8-4595-A430-053FFB211B6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3A8-4595-A430-053FFB211B65}"/>
              </c:ext>
            </c:extLst>
          </c:dPt>
          <c:cat>
            <c:strRef>
              <c:f>'Pernoctaciones evol mensu TF'!$B$97:$B$108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TF'!$N$97:$N$109</c:f>
              <c:numCache>
                <c:formatCode>0.0%</c:formatCode>
                <c:ptCount val="13"/>
                <c:pt idx="0">
                  <c:v>2.3187998101156237E-2</c:v>
                </c:pt>
                <c:pt idx="12">
                  <c:v>2.3187998101156237E-2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B3A8-4595-A430-053FFB211B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8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TF'!$I$117:$J$117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926-4D05-B399-69023A615E63}"/>
              </c:ext>
            </c:extLst>
          </c:dPt>
          <c:val>
            <c:numRef>
              <c:f>'Pernoctaciones evol mensu TF'!$I$119:$I$131</c:f>
              <c:numCache>
                <c:formatCode>#,##0</c:formatCode>
                <c:ptCount val="13"/>
                <c:pt idx="0">
                  <c:v>54058</c:v>
                </c:pt>
                <c:pt idx="1">
                  <c:v>48665</c:v>
                </c:pt>
                <c:pt idx="2">
                  <c:v>51458</c:v>
                </c:pt>
                <c:pt idx="3">
                  <c:v>41501</c:v>
                </c:pt>
                <c:pt idx="4">
                  <c:v>37494</c:v>
                </c:pt>
                <c:pt idx="5">
                  <c:v>44671</c:v>
                </c:pt>
                <c:pt idx="6">
                  <c:v>61706</c:v>
                </c:pt>
                <c:pt idx="7">
                  <c:v>66954</c:v>
                </c:pt>
                <c:pt idx="8">
                  <c:v>70200</c:v>
                </c:pt>
                <c:pt idx="9">
                  <c:v>66201</c:v>
                </c:pt>
                <c:pt idx="10">
                  <c:v>60886</c:v>
                </c:pt>
                <c:pt idx="11">
                  <c:v>62747</c:v>
                </c:pt>
                <c:pt idx="12">
                  <c:v>666541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926-4D05-B399-69023A615E63}"/>
            </c:ext>
          </c:extLst>
        </c:ser>
        <c:ser>
          <c:idx val="0"/>
          <c:order val="2"/>
          <c:tx>
            <c:strRef>
              <c:f>'Pernoctaciones evol mensu TF'!$K$117:$L$117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926-4D05-B399-69023A615E63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TF'!$K$119:$K$131</c:f>
              <c:numCache>
                <c:formatCode>#,##0</c:formatCode>
                <c:ptCount val="13"/>
                <c:pt idx="0">
                  <c:v>70667</c:v>
                </c:pt>
                <c:pt idx="1">
                  <c:v>65783</c:v>
                </c:pt>
                <c:pt idx="2">
                  <c:v>67607</c:v>
                </c:pt>
                <c:pt idx="3">
                  <c:v>47099</c:v>
                </c:pt>
                <c:pt idx="4">
                  <c:v>47307</c:v>
                </c:pt>
                <c:pt idx="5">
                  <c:v>59447</c:v>
                </c:pt>
                <c:pt idx="6">
                  <c:v>73992</c:v>
                </c:pt>
                <c:pt idx="7">
                  <c:v>75222</c:v>
                </c:pt>
                <c:pt idx="8">
                  <c:v>77720</c:v>
                </c:pt>
                <c:pt idx="9">
                  <c:v>74256</c:v>
                </c:pt>
                <c:pt idx="10">
                  <c:v>60088</c:v>
                </c:pt>
                <c:pt idx="11">
                  <c:v>67375</c:v>
                </c:pt>
                <c:pt idx="12">
                  <c:v>786563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926-4D05-B399-69023A615E63}"/>
            </c:ext>
          </c:extLst>
        </c:ser>
        <c:ser>
          <c:idx val="1"/>
          <c:order val="3"/>
          <c:tx>
            <c:strRef>
              <c:f>'Pernoctaciones evol mensu TF'!$M$117:$N$117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926-4D05-B399-69023A615E6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1926-4D05-B399-69023A615E63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TF'!$M$119:$M$131</c:f>
              <c:numCache>
                <c:formatCode>#,##0</c:formatCode>
                <c:ptCount val="13"/>
                <c:pt idx="0">
                  <c:v>69055</c:v>
                </c:pt>
                <c:pt idx="12">
                  <c:v>69055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926-4D05-B399-69023A615E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TF'!$C$117:$D$117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01-1926-4D05-B399-69023A615E63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TF'!$C$119:$C$131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56783</c:v>
                      </c:pt>
                      <c:pt idx="1">
                        <c:v>47712</c:v>
                      </c:pt>
                      <c:pt idx="2">
                        <c:v>27667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4094</c:v>
                      </c:pt>
                      <c:pt idx="8">
                        <c:v>4342</c:v>
                      </c:pt>
                      <c:pt idx="9">
                        <c:v>3047</c:v>
                      </c:pt>
                      <c:pt idx="10">
                        <c:v>4492</c:v>
                      </c:pt>
                      <c:pt idx="11">
                        <c:v>6245</c:v>
                      </c:pt>
                      <c:pt idx="12">
                        <c:v>163077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2-1926-4D05-B399-69023A615E63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TF'!$N$118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926-4D05-B399-69023A615E6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926-4D05-B399-69023A615E6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926-4D05-B399-69023A615E6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926-4D05-B399-69023A615E6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926-4D05-B399-69023A615E6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926-4D05-B399-69023A615E6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926-4D05-B399-69023A615E6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926-4D05-B399-69023A615E6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926-4D05-B399-69023A615E6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926-4D05-B399-69023A615E6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926-4D05-B399-69023A615E6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926-4D05-B399-69023A615E6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926-4D05-B399-69023A615E63}"/>
              </c:ext>
            </c:extLst>
          </c:dPt>
          <c:cat>
            <c:strRef>
              <c:f>'Pernoctaciones evol mensu TF'!$B$119:$B$130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TF'!$N$119:$N$131</c:f>
              <c:numCache>
                <c:formatCode>0.0%</c:formatCode>
                <c:ptCount val="13"/>
                <c:pt idx="0">
                  <c:v>-2.2811213154654952E-2</c:v>
                </c:pt>
                <c:pt idx="12">
                  <c:v>-2.2811213154654952E-2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1926-4D05-B399-69023A615E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TF'!$I$139:$J$139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1CE-4BC4-A321-9A36637EC3DC}"/>
              </c:ext>
            </c:extLst>
          </c:dPt>
          <c:val>
            <c:numRef>
              <c:f>'Pernoctaciones evol mensu TF'!$I$141:$I$153</c:f>
              <c:numCache>
                <c:formatCode>#,##0</c:formatCode>
                <c:ptCount val="13"/>
                <c:pt idx="0">
                  <c:v>147240</c:v>
                </c:pt>
                <c:pt idx="1">
                  <c:v>124021</c:v>
                </c:pt>
                <c:pt idx="2">
                  <c:v>121326</c:v>
                </c:pt>
                <c:pt idx="3">
                  <c:v>86889</c:v>
                </c:pt>
                <c:pt idx="4">
                  <c:v>71295</c:v>
                </c:pt>
                <c:pt idx="5">
                  <c:v>68057</c:v>
                </c:pt>
                <c:pt idx="6">
                  <c:v>61051</c:v>
                </c:pt>
                <c:pt idx="7">
                  <c:v>65688</c:v>
                </c:pt>
                <c:pt idx="8">
                  <c:v>87257</c:v>
                </c:pt>
                <c:pt idx="9">
                  <c:v>95060</c:v>
                </c:pt>
                <c:pt idx="10">
                  <c:v>146312</c:v>
                </c:pt>
                <c:pt idx="11">
                  <c:v>136634</c:v>
                </c:pt>
                <c:pt idx="12">
                  <c:v>1210830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1CE-4BC4-A321-9A36637EC3DC}"/>
            </c:ext>
          </c:extLst>
        </c:ser>
        <c:ser>
          <c:idx val="0"/>
          <c:order val="2"/>
          <c:tx>
            <c:strRef>
              <c:f>'Pernoctaciones evol mensu TF'!$K$139:$L$139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1CE-4BC4-A321-9A36637EC3DC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TF'!$K$141:$K$153</c:f>
              <c:numCache>
                <c:formatCode>#,##0</c:formatCode>
                <c:ptCount val="13"/>
                <c:pt idx="0">
                  <c:v>155725</c:v>
                </c:pt>
                <c:pt idx="1">
                  <c:v>152616</c:v>
                </c:pt>
                <c:pt idx="2">
                  <c:v>150045</c:v>
                </c:pt>
                <c:pt idx="3">
                  <c:v>106843</c:v>
                </c:pt>
                <c:pt idx="4">
                  <c:v>87638</c:v>
                </c:pt>
                <c:pt idx="5">
                  <c:v>81325</c:v>
                </c:pt>
                <c:pt idx="6">
                  <c:v>76623</c:v>
                </c:pt>
                <c:pt idx="7">
                  <c:v>68793</c:v>
                </c:pt>
                <c:pt idx="8">
                  <c:v>95768</c:v>
                </c:pt>
                <c:pt idx="9">
                  <c:v>109949</c:v>
                </c:pt>
                <c:pt idx="10">
                  <c:v>147372</c:v>
                </c:pt>
                <c:pt idx="11">
                  <c:v>141819</c:v>
                </c:pt>
                <c:pt idx="12">
                  <c:v>1374516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1CE-4BC4-A321-9A36637EC3DC}"/>
            </c:ext>
          </c:extLst>
        </c:ser>
        <c:ser>
          <c:idx val="1"/>
          <c:order val="3"/>
          <c:tx>
            <c:strRef>
              <c:f>'Pernoctaciones evol mensu TF'!$M$139:$N$139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21CE-4BC4-A321-9A36637EC3D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21CE-4BC4-A321-9A36637EC3DC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TF'!$M$141:$M$153</c:f>
              <c:numCache>
                <c:formatCode>#,##0</c:formatCode>
                <c:ptCount val="13"/>
                <c:pt idx="0">
                  <c:v>156499</c:v>
                </c:pt>
                <c:pt idx="12">
                  <c:v>156499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1CE-4BC4-A321-9A36637EC3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TF'!$C$139:$D$139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01-21CE-4BC4-A321-9A36637EC3DC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TF'!$C$141:$C$153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164737</c:v>
                      </c:pt>
                      <c:pt idx="1">
                        <c:v>143791</c:v>
                      </c:pt>
                      <c:pt idx="2">
                        <c:v>74925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18885</c:v>
                      </c:pt>
                      <c:pt idx="8">
                        <c:v>4527</c:v>
                      </c:pt>
                      <c:pt idx="9">
                        <c:v>2230</c:v>
                      </c:pt>
                      <c:pt idx="10">
                        <c:v>11037</c:v>
                      </c:pt>
                      <c:pt idx="11">
                        <c:v>12813</c:v>
                      </c:pt>
                      <c:pt idx="12">
                        <c:v>445011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2-21CE-4BC4-A321-9A36637EC3DC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TF'!$N$140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1CE-4BC4-A321-9A36637EC3D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1CE-4BC4-A321-9A36637EC3D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1CE-4BC4-A321-9A36637EC3D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1CE-4BC4-A321-9A36637EC3D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1CE-4BC4-A321-9A36637EC3D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1CE-4BC4-A321-9A36637EC3D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1CE-4BC4-A321-9A36637EC3D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1CE-4BC4-A321-9A36637EC3D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1CE-4BC4-A321-9A36637EC3D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1CE-4BC4-A321-9A36637EC3D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1CE-4BC4-A321-9A36637EC3D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1CE-4BC4-A321-9A36637EC3D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1CE-4BC4-A321-9A36637EC3DC}"/>
              </c:ext>
            </c:extLst>
          </c:dPt>
          <c:cat>
            <c:strRef>
              <c:f>'Pernoctaciones evol mensu TF'!$B$141:$B$152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TF'!$N$141:$N$153</c:f>
              <c:numCache>
                <c:formatCode>0.0%</c:formatCode>
                <c:ptCount val="13"/>
                <c:pt idx="0">
                  <c:v>4.9703002087011505E-3</c:v>
                </c:pt>
                <c:pt idx="12">
                  <c:v>4.9703002087011505E-3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21CE-4BC4-A321-9A36637EC3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TF'!$I$161:$J$161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69B-4D46-AF2C-BDAFA8C68F0E}"/>
              </c:ext>
            </c:extLst>
          </c:dPt>
          <c:val>
            <c:numRef>
              <c:f>'Pernoctaciones evol mensu TF'!$I$163:$I$175</c:f>
              <c:numCache>
                <c:formatCode>#,##0</c:formatCode>
                <c:ptCount val="13"/>
                <c:pt idx="0">
                  <c:v>18854</c:v>
                </c:pt>
                <c:pt idx="1">
                  <c:v>20151</c:v>
                </c:pt>
                <c:pt idx="2">
                  <c:v>23354</c:v>
                </c:pt>
                <c:pt idx="3">
                  <c:v>23096</c:v>
                </c:pt>
                <c:pt idx="4">
                  <c:v>16668</c:v>
                </c:pt>
                <c:pt idx="5">
                  <c:v>16599</c:v>
                </c:pt>
                <c:pt idx="6">
                  <c:v>21776</c:v>
                </c:pt>
                <c:pt idx="7">
                  <c:v>33567</c:v>
                </c:pt>
                <c:pt idx="8">
                  <c:v>25350</c:v>
                </c:pt>
                <c:pt idx="9">
                  <c:v>29606</c:v>
                </c:pt>
                <c:pt idx="10">
                  <c:v>22746</c:v>
                </c:pt>
                <c:pt idx="11">
                  <c:v>23544</c:v>
                </c:pt>
                <c:pt idx="12">
                  <c:v>275311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69B-4D46-AF2C-BDAFA8C68F0E}"/>
            </c:ext>
          </c:extLst>
        </c:ser>
        <c:ser>
          <c:idx val="0"/>
          <c:order val="2"/>
          <c:tx>
            <c:strRef>
              <c:f>'Pernoctaciones evol mensu TF'!$K$161:$L$161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69B-4D46-AF2C-BDAFA8C68F0E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TF'!$K$163:$K$175</c:f>
              <c:numCache>
                <c:formatCode>#,##0</c:formatCode>
                <c:ptCount val="13"/>
                <c:pt idx="0">
                  <c:v>25326</c:v>
                </c:pt>
                <c:pt idx="1">
                  <c:v>30435</c:v>
                </c:pt>
                <c:pt idx="2">
                  <c:v>33158</c:v>
                </c:pt>
                <c:pt idx="3">
                  <c:v>32463</c:v>
                </c:pt>
                <c:pt idx="4">
                  <c:v>30513</c:v>
                </c:pt>
                <c:pt idx="5">
                  <c:v>31108</c:v>
                </c:pt>
                <c:pt idx="6">
                  <c:v>38922</c:v>
                </c:pt>
                <c:pt idx="7">
                  <c:v>43043</c:v>
                </c:pt>
                <c:pt idx="8">
                  <c:v>32169</c:v>
                </c:pt>
                <c:pt idx="9">
                  <c:v>36840</c:v>
                </c:pt>
                <c:pt idx="10">
                  <c:v>24750</c:v>
                </c:pt>
                <c:pt idx="11">
                  <c:v>25480</c:v>
                </c:pt>
                <c:pt idx="12">
                  <c:v>384207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69B-4D46-AF2C-BDAFA8C68F0E}"/>
            </c:ext>
          </c:extLst>
        </c:ser>
        <c:ser>
          <c:idx val="1"/>
          <c:order val="3"/>
          <c:tx>
            <c:strRef>
              <c:f>'Pernoctaciones evol mensu TF'!$M$161:$N$161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869B-4D46-AF2C-BDAFA8C68F0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869B-4D46-AF2C-BDAFA8C68F0E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TF'!$M$163:$M$175</c:f>
              <c:numCache>
                <c:formatCode>#,##0</c:formatCode>
                <c:ptCount val="13"/>
                <c:pt idx="0">
                  <c:v>28658</c:v>
                </c:pt>
                <c:pt idx="12">
                  <c:v>28658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869B-4D46-AF2C-BDAFA8C68F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TF'!$C$161:$D$161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01-869B-4D46-AF2C-BDAFA8C68F0E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TF'!$C$163:$C$175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12838</c:v>
                      </c:pt>
                      <c:pt idx="1">
                        <c:v>16806</c:v>
                      </c:pt>
                      <c:pt idx="2">
                        <c:v>6098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4147</c:v>
                      </c:pt>
                      <c:pt idx="8">
                        <c:v>1472</c:v>
                      </c:pt>
                      <c:pt idx="9">
                        <c:v>4177</c:v>
                      </c:pt>
                      <c:pt idx="10">
                        <c:v>612</c:v>
                      </c:pt>
                      <c:pt idx="11">
                        <c:v>2033</c:v>
                      </c:pt>
                      <c:pt idx="12">
                        <c:v>48969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2-869B-4D46-AF2C-BDAFA8C68F0E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TF'!$N$162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69B-4D46-AF2C-BDAFA8C68F0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69B-4D46-AF2C-BDAFA8C68F0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69B-4D46-AF2C-BDAFA8C68F0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69B-4D46-AF2C-BDAFA8C68F0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69B-4D46-AF2C-BDAFA8C68F0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69B-4D46-AF2C-BDAFA8C68F0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69B-4D46-AF2C-BDAFA8C68F0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69B-4D46-AF2C-BDAFA8C68F0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69B-4D46-AF2C-BDAFA8C68F0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69B-4D46-AF2C-BDAFA8C68F0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69B-4D46-AF2C-BDAFA8C68F0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69B-4D46-AF2C-BDAFA8C68F0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69B-4D46-AF2C-BDAFA8C68F0E}"/>
              </c:ext>
            </c:extLst>
          </c:dPt>
          <c:cat>
            <c:strRef>
              <c:f>'Pernoctaciones evol mensu TF'!$B$163:$B$174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TF'!$N$163:$N$175</c:f>
              <c:numCache>
                <c:formatCode>0.0%</c:formatCode>
                <c:ptCount val="13"/>
                <c:pt idx="0">
                  <c:v>0.13156440022111671</c:v>
                </c:pt>
                <c:pt idx="12">
                  <c:v>0.13156440022111671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869B-4D46-AF2C-BDAFA8C68F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6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TF'!$I$183:$J$183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4AE-4573-9F50-760A48CB09B4}"/>
              </c:ext>
            </c:extLst>
          </c:dPt>
          <c:val>
            <c:numRef>
              <c:f>'Pernoctaciones evol mensu TF'!$I$185:$I$197</c:f>
              <c:numCache>
                <c:formatCode>#,##0</c:formatCode>
                <c:ptCount val="13"/>
                <c:pt idx="0">
                  <c:v>3587</c:v>
                </c:pt>
                <c:pt idx="1">
                  <c:v>2714</c:v>
                </c:pt>
                <c:pt idx="2">
                  <c:v>4070</c:v>
                </c:pt>
                <c:pt idx="3">
                  <c:v>2042</c:v>
                </c:pt>
                <c:pt idx="4">
                  <c:v>2232</c:v>
                </c:pt>
                <c:pt idx="5">
                  <c:v>2900</c:v>
                </c:pt>
                <c:pt idx="6">
                  <c:v>5343</c:v>
                </c:pt>
                <c:pt idx="7">
                  <c:v>6391</c:v>
                </c:pt>
                <c:pt idx="8">
                  <c:v>4673</c:v>
                </c:pt>
                <c:pt idx="9">
                  <c:v>4047</c:v>
                </c:pt>
                <c:pt idx="10">
                  <c:v>3953</c:v>
                </c:pt>
                <c:pt idx="11">
                  <c:v>3615</c:v>
                </c:pt>
                <c:pt idx="12">
                  <c:v>45567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4AE-4573-9F50-760A48CB09B4}"/>
            </c:ext>
          </c:extLst>
        </c:ser>
        <c:ser>
          <c:idx val="0"/>
          <c:order val="2"/>
          <c:tx>
            <c:strRef>
              <c:f>'Pernoctaciones evol mensu TF'!$K$183:$L$183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4AE-4573-9F50-760A48CB09B4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TF'!$K$185:$K$197</c:f>
              <c:numCache>
                <c:formatCode>#,##0</c:formatCode>
                <c:ptCount val="13"/>
                <c:pt idx="0">
                  <c:v>3593</c:v>
                </c:pt>
                <c:pt idx="1">
                  <c:v>4033</c:v>
                </c:pt>
                <c:pt idx="2">
                  <c:v>3780</c:v>
                </c:pt>
                <c:pt idx="3">
                  <c:v>3683</c:v>
                </c:pt>
                <c:pt idx="4">
                  <c:v>3663</c:v>
                </c:pt>
                <c:pt idx="5">
                  <c:v>4781</c:v>
                </c:pt>
                <c:pt idx="6">
                  <c:v>8924</c:v>
                </c:pt>
                <c:pt idx="7">
                  <c:v>5956</c:v>
                </c:pt>
                <c:pt idx="8">
                  <c:v>5487</c:v>
                </c:pt>
                <c:pt idx="9">
                  <c:v>5700</c:v>
                </c:pt>
                <c:pt idx="10">
                  <c:v>4388</c:v>
                </c:pt>
                <c:pt idx="11">
                  <c:v>4832</c:v>
                </c:pt>
                <c:pt idx="12">
                  <c:v>58820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4AE-4573-9F50-760A48CB09B4}"/>
            </c:ext>
          </c:extLst>
        </c:ser>
        <c:ser>
          <c:idx val="1"/>
          <c:order val="3"/>
          <c:tx>
            <c:strRef>
              <c:f>'Pernoctaciones evol mensu TF'!$M$183:$N$183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94AE-4573-9F50-760A48CB09B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94AE-4573-9F50-760A48CB09B4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TF'!$M$185:$M$197</c:f>
              <c:numCache>
                <c:formatCode>#,##0</c:formatCode>
                <c:ptCount val="13"/>
                <c:pt idx="0">
                  <c:v>5043</c:v>
                </c:pt>
                <c:pt idx="12">
                  <c:v>5043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4AE-4573-9F50-760A48CB09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TF'!$C$183:$D$183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01-94AE-4573-9F50-760A48CB09B4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TF'!$C$185:$C$197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2894</c:v>
                      </c:pt>
                      <c:pt idx="1">
                        <c:v>2669</c:v>
                      </c:pt>
                      <c:pt idx="2">
                        <c:v>2054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1276</c:v>
                      </c:pt>
                      <c:pt idx="8">
                        <c:v>3461</c:v>
                      </c:pt>
                      <c:pt idx="9">
                        <c:v>1379</c:v>
                      </c:pt>
                      <c:pt idx="10">
                        <c:v>671</c:v>
                      </c:pt>
                      <c:pt idx="11">
                        <c:v>337</c:v>
                      </c:pt>
                      <c:pt idx="12">
                        <c:v>14962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2-94AE-4573-9F50-760A48CB09B4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TF'!$N$184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4AE-4573-9F50-760A48CB09B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4AE-4573-9F50-760A48CB09B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4AE-4573-9F50-760A48CB09B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4AE-4573-9F50-760A48CB09B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4AE-4573-9F50-760A48CB09B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4AE-4573-9F50-760A48CB09B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4AE-4573-9F50-760A48CB09B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4AE-4573-9F50-760A48CB09B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4AE-4573-9F50-760A48CB09B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4AE-4573-9F50-760A48CB09B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4AE-4573-9F50-760A48CB09B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4AE-4573-9F50-760A48CB09B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4AE-4573-9F50-760A48CB09B4}"/>
              </c:ext>
            </c:extLst>
          </c:dPt>
          <c:cat>
            <c:strRef>
              <c:f>'Pernoctaciones evol mensu TF'!$B$185:$B$196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TF'!$N$185:$N$197</c:f>
              <c:numCache>
                <c:formatCode>0.0%</c:formatCode>
                <c:ptCount val="13"/>
                <c:pt idx="0">
                  <c:v>0.40356248260506544</c:v>
                </c:pt>
                <c:pt idx="12">
                  <c:v>0.40356248260506544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94AE-4573-9F50-760A48CB09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TF'!$I$205:$J$205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89F-44E4-9CFB-1FFC6CEB2A20}"/>
              </c:ext>
            </c:extLst>
          </c:dPt>
          <c:val>
            <c:numRef>
              <c:f>'Pernoctaciones evol mensu TF'!$I$207:$I$219</c:f>
              <c:numCache>
                <c:formatCode>#,##0</c:formatCode>
                <c:ptCount val="13"/>
                <c:pt idx="0">
                  <c:v>6581</c:v>
                </c:pt>
                <c:pt idx="1">
                  <c:v>5446</c:v>
                </c:pt>
                <c:pt idx="2">
                  <c:v>5191</c:v>
                </c:pt>
                <c:pt idx="3">
                  <c:v>4693</c:v>
                </c:pt>
                <c:pt idx="4">
                  <c:v>4570</c:v>
                </c:pt>
                <c:pt idx="5">
                  <c:v>6037</c:v>
                </c:pt>
                <c:pt idx="6">
                  <c:v>9426</c:v>
                </c:pt>
                <c:pt idx="7">
                  <c:v>13529</c:v>
                </c:pt>
                <c:pt idx="8">
                  <c:v>9989</c:v>
                </c:pt>
                <c:pt idx="9">
                  <c:v>9266</c:v>
                </c:pt>
                <c:pt idx="10">
                  <c:v>8087</c:v>
                </c:pt>
                <c:pt idx="11">
                  <c:v>7535</c:v>
                </c:pt>
                <c:pt idx="12">
                  <c:v>90350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89F-44E4-9CFB-1FFC6CEB2A20}"/>
            </c:ext>
          </c:extLst>
        </c:ser>
        <c:ser>
          <c:idx val="0"/>
          <c:order val="2"/>
          <c:tx>
            <c:strRef>
              <c:f>'Pernoctaciones evol mensu TF'!$K$205:$L$205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89F-44E4-9CFB-1FFC6CEB2A20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TF'!$K$207:$K$219</c:f>
              <c:numCache>
                <c:formatCode>#,##0</c:formatCode>
                <c:ptCount val="13"/>
                <c:pt idx="0">
                  <c:v>8748</c:v>
                </c:pt>
                <c:pt idx="1">
                  <c:v>7811</c:v>
                </c:pt>
                <c:pt idx="2">
                  <c:v>7389</c:v>
                </c:pt>
                <c:pt idx="3">
                  <c:v>7994</c:v>
                </c:pt>
                <c:pt idx="4">
                  <c:v>7162</c:v>
                </c:pt>
                <c:pt idx="5">
                  <c:v>10443</c:v>
                </c:pt>
                <c:pt idx="6">
                  <c:v>17870</c:v>
                </c:pt>
                <c:pt idx="7">
                  <c:v>17817</c:v>
                </c:pt>
                <c:pt idx="8">
                  <c:v>13011</c:v>
                </c:pt>
                <c:pt idx="9">
                  <c:v>14761</c:v>
                </c:pt>
                <c:pt idx="10">
                  <c:v>8957</c:v>
                </c:pt>
                <c:pt idx="11">
                  <c:v>12303</c:v>
                </c:pt>
                <c:pt idx="12">
                  <c:v>134266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89F-44E4-9CFB-1FFC6CEB2A20}"/>
            </c:ext>
          </c:extLst>
        </c:ser>
        <c:ser>
          <c:idx val="1"/>
          <c:order val="3"/>
          <c:tx>
            <c:strRef>
              <c:f>'Pernoctaciones evol mensu TF'!$M$205:$N$205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C89F-44E4-9CFB-1FFC6CEB2A2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C89F-44E4-9CFB-1FFC6CEB2A20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TF'!$M$207:$M$219</c:f>
              <c:numCache>
                <c:formatCode>#,##0</c:formatCode>
                <c:ptCount val="13"/>
                <c:pt idx="0">
                  <c:v>10873</c:v>
                </c:pt>
                <c:pt idx="12">
                  <c:v>10873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89F-44E4-9CFB-1FFC6CEB2A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TF'!$C$205:$D$205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01-C89F-44E4-9CFB-1FFC6CEB2A20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TF'!$C$207:$C$219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4444</c:v>
                      </c:pt>
                      <c:pt idx="1">
                        <c:v>3952</c:v>
                      </c:pt>
                      <c:pt idx="2">
                        <c:v>2527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1443</c:v>
                      </c:pt>
                      <c:pt idx="8">
                        <c:v>396</c:v>
                      </c:pt>
                      <c:pt idx="9">
                        <c:v>218</c:v>
                      </c:pt>
                      <c:pt idx="10">
                        <c:v>367</c:v>
                      </c:pt>
                      <c:pt idx="11">
                        <c:v>553</c:v>
                      </c:pt>
                      <c:pt idx="12">
                        <c:v>15102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2-C89F-44E4-9CFB-1FFC6CEB2A20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TF'!$N$206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89F-44E4-9CFB-1FFC6CEB2A2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89F-44E4-9CFB-1FFC6CEB2A2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89F-44E4-9CFB-1FFC6CEB2A2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89F-44E4-9CFB-1FFC6CEB2A2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89F-44E4-9CFB-1FFC6CEB2A2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89F-44E4-9CFB-1FFC6CEB2A2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89F-44E4-9CFB-1FFC6CEB2A2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89F-44E4-9CFB-1FFC6CEB2A2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89F-44E4-9CFB-1FFC6CEB2A2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89F-44E4-9CFB-1FFC6CEB2A2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89F-44E4-9CFB-1FFC6CEB2A2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89F-44E4-9CFB-1FFC6CEB2A2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89F-44E4-9CFB-1FFC6CEB2A20}"/>
              </c:ext>
            </c:extLst>
          </c:dPt>
          <c:cat>
            <c:strRef>
              <c:f>'Pernoctaciones evol mensu TF'!$B$207:$B$218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TF'!$N$207:$N$219</c:f>
              <c:numCache>
                <c:formatCode>0.0%</c:formatCode>
                <c:ptCount val="13"/>
                <c:pt idx="0">
                  <c:v>0.24291266575217185</c:v>
                </c:pt>
                <c:pt idx="12">
                  <c:v>0.24291266575217185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C89F-44E4-9CFB-1FFC6CEB2A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TF'!$I$227:$J$227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C3B-4E1B-B385-28049A36FC29}"/>
              </c:ext>
            </c:extLst>
          </c:dPt>
          <c:val>
            <c:numRef>
              <c:f>'Pernoctaciones evol mensu TF'!$I$229:$I$241</c:f>
              <c:numCache>
                <c:formatCode>#,##0</c:formatCode>
                <c:ptCount val="13"/>
                <c:pt idx="0">
                  <c:v>14185</c:v>
                </c:pt>
                <c:pt idx="1">
                  <c:v>13893</c:v>
                </c:pt>
                <c:pt idx="2">
                  <c:v>12035</c:v>
                </c:pt>
                <c:pt idx="3">
                  <c:v>4421</c:v>
                </c:pt>
                <c:pt idx="4">
                  <c:v>1554</c:v>
                </c:pt>
                <c:pt idx="5">
                  <c:v>1137</c:v>
                </c:pt>
                <c:pt idx="6">
                  <c:v>1227</c:v>
                </c:pt>
                <c:pt idx="7">
                  <c:v>1177</c:v>
                </c:pt>
                <c:pt idx="8">
                  <c:v>906</c:v>
                </c:pt>
                <c:pt idx="9">
                  <c:v>4290</c:v>
                </c:pt>
                <c:pt idx="10">
                  <c:v>10498</c:v>
                </c:pt>
                <c:pt idx="11">
                  <c:v>9612</c:v>
                </c:pt>
                <c:pt idx="12">
                  <c:v>74935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C3B-4E1B-B385-28049A36FC29}"/>
            </c:ext>
          </c:extLst>
        </c:ser>
        <c:ser>
          <c:idx val="0"/>
          <c:order val="2"/>
          <c:tx>
            <c:strRef>
              <c:f>'Pernoctaciones evol mensu TF'!$K$227:$L$227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C3B-4E1B-B385-28049A36FC29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TF'!$K$229:$K$241</c:f>
              <c:numCache>
                <c:formatCode>#,##0</c:formatCode>
                <c:ptCount val="13"/>
                <c:pt idx="0">
                  <c:v>11905</c:v>
                </c:pt>
                <c:pt idx="1">
                  <c:v>13299</c:v>
                </c:pt>
                <c:pt idx="2">
                  <c:v>11980</c:v>
                </c:pt>
                <c:pt idx="3">
                  <c:v>2791</c:v>
                </c:pt>
                <c:pt idx="4">
                  <c:v>1368</c:v>
                </c:pt>
                <c:pt idx="5">
                  <c:v>942</c:v>
                </c:pt>
                <c:pt idx="6">
                  <c:v>1623</c:v>
                </c:pt>
                <c:pt idx="7">
                  <c:v>1100</c:v>
                </c:pt>
                <c:pt idx="8">
                  <c:v>1480</c:v>
                </c:pt>
                <c:pt idx="9">
                  <c:v>4680</c:v>
                </c:pt>
                <c:pt idx="10">
                  <c:v>10590</c:v>
                </c:pt>
                <c:pt idx="11">
                  <c:v>6874</c:v>
                </c:pt>
                <c:pt idx="12">
                  <c:v>68632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C3B-4E1B-B385-28049A36FC29}"/>
            </c:ext>
          </c:extLst>
        </c:ser>
        <c:ser>
          <c:idx val="1"/>
          <c:order val="3"/>
          <c:tx>
            <c:strRef>
              <c:f>'Pernoctaciones evol mensu TF'!$M$227:$N$227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CC3B-4E1B-B385-28049A36FC2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CC3B-4E1B-B385-28049A36FC29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TF'!$M$229:$M$241</c:f>
              <c:numCache>
                <c:formatCode>#,##0</c:formatCode>
                <c:ptCount val="13"/>
                <c:pt idx="0">
                  <c:v>11922</c:v>
                </c:pt>
                <c:pt idx="12">
                  <c:v>11922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C3B-4E1B-B385-28049A36FC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TF'!$C$227:$D$227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01-CC3B-4E1B-B385-28049A36FC29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TF'!$C$229:$C$241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12677</c:v>
                      </c:pt>
                      <c:pt idx="1">
                        <c:v>10552</c:v>
                      </c:pt>
                      <c:pt idx="2">
                        <c:v>6958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9</c:v>
                      </c:pt>
                      <c:pt idx="8">
                        <c:v>100</c:v>
                      </c:pt>
                      <c:pt idx="9">
                        <c:v>13</c:v>
                      </c:pt>
                      <c:pt idx="10">
                        <c:v>25</c:v>
                      </c:pt>
                      <c:pt idx="11">
                        <c:v>120</c:v>
                      </c:pt>
                      <c:pt idx="12">
                        <c:v>30460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2-CC3B-4E1B-B385-28049A36FC29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TF'!$N$228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C3B-4E1B-B385-28049A36FC2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C3B-4E1B-B385-28049A36FC2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C3B-4E1B-B385-28049A36FC2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C3B-4E1B-B385-28049A36FC2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C3B-4E1B-B385-28049A36FC2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C3B-4E1B-B385-28049A36FC2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C3B-4E1B-B385-28049A36FC2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C3B-4E1B-B385-28049A36FC2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C3B-4E1B-B385-28049A36FC2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C3B-4E1B-B385-28049A36FC2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C3B-4E1B-B385-28049A36FC2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C3B-4E1B-B385-28049A36FC2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C3B-4E1B-B385-28049A36FC29}"/>
              </c:ext>
            </c:extLst>
          </c:dPt>
          <c:cat>
            <c:strRef>
              <c:f>'Pernoctaciones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TF'!$N$229:$N$241</c:f>
              <c:numCache>
                <c:formatCode>0.0%</c:formatCode>
                <c:ptCount val="13"/>
                <c:pt idx="0">
                  <c:v>1.427971440571163E-3</c:v>
                </c:pt>
                <c:pt idx="12">
                  <c:v>1.427971440571163E-3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CC3B-4E1B-B385-28049A36FC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TF'!$I$253:$J$253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1E0-4033-8045-8C047946A131}"/>
              </c:ext>
            </c:extLst>
          </c:dPt>
          <c:val>
            <c:numRef>
              <c:f>'Pernoctaciones evol mensu TF'!$I$255:$I$267</c:f>
              <c:numCache>
                <c:formatCode>#,##0</c:formatCode>
                <c:ptCount val="13"/>
                <c:pt idx="0">
                  <c:v>14056</c:v>
                </c:pt>
                <c:pt idx="1">
                  <c:v>10790</c:v>
                </c:pt>
                <c:pt idx="2">
                  <c:v>13448</c:v>
                </c:pt>
                <c:pt idx="3">
                  <c:v>6713</c:v>
                </c:pt>
                <c:pt idx="4">
                  <c:v>976</c:v>
                </c:pt>
                <c:pt idx="5">
                  <c:v>1174</c:v>
                </c:pt>
                <c:pt idx="6">
                  <c:v>1082</c:v>
                </c:pt>
                <c:pt idx="7">
                  <c:v>642</c:v>
                </c:pt>
                <c:pt idx="8">
                  <c:v>677</c:v>
                </c:pt>
                <c:pt idx="9">
                  <c:v>5312</c:v>
                </c:pt>
                <c:pt idx="10">
                  <c:v>12717</c:v>
                </c:pt>
                <c:pt idx="11">
                  <c:v>14110</c:v>
                </c:pt>
                <c:pt idx="12">
                  <c:v>81697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1E0-4033-8045-8C047946A131}"/>
            </c:ext>
          </c:extLst>
        </c:ser>
        <c:ser>
          <c:idx val="0"/>
          <c:order val="2"/>
          <c:tx>
            <c:strRef>
              <c:f>'Pernoctaciones evol mensu TF'!$K$253:$L$253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1E0-4033-8045-8C047946A131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TF'!$K$255:$K$267</c:f>
              <c:numCache>
                <c:formatCode>#,##0</c:formatCode>
                <c:ptCount val="13"/>
                <c:pt idx="0">
                  <c:v>15423</c:v>
                </c:pt>
                <c:pt idx="1">
                  <c:v>14145</c:v>
                </c:pt>
                <c:pt idx="2">
                  <c:v>13372</c:v>
                </c:pt>
                <c:pt idx="3">
                  <c:v>6549</c:v>
                </c:pt>
                <c:pt idx="4">
                  <c:v>564</c:v>
                </c:pt>
                <c:pt idx="5">
                  <c:v>774</c:v>
                </c:pt>
                <c:pt idx="6">
                  <c:v>428</c:v>
                </c:pt>
                <c:pt idx="7">
                  <c:v>407</c:v>
                </c:pt>
                <c:pt idx="8">
                  <c:v>1644</c:v>
                </c:pt>
                <c:pt idx="9">
                  <c:v>3688</c:v>
                </c:pt>
                <c:pt idx="10">
                  <c:v>10546</c:v>
                </c:pt>
                <c:pt idx="11">
                  <c:v>12135</c:v>
                </c:pt>
                <c:pt idx="12">
                  <c:v>79675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1E0-4033-8045-8C047946A131}"/>
            </c:ext>
          </c:extLst>
        </c:ser>
        <c:ser>
          <c:idx val="1"/>
          <c:order val="3"/>
          <c:tx>
            <c:strRef>
              <c:f>'Pernoctaciones evol mensu TF'!$M$253:$N$253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41E0-4033-8045-8C047946A13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41E0-4033-8045-8C047946A131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TF'!$M$255:$M$267</c:f>
              <c:numCache>
                <c:formatCode>#,##0</c:formatCode>
                <c:ptCount val="13"/>
                <c:pt idx="0">
                  <c:v>14766</c:v>
                </c:pt>
                <c:pt idx="12">
                  <c:v>14766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1E0-4033-8045-8C047946A1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TF'!$C$253:$D$253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01-41E0-4033-8045-8C047946A131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TF'!$C$255:$C$267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22962</c:v>
                      </c:pt>
                      <c:pt idx="1">
                        <c:v>16812</c:v>
                      </c:pt>
                      <c:pt idx="2">
                        <c:v>8864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67</c:v>
                      </c:pt>
                      <c:pt idx="8">
                        <c:v>134</c:v>
                      </c:pt>
                      <c:pt idx="9">
                        <c:v>240</c:v>
                      </c:pt>
                      <c:pt idx="10">
                        <c:v>431</c:v>
                      </c:pt>
                      <c:pt idx="11">
                        <c:v>490</c:v>
                      </c:pt>
                      <c:pt idx="12">
                        <c:v>50030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2-41E0-4033-8045-8C047946A131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TF'!$N$254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1E0-4033-8045-8C047946A13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1E0-4033-8045-8C047946A13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1E0-4033-8045-8C047946A13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1E0-4033-8045-8C047946A13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1E0-4033-8045-8C047946A13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1E0-4033-8045-8C047946A13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1E0-4033-8045-8C047946A13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1E0-4033-8045-8C047946A13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1E0-4033-8045-8C047946A13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1E0-4033-8045-8C047946A13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1E0-4033-8045-8C047946A13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1E0-4033-8045-8C047946A13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1E0-4033-8045-8C047946A131}"/>
              </c:ext>
            </c:extLst>
          </c:dPt>
          <c:cat>
            <c:strRef>
              <c:f>'Pernoctaciones evol mensu TF'!$B$255:$B$266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TF'!$N$255:$N$267</c:f>
              <c:numCache>
                <c:formatCode>0.0%</c:formatCode>
                <c:ptCount val="13"/>
                <c:pt idx="0">
                  <c:v>-4.2598716203073317E-2</c:v>
                </c:pt>
                <c:pt idx="12">
                  <c:v>-4.2598716203073317E-2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41E0-4033-8045-8C047946A1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 evol mensu TF cat'!$I$7:$J$7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C7A-4AB3-8732-DCEEAAA0E478}"/>
              </c:ext>
            </c:extLst>
          </c:dPt>
          <c:val>
            <c:numRef>
              <c:f>'Pernocta evol mensu TF cat'!$I$9:$I$21</c:f>
              <c:numCache>
                <c:formatCode>#,##0</c:formatCode>
                <c:ptCount val="13"/>
                <c:pt idx="0">
                  <c:v>459644</c:v>
                </c:pt>
                <c:pt idx="1">
                  <c:v>411785</c:v>
                </c:pt>
                <c:pt idx="2">
                  <c:v>435839</c:v>
                </c:pt>
                <c:pt idx="3">
                  <c:v>379392</c:v>
                </c:pt>
                <c:pt idx="4">
                  <c:v>340598</c:v>
                </c:pt>
                <c:pt idx="5">
                  <c:v>393768</c:v>
                </c:pt>
                <c:pt idx="6">
                  <c:v>454413</c:v>
                </c:pt>
                <c:pt idx="7">
                  <c:v>480859</c:v>
                </c:pt>
                <c:pt idx="8">
                  <c:v>441114</c:v>
                </c:pt>
                <c:pt idx="9">
                  <c:v>428972</c:v>
                </c:pt>
                <c:pt idx="10">
                  <c:v>456108</c:v>
                </c:pt>
                <c:pt idx="11">
                  <c:v>440835</c:v>
                </c:pt>
                <c:pt idx="12">
                  <c:v>5123327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C7A-4AB3-8732-DCEEAAA0E478}"/>
            </c:ext>
          </c:extLst>
        </c:ser>
        <c:ser>
          <c:idx val="0"/>
          <c:order val="2"/>
          <c:tx>
            <c:strRef>
              <c:f>'Pernocta evol mensu TF cat'!$K$7:$L$7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C7A-4AB3-8732-DCEEAAA0E478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cat'!$K$9:$K$21</c:f>
              <c:numCache>
                <c:formatCode>#,##0</c:formatCode>
                <c:ptCount val="13"/>
                <c:pt idx="0">
                  <c:v>482317</c:v>
                </c:pt>
                <c:pt idx="1">
                  <c:v>476786</c:v>
                </c:pt>
                <c:pt idx="2">
                  <c:v>499150</c:v>
                </c:pt>
                <c:pt idx="3">
                  <c:v>411482</c:v>
                </c:pt>
                <c:pt idx="4">
                  <c:v>405702</c:v>
                </c:pt>
                <c:pt idx="5">
                  <c:v>460449</c:v>
                </c:pt>
                <c:pt idx="6">
                  <c:v>532065</c:v>
                </c:pt>
                <c:pt idx="7">
                  <c:v>551869</c:v>
                </c:pt>
                <c:pt idx="8">
                  <c:v>489204</c:v>
                </c:pt>
                <c:pt idx="9">
                  <c:v>490987</c:v>
                </c:pt>
                <c:pt idx="10">
                  <c:v>482914</c:v>
                </c:pt>
                <c:pt idx="11">
                  <c:v>468874</c:v>
                </c:pt>
                <c:pt idx="12">
                  <c:v>5751799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C7A-4AB3-8732-DCEEAAA0E478}"/>
            </c:ext>
          </c:extLst>
        </c:ser>
        <c:ser>
          <c:idx val="1"/>
          <c:order val="3"/>
          <c:tx>
            <c:strRef>
              <c:f>'Pernocta evol mensu TF cat'!$M$7:$N$7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FC7A-4AB3-8732-DCEEAAA0E47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FC7A-4AB3-8732-DCEEAAA0E478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cat'!$M$9:$M$21</c:f>
              <c:numCache>
                <c:formatCode>#,##0</c:formatCode>
                <c:ptCount val="13"/>
                <c:pt idx="0">
                  <c:v>494946</c:v>
                </c:pt>
                <c:pt idx="12">
                  <c:v>494946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C7A-4AB3-8732-DCEEAAA0E4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 evol mensu TF cat'!$C$7:$D$7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01-FC7A-4AB3-8732-DCEEAAA0E478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 evol mensu TF cat'!$A$9:$A$21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 evol mensu TF cat'!$C$9:$C$21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493497</c:v>
                      </c:pt>
                      <c:pt idx="1">
                        <c:v>430844</c:v>
                      </c:pt>
                      <c:pt idx="2">
                        <c:v>217806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115808</c:v>
                      </c:pt>
                      <c:pt idx="8">
                        <c:v>80706</c:v>
                      </c:pt>
                      <c:pt idx="9">
                        <c:v>56100</c:v>
                      </c:pt>
                      <c:pt idx="10">
                        <c:v>36828</c:v>
                      </c:pt>
                      <c:pt idx="11">
                        <c:v>44846</c:v>
                      </c:pt>
                      <c:pt idx="12">
                        <c:v>1546641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2-FC7A-4AB3-8732-DCEEAAA0E478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 evol mensu TF cat'!$N$8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C7A-4AB3-8732-DCEEAAA0E47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C7A-4AB3-8732-DCEEAAA0E47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C7A-4AB3-8732-DCEEAAA0E47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C7A-4AB3-8732-DCEEAAA0E47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C7A-4AB3-8732-DCEEAAA0E47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C7A-4AB3-8732-DCEEAAA0E47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C7A-4AB3-8732-DCEEAAA0E47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C7A-4AB3-8732-DCEEAAA0E47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C7A-4AB3-8732-DCEEAAA0E47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C7A-4AB3-8732-DCEEAAA0E47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C7A-4AB3-8732-DCEEAAA0E47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C7A-4AB3-8732-DCEEAAA0E47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C7A-4AB3-8732-DCEEAAA0E478}"/>
              </c:ext>
            </c:extLst>
          </c:dPt>
          <c:cat>
            <c:strRef>
              <c:f>'Pernocta evol mensu TF cat'!$B$9:$B$20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cat'!$N$9:$N$21</c:f>
              <c:numCache>
                <c:formatCode>0.0%</c:formatCode>
                <c:ptCount val="13"/>
                <c:pt idx="0">
                  <c:v>2.6184024199851885E-2</c:v>
                </c:pt>
                <c:pt idx="12">
                  <c:v>2.6184024199851885E-2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FC7A-4AB3-8732-DCEEAAA0E4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6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E7B-4DF1-BD50-C9DC571A6C44}"/>
              </c:ext>
            </c:extLst>
          </c:dPt>
          <c:val>
            <c:numRef>
              <c:f>'Viajeros entr evol mensu TF'!$I$75:$I$87</c:f>
              <c:numCache>
                <c:formatCode>#,##0</c:formatCode>
                <c:ptCount val="13"/>
                <c:pt idx="0">
                  <c:v>3614</c:v>
                </c:pt>
                <c:pt idx="1">
                  <c:v>3040</c:v>
                </c:pt>
                <c:pt idx="2">
                  <c:v>5138</c:v>
                </c:pt>
                <c:pt idx="3">
                  <c:v>9086</c:v>
                </c:pt>
                <c:pt idx="4">
                  <c:v>8929</c:v>
                </c:pt>
                <c:pt idx="5">
                  <c:v>12926</c:v>
                </c:pt>
                <c:pt idx="6">
                  <c:v>13120</c:v>
                </c:pt>
                <c:pt idx="7">
                  <c:v>9042</c:v>
                </c:pt>
                <c:pt idx="8">
                  <c:v>11184</c:v>
                </c:pt>
                <c:pt idx="9">
                  <c:v>6656</c:v>
                </c:pt>
                <c:pt idx="10">
                  <c:v>4449</c:v>
                </c:pt>
                <c:pt idx="11">
                  <c:v>4919</c:v>
                </c:pt>
                <c:pt idx="12">
                  <c:v>92103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E7B-4DF1-BD50-C9DC571A6C44}"/>
            </c:ext>
          </c:extLst>
        </c:ser>
        <c:ser>
          <c:idx val="0"/>
          <c:order val="2"/>
          <c:tx>
            <c:strRef>
              <c:f>'Viajeros entr evol mensu TF'!$K$73:$L$73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E7B-4DF1-BD50-C9DC571A6C44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TF'!$K$75:$K$87</c:f>
              <c:numCache>
                <c:formatCode>#,##0</c:formatCode>
                <c:ptCount val="13"/>
                <c:pt idx="0">
                  <c:v>3298</c:v>
                </c:pt>
                <c:pt idx="1">
                  <c:v>3538</c:v>
                </c:pt>
                <c:pt idx="2">
                  <c:v>5968</c:v>
                </c:pt>
                <c:pt idx="3">
                  <c:v>7985</c:v>
                </c:pt>
                <c:pt idx="4">
                  <c:v>13978</c:v>
                </c:pt>
                <c:pt idx="5">
                  <c:v>15406</c:v>
                </c:pt>
                <c:pt idx="6">
                  <c:v>15137</c:v>
                </c:pt>
                <c:pt idx="7">
                  <c:v>13101</c:v>
                </c:pt>
                <c:pt idx="8">
                  <c:v>7971</c:v>
                </c:pt>
                <c:pt idx="9">
                  <c:v>8034</c:v>
                </c:pt>
                <c:pt idx="10">
                  <c:v>6479</c:v>
                </c:pt>
                <c:pt idx="11">
                  <c:v>5389</c:v>
                </c:pt>
                <c:pt idx="12">
                  <c:v>106284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E7B-4DF1-BD50-C9DC571A6C44}"/>
            </c:ext>
          </c:extLst>
        </c:ser>
        <c:ser>
          <c:idx val="1"/>
          <c:order val="3"/>
          <c:tx>
            <c:strRef>
              <c:f>'Viajeros entr evol mensu TF'!$M$73:$N$73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6E7B-4DF1-BD50-C9DC571A6C4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6E7B-4DF1-BD50-C9DC571A6C44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TF'!$M$75:$M$87</c:f>
              <c:numCache>
                <c:formatCode>#,##0</c:formatCode>
                <c:ptCount val="13"/>
                <c:pt idx="0">
                  <c:v>3813</c:v>
                </c:pt>
                <c:pt idx="12">
                  <c:v>3813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E7B-4DF1-BD50-C9DC571A6C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TF'!$C$73:$D$73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01-6E7B-4DF1-BD50-C9DC571A6C44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TF'!$C$75:$C$87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3543</c:v>
                      </c:pt>
                      <c:pt idx="1">
                        <c:v>3989</c:v>
                      </c:pt>
                      <c:pt idx="2">
                        <c:v>1220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4131</c:v>
                      </c:pt>
                      <c:pt idx="8">
                        <c:v>3358</c:v>
                      </c:pt>
                      <c:pt idx="9">
                        <c:v>4435</c:v>
                      </c:pt>
                      <c:pt idx="10">
                        <c:v>1740</c:v>
                      </c:pt>
                      <c:pt idx="11">
                        <c:v>2977</c:v>
                      </c:pt>
                      <c:pt idx="12">
                        <c:v>28320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2-6E7B-4DF1-BD50-C9DC571A6C44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TF'!$N$74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E7B-4DF1-BD50-C9DC571A6C4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E7B-4DF1-BD50-C9DC571A6C4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E7B-4DF1-BD50-C9DC571A6C4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E7B-4DF1-BD50-C9DC571A6C4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E7B-4DF1-BD50-C9DC571A6C4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E7B-4DF1-BD50-C9DC571A6C4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E7B-4DF1-BD50-C9DC571A6C4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E7B-4DF1-BD50-C9DC571A6C4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E7B-4DF1-BD50-C9DC571A6C4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E7B-4DF1-BD50-C9DC571A6C4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E7B-4DF1-BD50-C9DC571A6C4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E7B-4DF1-BD50-C9DC571A6C4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E7B-4DF1-BD50-C9DC571A6C44}"/>
              </c:ext>
            </c:extLst>
          </c:dPt>
          <c:cat>
            <c:strRef>
              <c:f>'Viajeros entr evol mensu TF'!$B$75:$B$86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TF'!$N$75:$N$87</c:f>
              <c:numCache>
                <c:formatCode>0.0%</c:formatCode>
                <c:ptCount val="13"/>
                <c:pt idx="0">
                  <c:v>0.15615524560339589</c:v>
                </c:pt>
                <c:pt idx="12">
                  <c:v>0.15615524560339589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6E7B-4DF1-BD50-C9DC571A6C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5"/>
          <c:order val="1"/>
          <c:tx>
            <c:strRef>
              <c:f>'Pernocta evol mensu TF cat'!$I$29:$J$29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026-4DF6-AF4D-D45CE08701F3}"/>
              </c:ext>
            </c:extLst>
          </c:dPt>
          <c:val>
            <c:numRef>
              <c:f>'Pernocta evol mensu TF cat'!$I$31:$I$43</c:f>
              <c:numCache>
                <c:formatCode>#,##0</c:formatCode>
                <c:ptCount val="13"/>
                <c:pt idx="0">
                  <c:v>361401</c:v>
                </c:pt>
                <c:pt idx="1">
                  <c:v>321582</c:v>
                </c:pt>
                <c:pt idx="2">
                  <c:v>342372</c:v>
                </c:pt>
                <c:pt idx="3">
                  <c:v>302352</c:v>
                </c:pt>
                <c:pt idx="4">
                  <c:v>274338</c:v>
                </c:pt>
                <c:pt idx="5">
                  <c:v>316101</c:v>
                </c:pt>
                <c:pt idx="6">
                  <c:v>361648</c:v>
                </c:pt>
                <c:pt idx="7">
                  <c:v>399402</c:v>
                </c:pt>
                <c:pt idx="8">
                  <c:v>360982</c:v>
                </c:pt>
                <c:pt idx="9">
                  <c:v>353071</c:v>
                </c:pt>
                <c:pt idx="10">
                  <c:v>365540</c:v>
                </c:pt>
                <c:pt idx="11">
                  <c:v>348250</c:v>
                </c:pt>
                <c:pt idx="12">
                  <c:v>4107039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026-4DF6-AF4D-D45CE08701F3}"/>
            </c:ext>
          </c:extLst>
        </c:ser>
        <c:ser>
          <c:idx val="0"/>
          <c:order val="2"/>
          <c:tx>
            <c:strRef>
              <c:f>'Pernocta evol mensu TF cat'!$K$29:$L$29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026-4DF6-AF4D-D45CE08701F3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cat'!$K$31:$K$43</c:f>
              <c:numCache>
                <c:formatCode>#,##0</c:formatCode>
                <c:ptCount val="13"/>
                <c:pt idx="0">
                  <c:v>388603</c:v>
                </c:pt>
                <c:pt idx="1">
                  <c:v>385800</c:v>
                </c:pt>
                <c:pt idx="2">
                  <c:v>400622</c:v>
                </c:pt>
                <c:pt idx="3">
                  <c:v>325621</c:v>
                </c:pt>
                <c:pt idx="4">
                  <c:v>335432</c:v>
                </c:pt>
                <c:pt idx="5">
                  <c:v>376782</c:v>
                </c:pt>
                <c:pt idx="6">
                  <c:v>429398</c:v>
                </c:pt>
                <c:pt idx="7">
                  <c:v>441301</c:v>
                </c:pt>
                <c:pt idx="8">
                  <c:v>390629</c:v>
                </c:pt>
                <c:pt idx="9">
                  <c:v>401956</c:v>
                </c:pt>
                <c:pt idx="10">
                  <c:v>389586</c:v>
                </c:pt>
                <c:pt idx="11">
                  <c:v>374099</c:v>
                </c:pt>
                <c:pt idx="12">
                  <c:v>4639829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026-4DF6-AF4D-D45CE08701F3}"/>
            </c:ext>
          </c:extLst>
        </c:ser>
        <c:ser>
          <c:idx val="1"/>
          <c:order val="3"/>
          <c:tx>
            <c:strRef>
              <c:f>'Pernocta evol mensu TF cat'!$M$29:$N$29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E026-4DF6-AF4D-D45CE08701F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E026-4DF6-AF4D-D45CE08701F3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cat'!$M$31:$M$43</c:f>
              <c:numCache>
                <c:formatCode>#,##0</c:formatCode>
                <c:ptCount val="13"/>
                <c:pt idx="0">
                  <c:v>397887</c:v>
                </c:pt>
                <c:pt idx="12">
                  <c:v>397887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026-4DF6-AF4D-D45CE08701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 evol mensu TF cat'!$C$29:$D$29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01-E026-4DF6-AF4D-D45CE08701F3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 evol mensu TF cat'!$A$9:$A$21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 evol mensu TF cat'!$C$31:$C$43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373415</c:v>
                      </c:pt>
                      <c:pt idx="1">
                        <c:v>332081</c:v>
                      </c:pt>
                      <c:pt idx="2">
                        <c:v>163870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87947</c:v>
                      </c:pt>
                      <c:pt idx="8">
                        <c:v>61722</c:v>
                      </c:pt>
                      <c:pt idx="9">
                        <c:v>42156</c:v>
                      </c:pt>
                      <c:pt idx="10">
                        <c:v>24880</c:v>
                      </c:pt>
                      <c:pt idx="11">
                        <c:v>27572</c:v>
                      </c:pt>
                      <c:pt idx="12">
                        <c:v>1157521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2-E026-4DF6-AF4D-D45CE08701F3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 evol mensu TF cat'!$N$30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026-4DF6-AF4D-D45CE08701F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026-4DF6-AF4D-D45CE08701F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026-4DF6-AF4D-D45CE08701F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026-4DF6-AF4D-D45CE08701F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026-4DF6-AF4D-D45CE08701F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026-4DF6-AF4D-D45CE08701F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026-4DF6-AF4D-D45CE08701F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026-4DF6-AF4D-D45CE08701F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026-4DF6-AF4D-D45CE08701F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026-4DF6-AF4D-D45CE08701F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026-4DF6-AF4D-D45CE08701F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026-4DF6-AF4D-D45CE08701F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026-4DF6-AF4D-D45CE08701F3}"/>
              </c:ext>
            </c:extLst>
          </c:dPt>
          <c:cat>
            <c:strRef>
              <c:f>'Pernocta evol mensu TF cat'!$B$31:$B$42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cat'!$N$31:$N$43</c:f>
              <c:numCache>
                <c:formatCode>0.0%</c:formatCode>
                <c:ptCount val="13"/>
                <c:pt idx="0">
                  <c:v>2.3890705938965917E-2</c:v>
                </c:pt>
                <c:pt idx="12">
                  <c:v>2.3890705938965917E-2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E026-4DF6-AF4D-D45CE08701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4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1187294267900032"/>
          <c:w val="0.86939722222222227"/>
          <c:h val="0.42070463713947498"/>
        </c:manualLayout>
      </c:layout>
      <c:lineChart>
        <c:grouping val="standard"/>
        <c:varyColors val="0"/>
        <c:ser>
          <c:idx val="5"/>
          <c:order val="1"/>
          <c:tx>
            <c:strRef>
              <c:f>'Pernocta evol mensu TF cat'!$I$51:$J$51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D1F-4B6A-A6A8-EC72E174166A}"/>
              </c:ext>
            </c:extLst>
          </c:dPt>
          <c:val>
            <c:numRef>
              <c:f>'Pernocta evol mensu TF cat'!$I$53:$I$65</c:f>
              <c:numCache>
                <c:formatCode>#,##0</c:formatCode>
                <c:ptCount val="13"/>
                <c:pt idx="0">
                  <c:v>313942</c:v>
                </c:pt>
                <c:pt idx="1">
                  <c:v>275344</c:v>
                </c:pt>
                <c:pt idx="2">
                  <c:v>297230</c:v>
                </c:pt>
                <c:pt idx="3">
                  <c:v>261963</c:v>
                </c:pt>
                <c:pt idx="4">
                  <c:v>236364</c:v>
                </c:pt>
                <c:pt idx="5">
                  <c:v>276657</c:v>
                </c:pt>
                <c:pt idx="6">
                  <c:v>321014</c:v>
                </c:pt>
                <c:pt idx="7">
                  <c:v>356449</c:v>
                </c:pt>
                <c:pt idx="8">
                  <c:v>316284</c:v>
                </c:pt>
                <c:pt idx="9">
                  <c:v>310495</c:v>
                </c:pt>
                <c:pt idx="10">
                  <c:v>312898</c:v>
                </c:pt>
                <c:pt idx="11">
                  <c:v>297298</c:v>
                </c:pt>
                <c:pt idx="12">
                  <c:v>3575938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D1F-4B6A-A6A8-EC72E174166A}"/>
            </c:ext>
          </c:extLst>
        </c:ser>
        <c:ser>
          <c:idx val="0"/>
          <c:order val="2"/>
          <c:tx>
            <c:strRef>
              <c:f>'Pernocta evol mensu TF cat'!$K$51:$L$51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D1F-4B6A-A6A8-EC72E174166A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cat'!$K$53:$K$65</c:f>
              <c:numCache>
                <c:formatCode>#,##0</c:formatCode>
                <c:ptCount val="13"/>
                <c:pt idx="0">
                  <c:v>333847</c:v>
                </c:pt>
                <c:pt idx="1">
                  <c:v>334765</c:v>
                </c:pt>
                <c:pt idx="2">
                  <c:v>347941</c:v>
                </c:pt>
                <c:pt idx="3">
                  <c:v>283297</c:v>
                </c:pt>
                <c:pt idx="4">
                  <c:v>294723</c:v>
                </c:pt>
                <c:pt idx="5">
                  <c:v>333511</c:v>
                </c:pt>
                <c:pt idx="6">
                  <c:v>378859</c:v>
                </c:pt>
                <c:pt idx="7">
                  <c:v>388293</c:v>
                </c:pt>
                <c:pt idx="8">
                  <c:v>342910</c:v>
                </c:pt>
                <c:pt idx="9">
                  <c:v>353936</c:v>
                </c:pt>
                <c:pt idx="10">
                  <c:v>338127</c:v>
                </c:pt>
                <c:pt idx="11">
                  <c:v>322699</c:v>
                </c:pt>
                <c:pt idx="12">
                  <c:v>4052908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D1F-4B6A-A6A8-EC72E174166A}"/>
            </c:ext>
          </c:extLst>
        </c:ser>
        <c:ser>
          <c:idx val="1"/>
          <c:order val="3"/>
          <c:tx>
            <c:strRef>
              <c:f>'Pernocta evol mensu TF cat'!$M$51:$N$51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CD1F-4B6A-A6A8-EC72E174166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CD1F-4B6A-A6A8-EC72E174166A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cat'!$M$53:$M$65</c:f>
              <c:numCache>
                <c:formatCode>#,##0</c:formatCode>
                <c:ptCount val="13"/>
                <c:pt idx="0">
                  <c:v>342802</c:v>
                </c:pt>
                <c:pt idx="12">
                  <c:v>342802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D1F-4B6A-A6A8-EC72E17416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 evol mensu TF cat'!$C$51:$D$51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01-CD1F-4B6A-A6A8-EC72E174166A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 evol mensu TF cat'!$A$9:$A$21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 evol mensu TF cat'!$C$53:$C$65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309862</c:v>
                      </c:pt>
                      <c:pt idx="1">
                        <c:v>274949</c:v>
                      </c:pt>
                      <c:pt idx="2">
                        <c:v>137765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79968</c:v>
                      </c:pt>
                      <c:pt idx="8">
                        <c:v>55034</c:v>
                      </c:pt>
                      <c:pt idx="9">
                        <c:v>34395</c:v>
                      </c:pt>
                      <c:pt idx="10">
                        <c:v>19839</c:v>
                      </c:pt>
                      <c:pt idx="11">
                        <c:v>19258</c:v>
                      </c:pt>
                      <c:pt idx="12">
                        <c:v>970776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2-CD1F-4B6A-A6A8-EC72E174166A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 evol mensu TF cat'!$N$52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D1F-4B6A-A6A8-EC72E174166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D1F-4B6A-A6A8-EC72E174166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D1F-4B6A-A6A8-EC72E174166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D1F-4B6A-A6A8-EC72E174166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D1F-4B6A-A6A8-EC72E174166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D1F-4B6A-A6A8-EC72E174166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D1F-4B6A-A6A8-EC72E174166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D1F-4B6A-A6A8-EC72E174166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D1F-4B6A-A6A8-EC72E174166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D1F-4B6A-A6A8-EC72E174166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D1F-4B6A-A6A8-EC72E174166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D1F-4B6A-A6A8-EC72E174166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D1F-4B6A-A6A8-EC72E174166A}"/>
              </c:ext>
            </c:extLst>
          </c:dPt>
          <c:cat>
            <c:strRef>
              <c:f>'Pernocta evol mensu TF cat'!$B$53:$B$64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cat'!$N$53:$N$65</c:f>
              <c:numCache>
                <c:formatCode>0.0%</c:formatCode>
                <c:ptCount val="13"/>
                <c:pt idx="0">
                  <c:v>2.6823664732646968E-2</c:v>
                </c:pt>
                <c:pt idx="12">
                  <c:v>2.6823664732646968E-2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CD1F-4B6A-A6A8-EC72E17416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6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 evol mensu TF cat'!$I$73:$J$73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F5A-4754-9E5C-9B1ECB150EC0}"/>
              </c:ext>
            </c:extLst>
          </c:dPt>
          <c:val>
            <c:numRef>
              <c:f>'Pernocta evol mensu TF cat'!$I$75:$I$87</c:f>
              <c:numCache>
                <c:formatCode>#,##0</c:formatCode>
                <c:ptCount val="13"/>
                <c:pt idx="0">
                  <c:v>47459</c:v>
                </c:pt>
                <c:pt idx="1">
                  <c:v>46238</c:v>
                </c:pt>
                <c:pt idx="2">
                  <c:v>45142</c:v>
                </c:pt>
                <c:pt idx="3">
                  <c:v>40389</c:v>
                </c:pt>
                <c:pt idx="4">
                  <c:v>37974</c:v>
                </c:pt>
                <c:pt idx="5">
                  <c:v>39444</c:v>
                </c:pt>
                <c:pt idx="6">
                  <c:v>40634</c:v>
                </c:pt>
                <c:pt idx="7">
                  <c:v>42953</c:v>
                </c:pt>
                <c:pt idx="8">
                  <c:v>44698</c:v>
                </c:pt>
                <c:pt idx="9">
                  <c:v>42576</c:v>
                </c:pt>
                <c:pt idx="10">
                  <c:v>52642</c:v>
                </c:pt>
                <c:pt idx="11">
                  <c:v>50952</c:v>
                </c:pt>
                <c:pt idx="12">
                  <c:v>531101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F5A-4754-9E5C-9B1ECB150EC0}"/>
            </c:ext>
          </c:extLst>
        </c:ser>
        <c:ser>
          <c:idx val="0"/>
          <c:order val="2"/>
          <c:tx>
            <c:strRef>
              <c:f>'Pernocta evol mensu TF cat'!$K$73:$L$73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F5A-4754-9E5C-9B1ECB150EC0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cat'!$K$75:$K$87</c:f>
              <c:numCache>
                <c:formatCode>#,##0</c:formatCode>
                <c:ptCount val="13"/>
                <c:pt idx="0">
                  <c:v>54756</c:v>
                </c:pt>
                <c:pt idx="1">
                  <c:v>51035</c:v>
                </c:pt>
                <c:pt idx="2">
                  <c:v>52681</c:v>
                </c:pt>
                <c:pt idx="3">
                  <c:v>42324</c:v>
                </c:pt>
                <c:pt idx="4">
                  <c:v>40709</c:v>
                </c:pt>
                <c:pt idx="5">
                  <c:v>43271</c:v>
                </c:pt>
                <c:pt idx="6">
                  <c:v>50539</c:v>
                </c:pt>
                <c:pt idx="7">
                  <c:v>53008</c:v>
                </c:pt>
                <c:pt idx="8">
                  <c:v>47719</c:v>
                </c:pt>
                <c:pt idx="9">
                  <c:v>48020</c:v>
                </c:pt>
                <c:pt idx="10">
                  <c:v>51459</c:v>
                </c:pt>
                <c:pt idx="11">
                  <c:v>51400</c:v>
                </c:pt>
                <c:pt idx="12">
                  <c:v>586921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F5A-4754-9E5C-9B1ECB150EC0}"/>
            </c:ext>
          </c:extLst>
        </c:ser>
        <c:ser>
          <c:idx val="1"/>
          <c:order val="3"/>
          <c:tx>
            <c:strRef>
              <c:f>'Pernocta evol mensu TF cat'!$M$73:$N$73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5F5A-4754-9E5C-9B1ECB150EC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5F5A-4754-9E5C-9B1ECB150EC0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cat'!$M$75:$M$87</c:f>
              <c:numCache>
                <c:formatCode>#,##0</c:formatCode>
                <c:ptCount val="13"/>
                <c:pt idx="0">
                  <c:v>55085</c:v>
                </c:pt>
                <c:pt idx="12">
                  <c:v>55085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5F5A-4754-9E5C-9B1ECB150E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 evol mensu TF cat'!$C$73:$D$73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01-5F5A-4754-9E5C-9B1ECB150EC0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 evol mensu TF cat'!$A$9:$A$21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 evol mensu TF cat'!$C$75:$C$87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63553</c:v>
                      </c:pt>
                      <c:pt idx="1">
                        <c:v>57132</c:v>
                      </c:pt>
                      <c:pt idx="2">
                        <c:v>26105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7979</c:v>
                      </c:pt>
                      <c:pt idx="8">
                        <c:v>6688</c:v>
                      </c:pt>
                      <c:pt idx="9">
                        <c:v>7761</c:v>
                      </c:pt>
                      <c:pt idx="10">
                        <c:v>5041</c:v>
                      </c:pt>
                      <c:pt idx="11">
                        <c:v>8314</c:v>
                      </c:pt>
                      <c:pt idx="12">
                        <c:v>186745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2-5F5A-4754-9E5C-9B1ECB150EC0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 evol mensu TF cat'!$N$74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F5A-4754-9E5C-9B1ECB150EC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F5A-4754-9E5C-9B1ECB150EC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F5A-4754-9E5C-9B1ECB150EC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F5A-4754-9E5C-9B1ECB150EC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F5A-4754-9E5C-9B1ECB150EC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F5A-4754-9E5C-9B1ECB150EC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F5A-4754-9E5C-9B1ECB150EC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F5A-4754-9E5C-9B1ECB150EC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F5A-4754-9E5C-9B1ECB150EC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F5A-4754-9E5C-9B1ECB150EC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F5A-4754-9E5C-9B1ECB150EC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F5A-4754-9E5C-9B1ECB150EC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F5A-4754-9E5C-9B1ECB150EC0}"/>
              </c:ext>
            </c:extLst>
          </c:dPt>
          <c:cat>
            <c:strRef>
              <c:f>'Pernocta evol mensu TF cat'!$B$75:$B$86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cat'!$N$75:$N$87</c:f>
              <c:numCache>
                <c:formatCode>0.0%</c:formatCode>
                <c:ptCount val="13"/>
                <c:pt idx="0">
                  <c:v>6.008473957191951E-3</c:v>
                </c:pt>
                <c:pt idx="12">
                  <c:v>6.008473957191951E-3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5F5A-4754-9E5C-9B1ECB150E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8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 evol mensu TF cat'!$I$95:$J$95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E0B-4D22-B08A-28A4DDF1E532}"/>
              </c:ext>
            </c:extLst>
          </c:dPt>
          <c:val>
            <c:numRef>
              <c:f>'Pernocta evol mensu TF cat'!$I$97:$I$109</c:f>
              <c:numCache>
                <c:formatCode>#,##0</c:formatCode>
                <c:ptCount val="13"/>
                <c:pt idx="0">
                  <c:v>98243</c:v>
                </c:pt>
                <c:pt idx="1">
                  <c:v>90203</c:v>
                </c:pt>
                <c:pt idx="2">
                  <c:v>93467</c:v>
                </c:pt>
                <c:pt idx="3">
                  <c:v>77040</c:v>
                </c:pt>
                <c:pt idx="4">
                  <c:v>66260</c:v>
                </c:pt>
                <c:pt idx="5">
                  <c:v>77667</c:v>
                </c:pt>
                <c:pt idx="6">
                  <c:v>92765</c:v>
                </c:pt>
                <c:pt idx="7">
                  <c:v>81457</c:v>
                </c:pt>
                <c:pt idx="8">
                  <c:v>80132</c:v>
                </c:pt>
                <c:pt idx="9">
                  <c:v>75901</c:v>
                </c:pt>
                <c:pt idx="10">
                  <c:v>90568</c:v>
                </c:pt>
                <c:pt idx="11">
                  <c:v>92585</c:v>
                </c:pt>
                <c:pt idx="12">
                  <c:v>1016288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E0B-4D22-B08A-28A4DDF1E532}"/>
            </c:ext>
          </c:extLst>
        </c:ser>
        <c:ser>
          <c:idx val="0"/>
          <c:order val="2"/>
          <c:tx>
            <c:strRef>
              <c:f>'Pernocta evol mensu TF cat'!$K$95:$L$95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E0B-4D22-B08A-28A4DDF1E532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cat'!$K$97:$K$109</c:f>
              <c:numCache>
                <c:formatCode>#,##0</c:formatCode>
                <c:ptCount val="13"/>
                <c:pt idx="0">
                  <c:v>93714</c:v>
                </c:pt>
                <c:pt idx="1">
                  <c:v>90986</c:v>
                </c:pt>
                <c:pt idx="2">
                  <c:v>98528</c:v>
                </c:pt>
                <c:pt idx="3">
                  <c:v>85861</c:v>
                </c:pt>
                <c:pt idx="4">
                  <c:v>70270</c:v>
                </c:pt>
                <c:pt idx="5">
                  <c:v>83667</c:v>
                </c:pt>
                <c:pt idx="6">
                  <c:v>102667</c:v>
                </c:pt>
                <c:pt idx="7">
                  <c:v>110568</c:v>
                </c:pt>
                <c:pt idx="8">
                  <c:v>98575</c:v>
                </c:pt>
                <c:pt idx="9">
                  <c:v>89031</c:v>
                </c:pt>
                <c:pt idx="10">
                  <c:v>93328</c:v>
                </c:pt>
                <c:pt idx="11">
                  <c:v>94775</c:v>
                </c:pt>
                <c:pt idx="12">
                  <c:v>1111970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E0B-4D22-B08A-28A4DDF1E532}"/>
            </c:ext>
          </c:extLst>
        </c:ser>
        <c:ser>
          <c:idx val="1"/>
          <c:order val="3"/>
          <c:tx>
            <c:strRef>
              <c:f>'Pernocta evol mensu TF cat'!$M$95:$N$95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0E0B-4D22-B08A-28A4DDF1E53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0E0B-4D22-B08A-28A4DDF1E532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cat'!$M$97:$M$109</c:f>
              <c:numCache>
                <c:formatCode>#,##0</c:formatCode>
                <c:ptCount val="13"/>
                <c:pt idx="0">
                  <c:v>97059</c:v>
                </c:pt>
                <c:pt idx="12">
                  <c:v>97059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E0B-4D22-B08A-28A4DDF1E5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 evol mensu TF cat'!$C$95:$D$95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01-0E0B-4D22-B08A-28A4DDF1E532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 evol mensu TF cat'!$A$9:$A$21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 evol mensu TF cat'!$C$97:$C$109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120082</c:v>
                      </c:pt>
                      <c:pt idx="1">
                        <c:v>98763</c:v>
                      </c:pt>
                      <c:pt idx="2">
                        <c:v>53936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27861</c:v>
                      </c:pt>
                      <c:pt idx="8">
                        <c:v>18984</c:v>
                      </c:pt>
                      <c:pt idx="9">
                        <c:v>13944</c:v>
                      </c:pt>
                      <c:pt idx="10">
                        <c:v>11948</c:v>
                      </c:pt>
                      <c:pt idx="11">
                        <c:v>17274</c:v>
                      </c:pt>
                      <c:pt idx="12">
                        <c:v>389120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2-0E0B-4D22-B08A-28A4DDF1E532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 evol mensu TF cat'!$N$96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E0B-4D22-B08A-28A4DDF1E53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E0B-4D22-B08A-28A4DDF1E53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E0B-4D22-B08A-28A4DDF1E53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E0B-4D22-B08A-28A4DDF1E53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E0B-4D22-B08A-28A4DDF1E53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E0B-4D22-B08A-28A4DDF1E53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E0B-4D22-B08A-28A4DDF1E53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E0B-4D22-B08A-28A4DDF1E53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E0B-4D22-B08A-28A4DDF1E53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E0B-4D22-B08A-28A4DDF1E53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E0B-4D22-B08A-28A4DDF1E53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E0B-4D22-B08A-28A4DDF1E53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E0B-4D22-B08A-28A4DDF1E532}"/>
              </c:ext>
            </c:extLst>
          </c:dPt>
          <c:cat>
            <c:strRef>
              <c:f>'Pernocta evol mensu TF cat'!$B$97:$B$108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cat'!$N$97:$N$109</c:f>
              <c:numCache>
                <c:formatCode>0.0%</c:formatCode>
                <c:ptCount val="13"/>
                <c:pt idx="0">
                  <c:v>3.56937063832512E-2</c:v>
                </c:pt>
                <c:pt idx="12">
                  <c:v>3.56937063832512E-2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0E0B-4D22-B08A-28A4DDF1E5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2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03E-4616-9362-2560F4AA81A5}"/>
              </c:ext>
            </c:extLst>
          </c:dPt>
          <c:val>
            <c:numRef>
              <c:f>'EM evol menusual lugar resd'!$I$9:$I$21</c:f>
              <c:numCache>
                <c:formatCode>0.00</c:formatCode>
                <c:ptCount val="13"/>
                <c:pt idx="0">
                  <c:v>7.6495140460657698</c:v>
                </c:pt>
                <c:pt idx="1">
                  <c:v>7.1207352712306973</c:v>
                </c:pt>
                <c:pt idx="2">
                  <c:v>6.5608761101911783</c:v>
                </c:pt>
                <c:pt idx="3">
                  <c:v>5.8235402468226196</c:v>
                </c:pt>
                <c:pt idx="4">
                  <c:v>5.8624737512478911</c:v>
                </c:pt>
                <c:pt idx="5">
                  <c:v>5.5192868356133662</c:v>
                </c:pt>
                <c:pt idx="6">
                  <c:v>6.1112336431001788</c:v>
                </c:pt>
                <c:pt idx="7">
                  <c:v>6.5705482072584172</c:v>
                </c:pt>
                <c:pt idx="8">
                  <c:v>6.1392882492936769</c:v>
                </c:pt>
                <c:pt idx="9">
                  <c:v>6.0482481494536486</c:v>
                </c:pt>
                <c:pt idx="10">
                  <c:v>6.9049731284535616</c:v>
                </c:pt>
                <c:pt idx="11">
                  <c:v>7.0489614480564127</c:v>
                </c:pt>
                <c:pt idx="12">
                  <c:v>6.4214324031645127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03E-4616-9362-2560F4AA81A5}"/>
            </c:ext>
          </c:extLst>
        </c:ser>
        <c:ser>
          <c:idx val="0"/>
          <c:order val="2"/>
          <c:tx>
            <c:strRef>
              <c:f>'EM evol menusual lugar resd'!$K$7:$L$7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03E-4616-9362-2560F4AA81A5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resd'!$K$9:$K$21</c:f>
              <c:numCache>
                <c:formatCode>0.00</c:formatCode>
                <c:ptCount val="13"/>
                <c:pt idx="0">
                  <c:v>7.4799863525689734</c:v>
                </c:pt>
                <c:pt idx="1">
                  <c:v>7.130149994765886</c:v>
                </c:pt>
                <c:pt idx="2">
                  <c:v>6.5438265292744955</c:v>
                </c:pt>
                <c:pt idx="3">
                  <c:v>6.1835149147193631</c:v>
                </c:pt>
                <c:pt idx="4">
                  <c:v>5.2644131577239994</c:v>
                </c:pt>
                <c:pt idx="5">
                  <c:v>5.5214346527886038</c:v>
                </c:pt>
                <c:pt idx="6">
                  <c:v>5.9086820362473347</c:v>
                </c:pt>
                <c:pt idx="7">
                  <c:v>6.1984073500011228</c:v>
                </c:pt>
                <c:pt idx="8">
                  <c:v>6.305475355743452</c:v>
                </c:pt>
                <c:pt idx="9">
                  <c:v>5.9983995699607835</c:v>
                </c:pt>
                <c:pt idx="10">
                  <c:v>6.5895340110527396</c:v>
                </c:pt>
                <c:pt idx="11">
                  <c:v>6.903225806451613</c:v>
                </c:pt>
                <c:pt idx="12">
                  <c:v>6.2905465704823937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03E-4616-9362-2560F4AA81A5}"/>
            </c:ext>
          </c:extLst>
        </c:ser>
        <c:ser>
          <c:idx val="1"/>
          <c:order val="3"/>
          <c:tx>
            <c:strRef>
              <c:f>'EM evol menusual lugar resd'!$M$7:$N$7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03E-4616-9362-2560F4AA81A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403E-4616-9362-2560F4AA81A5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resd'!$M$9:$M$21</c:f>
              <c:numCache>
                <c:formatCode>0.00</c:formatCode>
                <c:ptCount val="13"/>
                <c:pt idx="0">
                  <c:v>7.5668246445497633</c:v>
                </c:pt>
                <c:pt idx="12">
                  <c:v>7.5668246445497633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03E-4616-9362-2560F4AA81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403E-4616-9362-2560F4AA81A5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resd'!$C$9:$C$21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8.049077653275921</c:v>
                      </c:pt>
                      <c:pt idx="1">
                        <c:v>7.4743507451034814</c:v>
                      </c:pt>
                      <c:pt idx="2">
                        <c:v>9.3527138440398492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5.3355448053443908</c:v>
                      </c:pt>
                      <c:pt idx="8">
                        <c:v>4.5957519503445132</c:v>
                      </c:pt>
                      <c:pt idx="9">
                        <c:v>3.774981495188749</c:v>
                      </c:pt>
                      <c:pt idx="10">
                        <c:v>5.968881685575365</c:v>
                      </c:pt>
                      <c:pt idx="11">
                        <c:v>5.0320915619389588</c:v>
                      </c:pt>
                      <c:pt idx="12">
                        <c:v>6.8485442911860428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403E-4616-9362-2560F4AA81A5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resd'!$N$8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03E-4616-9362-2560F4AA81A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03E-4616-9362-2560F4AA81A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03E-4616-9362-2560F4AA81A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03E-4616-9362-2560F4AA81A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03E-4616-9362-2560F4AA81A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03E-4616-9362-2560F4AA81A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03E-4616-9362-2560F4AA81A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03E-4616-9362-2560F4AA81A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03E-4616-9362-2560F4AA81A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03E-4616-9362-2560F4AA81A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03E-4616-9362-2560F4AA81A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03E-4616-9362-2560F4AA81A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03E-4616-9362-2560F4AA81A5}"/>
              </c:ext>
            </c:extLst>
          </c:dPt>
          <c:cat>
            <c:strRef>
              <c:f>'EM evol menusual lugar resd'!$B$9:$B$20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resd'!$N$9:$N$21</c:f>
              <c:numCache>
                <c:formatCode>0.00</c:formatCode>
                <c:ptCount val="13"/>
                <c:pt idx="0">
                  <c:v>8.6838291980789961E-2</c:v>
                </c:pt>
                <c:pt idx="12">
                  <c:v>8.6838291980789961E-2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403E-4616-9362-2560F4AA81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739-4A99-A58F-577D7D1E6A53}"/>
              </c:ext>
            </c:extLst>
          </c:dPt>
          <c:val>
            <c:numRef>
              <c:f>'EM evol menusual lugar resd'!$I$31:$I$43</c:f>
              <c:numCache>
                <c:formatCode>0.00</c:formatCode>
                <c:ptCount val="13"/>
                <c:pt idx="0">
                  <c:v>5.7280874899973329</c:v>
                </c:pt>
                <c:pt idx="1">
                  <c:v>5.1648424179088055</c:v>
                </c:pt>
                <c:pt idx="2">
                  <c:v>4.8057324840764331</c:v>
                </c:pt>
                <c:pt idx="3">
                  <c:v>4.627993543499028</c:v>
                </c:pt>
                <c:pt idx="4">
                  <c:v>4.7284747061829329</c:v>
                </c:pt>
                <c:pt idx="5">
                  <c:v>4.4609144365774629</c:v>
                </c:pt>
                <c:pt idx="6">
                  <c:v>4.9790247888858623</c:v>
                </c:pt>
                <c:pt idx="7">
                  <c:v>5.4587207891970566</c:v>
                </c:pt>
                <c:pt idx="8">
                  <c:v>4.589631135637525</c:v>
                </c:pt>
                <c:pt idx="9">
                  <c:v>4.3497144962239824</c:v>
                </c:pt>
                <c:pt idx="10">
                  <c:v>4.389671618880544</c:v>
                </c:pt>
                <c:pt idx="11">
                  <c:v>4.4141855027279817</c:v>
                </c:pt>
                <c:pt idx="12">
                  <c:v>4.7996420246663725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739-4A99-A58F-577D7D1E6A53}"/>
            </c:ext>
          </c:extLst>
        </c:ser>
        <c:ser>
          <c:idx val="0"/>
          <c:order val="2"/>
          <c:tx>
            <c:strRef>
              <c:f>'EM evol menusual lugar resd'!$K$29:$L$29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739-4A99-A58F-577D7D1E6A53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resd'!$K$31:$K$43</c:f>
              <c:numCache>
                <c:formatCode>0.00</c:formatCode>
                <c:ptCount val="13"/>
                <c:pt idx="0">
                  <c:v>4.8973180522427135</c:v>
                </c:pt>
                <c:pt idx="1">
                  <c:v>4.4075798940099569</c:v>
                </c:pt>
                <c:pt idx="2">
                  <c:v>4.4979477983662086</c:v>
                </c:pt>
                <c:pt idx="3">
                  <c:v>4.3052337329920514</c:v>
                </c:pt>
                <c:pt idx="4">
                  <c:v>3.8798555087296811</c:v>
                </c:pt>
                <c:pt idx="5">
                  <c:v>4.1407330029115643</c:v>
                </c:pt>
                <c:pt idx="6">
                  <c:v>4.4755482786849932</c:v>
                </c:pt>
                <c:pt idx="7">
                  <c:v>4.8243098561981732</c:v>
                </c:pt>
                <c:pt idx="8">
                  <c:v>4.6177703269069577</c:v>
                </c:pt>
                <c:pt idx="9">
                  <c:v>4.2488214401033257</c:v>
                </c:pt>
                <c:pt idx="10">
                  <c:v>4.2966355962715523</c:v>
                </c:pt>
                <c:pt idx="11">
                  <c:v>4.3754952311078501</c:v>
                </c:pt>
                <c:pt idx="12">
                  <c:v>4.3962227623176195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739-4A99-A58F-577D7D1E6A53}"/>
            </c:ext>
          </c:extLst>
        </c:ser>
        <c:ser>
          <c:idx val="1"/>
          <c:order val="3"/>
          <c:tx>
            <c:strRef>
              <c:f>'EM evol menusual lugar resd'!$M$29:$N$29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739-4A99-A58F-577D7D1E6A5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5739-4A99-A58F-577D7D1E6A53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resd'!$M$31:$M$43</c:f>
              <c:numCache>
                <c:formatCode>0.00</c:formatCode>
                <c:ptCount val="13"/>
                <c:pt idx="0">
                  <c:v>4.7021208053691277</c:v>
                </c:pt>
                <c:pt idx="12">
                  <c:v>4.7021208053691277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739-4A99-A58F-577D7D1E6A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5739-4A99-A58F-577D7D1E6A53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resd'!$C$31:$C$43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5.4739395758303324</c:v>
                      </c:pt>
                      <c:pt idx="1">
                        <c:v>5.024451507074021</c:v>
                      </c:pt>
                      <c:pt idx="2">
                        <c:v>5.9779100529100528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4.5545680033071516</c:v>
                      </c:pt>
                      <c:pt idx="8">
                        <c:v>3.8732029049948125</c:v>
                      </c:pt>
                      <c:pt idx="9">
                        <c:v>3.3712446351931331</c:v>
                      </c:pt>
                      <c:pt idx="10">
                        <c:v>4.3412578994884141</c:v>
                      </c:pt>
                      <c:pt idx="11">
                        <c:v>2.8936170212765959</c:v>
                      </c:pt>
                      <c:pt idx="12">
                        <c:v>4.5783308931185944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5739-4A99-A58F-577D7D1E6A53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resd'!$N$30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739-4A99-A58F-577D7D1E6A5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739-4A99-A58F-577D7D1E6A5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739-4A99-A58F-577D7D1E6A5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739-4A99-A58F-577D7D1E6A5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739-4A99-A58F-577D7D1E6A5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739-4A99-A58F-577D7D1E6A5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739-4A99-A58F-577D7D1E6A5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739-4A99-A58F-577D7D1E6A5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739-4A99-A58F-577D7D1E6A5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739-4A99-A58F-577D7D1E6A5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739-4A99-A58F-577D7D1E6A5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739-4A99-A58F-577D7D1E6A5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739-4A99-A58F-577D7D1E6A53}"/>
              </c:ext>
            </c:extLst>
          </c:dPt>
          <c:cat>
            <c:strRef>
              <c:f>'EM evol menusual lugar resd'!$B$31:$B$42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resd'!$N$31:$N$43</c:f>
              <c:numCache>
                <c:formatCode>0.00</c:formatCode>
                <c:ptCount val="13"/>
                <c:pt idx="0">
                  <c:v>-0.19519724687358586</c:v>
                </c:pt>
                <c:pt idx="12">
                  <c:v>-0.19519724687358586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5739-4A99-A58F-577D7D1E6A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E42-4C2E-946E-62EBA28DB37F}"/>
              </c:ext>
            </c:extLst>
          </c:dPt>
          <c:val>
            <c:numRef>
              <c:f>'EM evol menusual lugar resd'!$I$53:$I$65</c:f>
              <c:numCache>
                <c:formatCode>0.00</c:formatCode>
                <c:ptCount val="13"/>
                <c:pt idx="0">
                  <c:v>6.2374595201903373</c:v>
                </c:pt>
                <c:pt idx="1">
                  <c:v>5.6372102238953836</c:v>
                </c:pt>
                <c:pt idx="2">
                  <c:v>5.3723351015914327</c:v>
                </c:pt>
                <c:pt idx="3">
                  <c:v>5.3310610690611631</c:v>
                </c:pt>
                <c:pt idx="4">
                  <c:v>5.4834025823169368</c:v>
                </c:pt>
                <c:pt idx="5">
                  <c:v>5.2554716587215982</c:v>
                </c:pt>
                <c:pt idx="6">
                  <c:v>5.9278456402919923</c:v>
                </c:pt>
                <c:pt idx="7">
                  <c:v>6.3328700238782565</c:v>
                </c:pt>
                <c:pt idx="8">
                  <c:v>5.4833519745332531</c:v>
                </c:pt>
                <c:pt idx="9">
                  <c:v>5.0361657474742545</c:v>
                </c:pt>
                <c:pt idx="10">
                  <c:v>5.0292923433874712</c:v>
                </c:pt>
                <c:pt idx="11">
                  <c:v>5.014239843640933</c:v>
                </c:pt>
                <c:pt idx="12">
                  <c:v>5.5455688095428712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E42-4C2E-946E-62EBA28DB37F}"/>
            </c:ext>
          </c:extLst>
        </c:ser>
        <c:ser>
          <c:idx val="0"/>
          <c:order val="2"/>
          <c:tx>
            <c:strRef>
              <c:f>'EM evol menusual lugar resd'!$K$51:$L$51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E42-4C2E-946E-62EBA28DB37F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resd'!$K$53:$K$65</c:f>
              <c:numCache>
                <c:formatCode>0.00</c:formatCode>
                <c:ptCount val="13"/>
                <c:pt idx="0">
                  <c:v>5.4880858109567345</c:v>
                </c:pt>
                <c:pt idx="1">
                  <c:v>4.8943406194281183</c:v>
                </c:pt>
                <c:pt idx="2">
                  <c:v>5.1427301720081564</c:v>
                </c:pt>
                <c:pt idx="3">
                  <c:v>5.0093518219929054</c:v>
                </c:pt>
                <c:pt idx="4">
                  <c:v>4.6308490942752387</c:v>
                </c:pt>
                <c:pt idx="5">
                  <c:v>4.9124615540609051</c:v>
                </c:pt>
                <c:pt idx="6">
                  <c:v>5.2138678430996448</c:v>
                </c:pt>
                <c:pt idx="7">
                  <c:v>5.4583598772224473</c:v>
                </c:pt>
                <c:pt idx="8">
                  <c:v>5.1576278825208446</c:v>
                </c:pt>
                <c:pt idx="9">
                  <c:v>4.7908964073944889</c:v>
                </c:pt>
                <c:pt idx="10">
                  <c:v>4.8597580732260504</c:v>
                </c:pt>
                <c:pt idx="11">
                  <c:v>4.9085414452709886</c:v>
                </c:pt>
                <c:pt idx="12">
                  <c:v>5.0481966131913767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E42-4C2E-946E-62EBA28DB37F}"/>
            </c:ext>
          </c:extLst>
        </c:ser>
        <c:ser>
          <c:idx val="1"/>
          <c:order val="3"/>
          <c:tx>
            <c:strRef>
              <c:f>'EM evol menusual lugar resd'!$M$51:$N$51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E42-4C2E-946E-62EBA28DB37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7E42-4C2E-946E-62EBA28DB37F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resd'!$M$53:$M$65</c:f>
              <c:numCache>
                <c:formatCode>0.00</c:formatCode>
                <c:ptCount val="13"/>
                <c:pt idx="0">
                  <c:v>5.2001080205238992</c:v>
                </c:pt>
                <c:pt idx="12">
                  <c:v>5.2001080205238992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E42-4C2E-946E-62EBA28DB3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7E42-4C2E-946E-62EBA28DB37F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resd'!$C$53:$C$65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6.1083348531825639</c:v>
                      </c:pt>
                      <c:pt idx="1">
                        <c:v>5.8070107610026422</c:v>
                      </c:pt>
                      <c:pt idx="2">
                        <c:v>6.3170347003154577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5.2078397380333241</c:v>
                      </c:pt>
                      <c:pt idx="8">
                        <c:v>4.3924625098658252</c:v>
                      </c:pt>
                      <c:pt idx="9">
                        <c:v>4.20913576317046</c:v>
                      </c:pt>
                      <c:pt idx="10">
                        <c:v>6.0644346178142765</c:v>
                      </c:pt>
                      <c:pt idx="11">
                        <c:v>3.5715015321756893</c:v>
                      </c:pt>
                      <c:pt idx="12">
                        <c:v>5.355219012738428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7E42-4C2E-946E-62EBA28DB37F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resd'!$N$52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E42-4C2E-946E-62EBA28DB37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E42-4C2E-946E-62EBA28DB37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E42-4C2E-946E-62EBA28DB37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E42-4C2E-946E-62EBA28DB37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E42-4C2E-946E-62EBA28DB37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E42-4C2E-946E-62EBA28DB37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E42-4C2E-946E-62EBA28DB37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E42-4C2E-946E-62EBA28DB37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E42-4C2E-946E-62EBA28DB37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E42-4C2E-946E-62EBA28DB37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E42-4C2E-946E-62EBA28DB37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E42-4C2E-946E-62EBA28DB37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E42-4C2E-946E-62EBA28DB37F}"/>
              </c:ext>
            </c:extLst>
          </c:dPt>
          <c:cat>
            <c:strRef>
              <c:f>'EM evol menusual lugar resd'!$B$53:$B$64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resd'!$N$53:$N$65</c:f>
              <c:numCache>
                <c:formatCode>0.00</c:formatCode>
                <c:ptCount val="13"/>
                <c:pt idx="0">
                  <c:v>-0.28797779043283533</c:v>
                </c:pt>
                <c:pt idx="12">
                  <c:v>-0.28797779043283533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7E42-4C2E-946E-62EBA28DB3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73B-4396-881D-733406054C43}"/>
              </c:ext>
            </c:extLst>
          </c:dPt>
          <c:val>
            <c:numRef>
              <c:f>'EM evol menusual lugar resd'!$I$75:$I$87</c:f>
              <c:numCache>
                <c:formatCode>0.00</c:formatCode>
                <c:ptCount val="13"/>
                <c:pt idx="0">
                  <c:v>3.5954620918649693</c:v>
                </c:pt>
                <c:pt idx="1">
                  <c:v>2.8121710526315788</c:v>
                </c:pt>
                <c:pt idx="2">
                  <c:v>2.6021798365122617</c:v>
                </c:pt>
                <c:pt idx="3">
                  <c:v>2.982060312568787</c:v>
                </c:pt>
                <c:pt idx="4">
                  <c:v>2.8360398700862359</c:v>
                </c:pt>
                <c:pt idx="5">
                  <c:v>2.6943369952034657</c:v>
                </c:pt>
                <c:pt idx="6">
                  <c:v>3.0075457317073169</c:v>
                </c:pt>
                <c:pt idx="7">
                  <c:v>2.7460738774607387</c:v>
                </c:pt>
                <c:pt idx="8">
                  <c:v>2.7320278969957084</c:v>
                </c:pt>
                <c:pt idx="9">
                  <c:v>2.2366286057692308</c:v>
                </c:pt>
                <c:pt idx="10">
                  <c:v>2.4068329961789168</c:v>
                </c:pt>
                <c:pt idx="11">
                  <c:v>2.6665989022158976</c:v>
                </c:pt>
                <c:pt idx="12">
                  <c:v>2.7763916484805056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73B-4396-881D-733406054C43}"/>
            </c:ext>
          </c:extLst>
        </c:ser>
        <c:ser>
          <c:idx val="0"/>
          <c:order val="2"/>
          <c:tx>
            <c:strRef>
              <c:f>'EM evol menusual lugar resd'!$K$73:$L$73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73B-4396-881D-733406054C43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resd'!$K$75:$K$87</c:f>
              <c:numCache>
                <c:formatCode>0.00</c:formatCode>
                <c:ptCount val="13"/>
                <c:pt idx="0">
                  <c:v>2.4090357792601576</c:v>
                </c:pt>
                <c:pt idx="1">
                  <c:v>2.3241944601469755</c:v>
                </c:pt>
                <c:pt idx="2">
                  <c:v>2.4314678284182305</c:v>
                </c:pt>
                <c:pt idx="3">
                  <c:v>2.3911083281152159</c:v>
                </c:pt>
                <c:pt idx="4">
                  <c:v>2.3998426098154244</c:v>
                </c:pt>
                <c:pt idx="5">
                  <c:v>2.658639491107361</c:v>
                </c:pt>
                <c:pt idx="6">
                  <c:v>2.9497919006408138</c:v>
                </c:pt>
                <c:pt idx="7">
                  <c:v>3.1529654224868331</c:v>
                </c:pt>
                <c:pt idx="8">
                  <c:v>2.8144523899134364</c:v>
                </c:pt>
                <c:pt idx="9">
                  <c:v>2.7012696041822255</c:v>
                </c:pt>
                <c:pt idx="10">
                  <c:v>2.6871430776354375</c:v>
                </c:pt>
                <c:pt idx="11">
                  <c:v>2.8862497680460195</c:v>
                </c:pt>
                <c:pt idx="12">
                  <c:v>2.7034548944337811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73B-4396-881D-733406054C43}"/>
            </c:ext>
          </c:extLst>
        </c:ser>
        <c:ser>
          <c:idx val="1"/>
          <c:order val="3"/>
          <c:tx>
            <c:strRef>
              <c:f>'EM evol menusual lugar resd'!$M$73:$N$73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73B-4396-881D-733406054C4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973B-4396-881D-733406054C43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resd'!$M$75:$M$87</c:f>
              <c:numCache>
                <c:formatCode>0.00</c:formatCode>
                <c:ptCount val="13"/>
                <c:pt idx="0">
                  <c:v>2.7676370312090217</c:v>
                </c:pt>
                <c:pt idx="12">
                  <c:v>2.7676370312090217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73B-4396-881D-733406054C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resd'!$C$73:$D$73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973B-4396-881D-733406054C43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resd'!$C$75:$C$87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2.528648038385549</c:v>
                      </c:pt>
                      <c:pt idx="1">
                        <c:v>1.9799448483329156</c:v>
                      </c:pt>
                      <c:pt idx="2">
                        <c:v>4.2155737704918037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2.9126119583635925</c:v>
                      </c:pt>
                      <c:pt idx="8">
                        <c:v>2.3058368076235856</c:v>
                      </c:pt>
                      <c:pt idx="9">
                        <c:v>2.1842164599774523</c:v>
                      </c:pt>
                      <c:pt idx="10">
                        <c:v>2.7735632183908048</c:v>
                      </c:pt>
                      <c:pt idx="11">
                        <c:v>2.4477662075915352</c:v>
                      </c:pt>
                      <c:pt idx="12">
                        <c:v>2.5260240112994352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973B-4396-881D-733406054C43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resd'!$N$74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73B-4396-881D-733406054C4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73B-4396-881D-733406054C4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73B-4396-881D-733406054C4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73B-4396-881D-733406054C4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73B-4396-881D-733406054C4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73B-4396-881D-733406054C4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73B-4396-881D-733406054C4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73B-4396-881D-733406054C4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73B-4396-881D-733406054C4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73B-4396-881D-733406054C4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73B-4396-881D-733406054C4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73B-4396-881D-733406054C4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73B-4396-881D-733406054C43}"/>
              </c:ext>
            </c:extLst>
          </c:dPt>
          <c:cat>
            <c:strRef>
              <c:f>'EM evol menusual lugar resd'!$B$75:$B$86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resd'!$N$75:$N$87</c:f>
              <c:numCache>
                <c:formatCode>0.00</c:formatCode>
                <c:ptCount val="13"/>
                <c:pt idx="0">
                  <c:v>0.35860125194886416</c:v>
                </c:pt>
                <c:pt idx="12">
                  <c:v>0.35860125194886416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973B-4396-881D-733406054C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resd'!$I$95:$J$95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F96-465B-A03E-654EE3373504}"/>
              </c:ext>
            </c:extLst>
          </c:dPt>
          <c:val>
            <c:numRef>
              <c:f>'EM evol menusual lugar resd'!$I$97:$I$109</c:f>
              <c:numCache>
                <c:formatCode>0.00</c:formatCode>
                <c:ptCount val="13"/>
                <c:pt idx="0">
                  <c:v>8.5206927412137485</c:v>
                </c:pt>
                <c:pt idx="1">
                  <c:v>8.0176301452784511</c:v>
                </c:pt>
                <c:pt idx="2">
                  <c:v>7.6281529895908982</c:v>
                </c:pt>
                <c:pt idx="3">
                  <c:v>6.86671840418499</c:v>
                </c:pt>
                <c:pt idx="4">
                  <c:v>7.1880833271111779</c:v>
                </c:pt>
                <c:pt idx="5">
                  <c:v>7.0050877724990732</c:v>
                </c:pt>
                <c:pt idx="6">
                  <c:v>7.4568813279962329</c:v>
                </c:pt>
                <c:pt idx="7">
                  <c:v>7.7137433140259954</c:v>
                </c:pt>
                <c:pt idx="8">
                  <c:v>7.5650837764891374</c:v>
                </c:pt>
                <c:pt idx="9">
                  <c:v>7.1013933302878023</c:v>
                </c:pt>
                <c:pt idx="10">
                  <c:v>7.8645584975111893</c:v>
                </c:pt>
                <c:pt idx="11">
                  <c:v>8.2201690765464033</c:v>
                </c:pt>
                <c:pt idx="12">
                  <c:v>7.6377013763228598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F96-465B-A03E-654EE3373504}"/>
            </c:ext>
          </c:extLst>
        </c:ser>
        <c:ser>
          <c:idx val="0"/>
          <c:order val="2"/>
          <c:tx>
            <c:strRef>
              <c:f>'EM evol menusual lugar resd'!$K$95:$L$95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F96-465B-A03E-654EE3373504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resd'!$K$97:$K$109</c:f>
              <c:numCache>
                <c:formatCode>0.00</c:formatCode>
                <c:ptCount val="13"/>
                <c:pt idx="0">
                  <c:v>8.4186966083058437</c:v>
                </c:pt>
                <c:pt idx="1">
                  <c:v>8.1856063750311279</c:v>
                </c:pt>
                <c:pt idx="2">
                  <c:v>7.5469198757399916</c:v>
                </c:pt>
                <c:pt idx="3">
                  <c:v>7.6968225110574444</c:v>
                </c:pt>
                <c:pt idx="4">
                  <c:v>6.8821328081035453</c:v>
                </c:pt>
                <c:pt idx="5">
                  <c:v>7.1391927083333337</c:v>
                </c:pt>
                <c:pt idx="6">
                  <c:v>7.4333944533577814</c:v>
                </c:pt>
                <c:pt idx="7">
                  <c:v>7.7794874272325423</c:v>
                </c:pt>
                <c:pt idx="8">
                  <c:v>7.6637820736501734</c:v>
                </c:pt>
                <c:pt idx="9">
                  <c:v>7.0632824322465266</c:v>
                </c:pt>
                <c:pt idx="10">
                  <c:v>7.7764869118621602</c:v>
                </c:pt>
                <c:pt idx="11">
                  <c:v>7.9917642598365486</c:v>
                </c:pt>
                <c:pt idx="12">
                  <c:v>7.6512960446817351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F96-465B-A03E-654EE3373504}"/>
            </c:ext>
          </c:extLst>
        </c:ser>
        <c:ser>
          <c:idx val="1"/>
          <c:order val="3"/>
          <c:tx>
            <c:strRef>
              <c:f>'EM evol menusual lugar resd'!$M$95:$N$95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F96-465B-A03E-654EE337350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0F96-465B-A03E-654EE3373504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resd'!$M$97:$M$109</c:f>
              <c:numCache>
                <c:formatCode>0.00</c:formatCode>
                <c:ptCount val="13"/>
                <c:pt idx="0">
                  <c:v>8.7072565993373949</c:v>
                </c:pt>
                <c:pt idx="12">
                  <c:v>8.7072565993373949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F96-465B-A03E-654EE33735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resd'!$C$95:$D$95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0F96-465B-A03E-654EE3373504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resd'!$C$97:$C$109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9.2950458626781867</c:v>
                      </c:pt>
                      <c:pt idx="1">
                        <c:v>8.7275993182116167</c:v>
                      </c:pt>
                      <c:pt idx="2">
                        <c:v>10.97488555442523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6.9118342372409955</c:v>
                      </c:pt>
                      <c:pt idx="8">
                        <c:v>6.9931153184165229</c:v>
                      </c:pt>
                      <c:pt idx="9">
                        <c:v>4.8194545015689112</c:v>
                      </c:pt>
                      <c:pt idx="10">
                        <c:v>7.8686336494555675</c:v>
                      </c:pt>
                      <c:pt idx="11">
                        <c:v>7.6856927332159923</c:v>
                      </c:pt>
                      <c:pt idx="12">
                        <c:v>8.7566950823947458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0F96-465B-A03E-654EE3373504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resd'!$N$96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F96-465B-A03E-654EE337350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F96-465B-A03E-654EE337350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F96-465B-A03E-654EE337350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F96-465B-A03E-654EE337350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F96-465B-A03E-654EE337350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F96-465B-A03E-654EE337350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F96-465B-A03E-654EE337350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F96-465B-A03E-654EE337350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F96-465B-A03E-654EE337350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F96-465B-A03E-654EE337350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F96-465B-A03E-654EE337350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F96-465B-A03E-654EE337350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F96-465B-A03E-654EE3373504}"/>
              </c:ext>
            </c:extLst>
          </c:dPt>
          <c:cat>
            <c:strRef>
              <c:f>'EM evol menusual lugar resd'!$B$97:$B$108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resd'!$N$97:$N$109</c:f>
              <c:numCache>
                <c:formatCode>0.00</c:formatCode>
                <c:ptCount val="13"/>
                <c:pt idx="0">
                  <c:v>0.28855999103155128</c:v>
                </c:pt>
                <c:pt idx="12">
                  <c:v>0.28855999103155128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0F96-465B-A03E-654EE33735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resd'!$I$117:$J$117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BCA-4454-B9A9-7A0430133E08}"/>
              </c:ext>
            </c:extLst>
          </c:dPt>
          <c:val>
            <c:numRef>
              <c:f>'EM evol menusual lugar resd'!$I$119:$I$131</c:f>
              <c:numCache>
                <c:formatCode>0.00</c:formatCode>
                <c:ptCount val="13"/>
                <c:pt idx="0">
                  <c:v>7.4245295975827492</c:v>
                </c:pt>
                <c:pt idx="1">
                  <c:v>6.6255956432947585</c:v>
                </c:pt>
                <c:pt idx="2">
                  <c:v>6.6871994801819366</c:v>
                </c:pt>
                <c:pt idx="3">
                  <c:v>6.5770206022187008</c:v>
                </c:pt>
                <c:pt idx="4">
                  <c:v>6.697749196141479</c:v>
                </c:pt>
                <c:pt idx="5">
                  <c:v>6.8809303758471962</c:v>
                </c:pt>
                <c:pt idx="6">
                  <c:v>7.4940490648530487</c:v>
                </c:pt>
                <c:pt idx="7">
                  <c:v>7.5153215849141315</c:v>
                </c:pt>
                <c:pt idx="8">
                  <c:v>7.4808184143222505</c:v>
                </c:pt>
                <c:pt idx="9">
                  <c:v>6.9262397991211548</c:v>
                </c:pt>
                <c:pt idx="10">
                  <c:v>6.9560150805438132</c:v>
                </c:pt>
                <c:pt idx="11">
                  <c:v>7.5589687989398868</c:v>
                </c:pt>
                <c:pt idx="12">
                  <c:v>7.1014383123801403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BCA-4454-B9A9-7A0430133E08}"/>
            </c:ext>
          </c:extLst>
        </c:ser>
        <c:ser>
          <c:idx val="0"/>
          <c:order val="2"/>
          <c:tx>
            <c:strRef>
              <c:f>'EM evol menusual lugar resd'!$K$117:$L$117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BCA-4454-B9A9-7A0430133E08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resd'!$K$119:$K$131</c:f>
              <c:numCache>
                <c:formatCode>0.00</c:formatCode>
                <c:ptCount val="13"/>
                <c:pt idx="0">
                  <c:v>7.6996077576814121</c:v>
                </c:pt>
                <c:pt idx="1">
                  <c:v>7.0288492360294903</c:v>
                </c:pt>
                <c:pt idx="2">
                  <c:v>6.9662029881504379</c:v>
                </c:pt>
                <c:pt idx="3">
                  <c:v>7.1351310407514017</c:v>
                </c:pt>
                <c:pt idx="4">
                  <c:v>6.6414432121297207</c:v>
                </c:pt>
                <c:pt idx="5">
                  <c:v>6.686951631046119</c:v>
                </c:pt>
                <c:pt idx="6">
                  <c:v>7.0650243483242621</c:v>
                </c:pt>
                <c:pt idx="7">
                  <c:v>7.5282225780624499</c:v>
                </c:pt>
                <c:pt idx="8">
                  <c:v>7.3459357277882802</c:v>
                </c:pt>
                <c:pt idx="9">
                  <c:v>6.9094631059830647</c:v>
                </c:pt>
                <c:pt idx="10">
                  <c:v>6.8750572082379859</c:v>
                </c:pt>
                <c:pt idx="11">
                  <c:v>7.5490196078431371</c:v>
                </c:pt>
                <c:pt idx="12">
                  <c:v>7.1302838287418524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BCA-4454-B9A9-7A0430133E08}"/>
            </c:ext>
          </c:extLst>
        </c:ser>
        <c:ser>
          <c:idx val="1"/>
          <c:order val="3"/>
          <c:tx>
            <c:strRef>
              <c:f>'EM evol menusual lugar resd'!$M$117:$N$117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BCA-4454-B9A9-7A0430133E0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3BCA-4454-B9A9-7A0430133E08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resd'!$M$119:$M$131</c:f>
              <c:numCache>
                <c:formatCode>0.00</c:formatCode>
                <c:ptCount val="13"/>
                <c:pt idx="0">
                  <c:v>7.7130570758405002</c:v>
                </c:pt>
                <c:pt idx="12">
                  <c:v>7.7130570758405002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BCA-4454-B9A9-7A0430133E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resd'!$C$117:$D$117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3BCA-4454-B9A9-7A0430133E08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resd'!$C$119:$C$131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7.9339108565041219</c:v>
                      </c:pt>
                      <c:pt idx="1">
                        <c:v>7.1286418646346927</c:v>
                      </c:pt>
                      <c:pt idx="2">
                        <c:v>9.3786440677966105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6.3769470404984423</c:v>
                      </c:pt>
                      <c:pt idx="8">
                        <c:v>6.0221914008321775</c:v>
                      </c:pt>
                      <c:pt idx="9">
                        <c:v>4.5007385524372232</c:v>
                      </c:pt>
                      <c:pt idx="10">
                        <c:v>9.5982905982905979</c:v>
                      </c:pt>
                      <c:pt idx="11">
                        <c:v>9.3348281016442449</c:v>
                      </c:pt>
                      <c:pt idx="12">
                        <c:v>7.6447121695105942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3BCA-4454-B9A9-7A0430133E08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resd'!$N$118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BCA-4454-B9A9-7A0430133E0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BCA-4454-B9A9-7A0430133E0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BCA-4454-B9A9-7A0430133E0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BCA-4454-B9A9-7A0430133E0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BCA-4454-B9A9-7A0430133E0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BCA-4454-B9A9-7A0430133E0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BCA-4454-B9A9-7A0430133E0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BCA-4454-B9A9-7A0430133E0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BCA-4454-B9A9-7A0430133E0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BCA-4454-B9A9-7A0430133E0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BCA-4454-B9A9-7A0430133E0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BCA-4454-B9A9-7A0430133E0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BCA-4454-B9A9-7A0430133E08}"/>
              </c:ext>
            </c:extLst>
          </c:dPt>
          <c:cat>
            <c:strRef>
              <c:f>'EM evol menusual lugar resd'!$B$119:$B$130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resd'!$N$119:$N$131</c:f>
              <c:numCache>
                <c:formatCode>0.00</c:formatCode>
                <c:ptCount val="13"/>
                <c:pt idx="0">
                  <c:v>1.3449318159088008E-2</c:v>
                </c:pt>
                <c:pt idx="12">
                  <c:v>1.3449318159088008E-2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3BCA-4454-B9A9-7A0430133E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TF'!$I$95:$J$95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0D5-4960-9935-4927042DBCF7}"/>
              </c:ext>
            </c:extLst>
          </c:dPt>
          <c:val>
            <c:numRef>
              <c:f>'Viajeros entr evol mensu TF'!$I$97:$I$109</c:f>
              <c:numCache>
                <c:formatCode>#,##0</c:formatCode>
                <c:ptCount val="13"/>
                <c:pt idx="0">
                  <c:v>41343</c:v>
                </c:pt>
                <c:pt idx="1">
                  <c:v>39648</c:v>
                </c:pt>
                <c:pt idx="2">
                  <c:v>41310</c:v>
                </c:pt>
                <c:pt idx="3">
                  <c:v>34791</c:v>
                </c:pt>
                <c:pt idx="4">
                  <c:v>26786</c:v>
                </c:pt>
                <c:pt idx="5">
                  <c:v>29679</c:v>
                </c:pt>
                <c:pt idx="6">
                  <c:v>33976</c:v>
                </c:pt>
                <c:pt idx="7">
                  <c:v>36083</c:v>
                </c:pt>
                <c:pt idx="8">
                  <c:v>37421</c:v>
                </c:pt>
                <c:pt idx="9">
                  <c:v>43780</c:v>
                </c:pt>
                <c:pt idx="10">
                  <c:v>47814</c:v>
                </c:pt>
                <c:pt idx="11">
                  <c:v>43294</c:v>
                </c:pt>
                <c:pt idx="12">
                  <c:v>455925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0D5-4960-9935-4927042DBCF7}"/>
            </c:ext>
          </c:extLst>
        </c:ser>
        <c:ser>
          <c:idx val="0"/>
          <c:order val="2"/>
          <c:tx>
            <c:strRef>
              <c:f>'Viajeros entr evol mensu TF'!$K$95:$L$95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0D5-4960-9935-4927042DBCF7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TF'!$K$97:$K$109</c:f>
              <c:numCache>
                <c:formatCode>#,##0</c:formatCode>
                <c:ptCount val="13"/>
                <c:pt idx="0">
                  <c:v>47292</c:v>
                </c:pt>
                <c:pt idx="1">
                  <c:v>48188</c:v>
                </c:pt>
                <c:pt idx="2">
                  <c:v>51183</c:v>
                </c:pt>
                <c:pt idx="3">
                  <c:v>36853</c:v>
                </c:pt>
                <c:pt idx="4">
                  <c:v>35540</c:v>
                </c:pt>
                <c:pt idx="5">
                  <c:v>38400</c:v>
                </c:pt>
                <c:pt idx="6">
                  <c:v>43630</c:v>
                </c:pt>
                <c:pt idx="7">
                  <c:v>41399</c:v>
                </c:pt>
                <c:pt idx="8">
                  <c:v>42987</c:v>
                </c:pt>
                <c:pt idx="9">
                  <c:v>50883</c:v>
                </c:pt>
                <c:pt idx="10">
                  <c:v>48288</c:v>
                </c:pt>
                <c:pt idx="11">
                  <c:v>47476</c:v>
                </c:pt>
                <c:pt idx="12">
                  <c:v>532119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0D5-4960-9935-4927042DBCF7}"/>
            </c:ext>
          </c:extLst>
        </c:ser>
        <c:ser>
          <c:idx val="1"/>
          <c:order val="3"/>
          <c:tx>
            <c:strRef>
              <c:f>'Viajeros entr evol mensu TF'!$M$95:$N$95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20D5-4960-9935-4927042DBCF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20D5-4960-9935-4927042DBCF7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TF'!$M$97:$M$109</c:f>
              <c:numCache>
                <c:formatCode>#,##0</c:formatCode>
                <c:ptCount val="13"/>
                <c:pt idx="0">
                  <c:v>46785</c:v>
                </c:pt>
                <c:pt idx="12">
                  <c:v>46785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0D5-4960-9935-4927042DBC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TF'!$C$95:$D$95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01-20D5-4960-9935-4927042DBCF7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TF'!$C$97:$C$109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41319</c:v>
                      </c:pt>
                      <c:pt idx="1">
                        <c:v>38135</c:v>
                      </c:pt>
                      <c:pt idx="2">
                        <c:v>15728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7191</c:v>
                      </c:pt>
                      <c:pt idx="8">
                        <c:v>4067</c:v>
                      </c:pt>
                      <c:pt idx="9">
                        <c:v>4143</c:v>
                      </c:pt>
                      <c:pt idx="10">
                        <c:v>2847</c:v>
                      </c:pt>
                      <c:pt idx="11">
                        <c:v>3977</c:v>
                      </c:pt>
                      <c:pt idx="12">
                        <c:v>122702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2-20D5-4960-9935-4927042DBCF7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TF'!$N$96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0D5-4960-9935-4927042DBCF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0D5-4960-9935-4927042DBCF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0D5-4960-9935-4927042DBCF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0D5-4960-9935-4927042DBCF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0D5-4960-9935-4927042DBCF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0D5-4960-9935-4927042DBCF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0D5-4960-9935-4927042DBCF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0D5-4960-9935-4927042DBCF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0D5-4960-9935-4927042DBCF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0D5-4960-9935-4927042DBCF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0D5-4960-9935-4927042DBCF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0D5-4960-9935-4927042DBCF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0D5-4960-9935-4927042DBCF7}"/>
              </c:ext>
            </c:extLst>
          </c:dPt>
          <c:cat>
            <c:strRef>
              <c:f>'Viajeros entr evol mensu TF'!$B$97:$B$108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TF'!$N$97:$N$109</c:f>
              <c:numCache>
                <c:formatCode>0.0%</c:formatCode>
                <c:ptCount val="13"/>
                <c:pt idx="0">
                  <c:v>-1.0720629281908201E-2</c:v>
                </c:pt>
                <c:pt idx="12">
                  <c:v>-1.0720629281908201E-2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20D5-4960-9935-4927042DBC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8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6198377665"/>
          <c:y val="0.14880802061904425"/>
          <c:w val="0.85077925409699728"/>
          <c:h val="0.44673508775094251"/>
        </c:manualLayout>
      </c:layout>
      <c:lineChart>
        <c:grouping val="standard"/>
        <c:varyColors val="0"/>
        <c:ser>
          <c:idx val="5"/>
          <c:order val="2"/>
          <c:tx>
            <c:strRef>
              <c:f>'EM evol menusual lugar resd'!$I$139:$J$139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5AB-44E3-A9CA-539FC3967BE4}"/>
              </c:ext>
            </c:extLst>
          </c:dPt>
          <c:val>
            <c:numRef>
              <c:f>'EM evol menusual lugar resd'!$I$141:$I$153</c:f>
              <c:numCache>
                <c:formatCode>0.00</c:formatCode>
                <c:ptCount val="13"/>
                <c:pt idx="0">
                  <c:v>11.418379216750678</c:v>
                </c:pt>
                <c:pt idx="1">
                  <c:v>10.34370308590492</c:v>
                </c:pt>
                <c:pt idx="2">
                  <c:v>9.1222556390977445</c:v>
                </c:pt>
                <c:pt idx="3">
                  <c:v>7.9372430802959713</c:v>
                </c:pt>
                <c:pt idx="4">
                  <c:v>9.1007148327801897</c:v>
                </c:pt>
                <c:pt idx="5">
                  <c:v>8.989169198256505</c:v>
                </c:pt>
                <c:pt idx="6">
                  <c:v>8.5818105144784926</c:v>
                </c:pt>
                <c:pt idx="7">
                  <c:v>8.7677522690870262</c:v>
                </c:pt>
                <c:pt idx="8">
                  <c:v>9.3442921396444643</c:v>
                </c:pt>
                <c:pt idx="9">
                  <c:v>8.9645416823840058</c:v>
                </c:pt>
                <c:pt idx="10">
                  <c:v>9.3741670937980519</c:v>
                </c:pt>
                <c:pt idx="11">
                  <c:v>10.795986093552465</c:v>
                </c:pt>
                <c:pt idx="12">
                  <c:v>9.5079662973403796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5AB-44E3-A9CA-539FC3967BE4}"/>
            </c:ext>
          </c:extLst>
        </c:ser>
        <c:ser>
          <c:idx val="0"/>
          <c:order val="3"/>
          <c:tx>
            <c:strRef>
              <c:f>'EM evol menusual lugar resd'!$K$139:$L$139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5AB-44E3-A9CA-539FC3967BE4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resd'!$K$141:$K$153</c:f>
              <c:numCache>
                <c:formatCode>0.00</c:formatCode>
                <c:ptCount val="13"/>
                <c:pt idx="0">
                  <c:v>10.98589065255732</c:v>
                </c:pt>
                <c:pt idx="1">
                  <c:v>10.596861547007361</c:v>
                </c:pt>
                <c:pt idx="2">
                  <c:v>9.0470304492010847</c:v>
                </c:pt>
                <c:pt idx="3">
                  <c:v>9.8910386965376791</c:v>
                </c:pt>
                <c:pt idx="4">
                  <c:v>9.5351974757915343</c:v>
                </c:pt>
                <c:pt idx="5">
                  <c:v>9.7805171377029456</c:v>
                </c:pt>
                <c:pt idx="6">
                  <c:v>9.7089457678661937</c:v>
                </c:pt>
                <c:pt idx="7">
                  <c:v>9.1128626308120282</c:v>
                </c:pt>
                <c:pt idx="8">
                  <c:v>9.5348466746316216</c:v>
                </c:pt>
                <c:pt idx="9">
                  <c:v>8.671056782334384</c:v>
                </c:pt>
                <c:pt idx="10">
                  <c:v>9.3356138350437092</c:v>
                </c:pt>
                <c:pt idx="11">
                  <c:v>10.171340457577278</c:v>
                </c:pt>
                <c:pt idx="12">
                  <c:v>9.7232392971336417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5AB-44E3-A9CA-539FC3967BE4}"/>
            </c:ext>
          </c:extLst>
        </c:ser>
        <c:ser>
          <c:idx val="1"/>
          <c:order val="4"/>
          <c:tx>
            <c:strRef>
              <c:f>'EM evol menusual lugar resd'!$M$139:$N$139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5AB-44E3-A9CA-539FC3967BE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85AB-44E3-A9CA-539FC3967BE4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resd'!$M$141:$M$153</c:f>
              <c:numCache>
                <c:formatCode>0.00</c:formatCode>
                <c:ptCount val="13"/>
                <c:pt idx="0">
                  <c:v>11.050628442310408</c:v>
                </c:pt>
                <c:pt idx="12">
                  <c:v>11.050628442310408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5AB-44E3-A9CA-539FC3967B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resd'!$C$139:$D$139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85AB-44E3-A9CA-539FC3967BE4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resd'!$C$141:$C$153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11.637256287086748</c:v>
                      </c:pt>
                      <c:pt idx="1">
                        <c:v>11.138817878999149</c:v>
                      </c:pt>
                      <c:pt idx="2">
                        <c:v>12.882565337001376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8.9206424185167688</c:v>
                      </c:pt>
                      <c:pt idx="8">
                        <c:v>12.752112676056338</c:v>
                      </c:pt>
                      <c:pt idx="9">
                        <c:v>5.6313131313131315</c:v>
                      </c:pt>
                      <c:pt idx="10">
                        <c:v>9.6477272727272734</c:v>
                      </c:pt>
                      <c:pt idx="11">
                        <c:v>11.419786096256685</c:v>
                      </c:pt>
                      <c:pt idx="12">
                        <c:v>11.259829968119023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85AB-44E3-A9CA-539FC3967BE4}"/>
                  </c:ext>
                </c:extLst>
              </c15:ser>
            </c15:filteredLineSeries>
            <c15:filteredLineSeries>
              <c15:ser>
                <c:idx val="6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'EM evol menusual lugar resd'!$G$139:$H$139</c15:sqref>
                        </c15:formulaRef>
                      </c:ext>
                    </c:extLst>
                    <c:strCache>
                      <c:ptCount val="1"/>
                      <c:pt idx="0">
                        <c:v>2022</c:v>
                      </c:pt>
                    </c:strCache>
                  </c:strRef>
                </c:tx>
                <c:spPr>
                  <a:ln w="25400" cap="rnd">
                    <a:solidFill>
                      <a:srgbClr val="0047BA">
                        <a:lumMod val="20000"/>
                        <a:lumOff val="80000"/>
                      </a:srgb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rgbClr val="0047BA">
                        <a:lumMod val="20000"/>
                        <a:lumOff val="80000"/>
                      </a:srgbClr>
                    </a:solidFill>
                    <a:ln w="9525"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  <a:ln w="9525">
                        <a:solidFill>
                          <a:srgbClr val="0047BA">
                            <a:lumMod val="20000"/>
                            <a:lumOff val="80000"/>
                          </a:srgbClr>
                        </a:solidFill>
                      </a:ln>
                      <a:effectLst/>
                    </c:spPr>
                  </c:marker>
                  <c:bubble3D val="0"/>
                  <c:spPr>
                    <a:ln w="25400" cap="rnd">
                      <a:noFill/>
                      <a:round/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1D-85AB-44E3-A9CA-539FC3967BE4}"/>
                    </c:ext>
                  </c:extLst>
                </c:dP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('EM evol menusual lugar resd'!$G$141:$G$152,'EM evol menusual lugar resd'!$G$153)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12.129041326960921</c:v>
                      </c:pt>
                      <c:pt idx="1">
                        <c:v>9.2217261904761898</c:v>
                      </c:pt>
                      <c:pt idx="2">
                        <c:v>8.391152403682236</c:v>
                      </c:pt>
                      <c:pt idx="3">
                        <c:v>7.9562760261748959</c:v>
                      </c:pt>
                      <c:pt idx="4">
                        <c:v>8.2949205932537087</c:v>
                      </c:pt>
                      <c:pt idx="5">
                        <c:v>8.5031024439660623</c:v>
                      </c:pt>
                      <c:pt idx="6">
                        <c:v>8.7805634182504377</c:v>
                      </c:pt>
                      <c:pt idx="7">
                        <c:v>9.1730716063035658</c:v>
                      </c:pt>
                      <c:pt idx="8">
                        <c:v>8.7724685922903465</c:v>
                      </c:pt>
                      <c:pt idx="9">
                        <c:v>8.7037592374424335</c:v>
                      </c:pt>
                      <c:pt idx="10">
                        <c:v>8.7484428086070221</c:v>
                      </c:pt>
                      <c:pt idx="11">
                        <c:v>9.601999200319872</c:v>
                      </c:pt>
                      <c:pt idx="12">
                        <c:v>8.9641442715700137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E-85AB-44E3-A9CA-539FC3967BE4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5"/>
          <c:tx>
            <c:strRef>
              <c:f>'EM evol menusual lugar resd'!$N$140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5AB-44E3-A9CA-539FC3967BE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5AB-44E3-A9CA-539FC3967BE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5AB-44E3-A9CA-539FC3967BE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5AB-44E3-A9CA-539FC3967BE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5AB-44E3-A9CA-539FC3967BE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5AB-44E3-A9CA-539FC3967BE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5AB-44E3-A9CA-539FC3967BE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5AB-44E3-A9CA-539FC3967BE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5AB-44E3-A9CA-539FC3967BE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5AB-44E3-A9CA-539FC3967BE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5AB-44E3-A9CA-539FC3967BE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5AB-44E3-A9CA-539FC3967BE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5AB-44E3-A9CA-539FC3967BE4}"/>
              </c:ext>
            </c:extLst>
          </c:dPt>
          <c:cat>
            <c:strRef>
              <c:f>'EM evol menusual lugar resd'!$B$141:$B$152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resd'!$N$141:$N$153</c:f>
              <c:numCache>
                <c:formatCode>0.00</c:formatCode>
                <c:ptCount val="13"/>
                <c:pt idx="0">
                  <c:v>6.4737789753088748E-2</c:v>
                </c:pt>
                <c:pt idx="12">
                  <c:v>6.4737789753088748E-2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85AB-44E3-A9CA-539FC3967B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resd'!$I$161:$J$161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75A-4DF0-BC82-04E859A26C45}"/>
              </c:ext>
            </c:extLst>
          </c:dPt>
          <c:val>
            <c:numRef>
              <c:f>'EM evol menusual lugar resd'!$I$163:$I$175</c:f>
              <c:numCache>
                <c:formatCode>0.00</c:formatCode>
                <c:ptCount val="13"/>
                <c:pt idx="0">
                  <c:v>6.1614379084967323</c:v>
                </c:pt>
                <c:pt idx="1">
                  <c:v>6.1137742718446599</c:v>
                </c:pt>
                <c:pt idx="2">
                  <c:v>6.0897001303780964</c:v>
                </c:pt>
                <c:pt idx="3">
                  <c:v>5.785571142284569</c:v>
                </c:pt>
                <c:pt idx="4">
                  <c:v>5.9001769911504427</c:v>
                </c:pt>
                <c:pt idx="5">
                  <c:v>6.4738689547581902</c:v>
                </c:pt>
                <c:pt idx="6">
                  <c:v>6.8715683180814136</c:v>
                </c:pt>
                <c:pt idx="7">
                  <c:v>8.2840572556762098</c:v>
                </c:pt>
                <c:pt idx="8">
                  <c:v>6.6430817610062896</c:v>
                </c:pt>
                <c:pt idx="9">
                  <c:v>6.0223759153783565</c:v>
                </c:pt>
                <c:pt idx="10">
                  <c:v>6.6880329314907376</c:v>
                </c:pt>
                <c:pt idx="11">
                  <c:v>6.5164683088845834</c:v>
                </c:pt>
                <c:pt idx="12">
                  <c:v>6.4719669009614709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75A-4DF0-BC82-04E859A26C45}"/>
            </c:ext>
          </c:extLst>
        </c:ser>
        <c:ser>
          <c:idx val="0"/>
          <c:order val="2"/>
          <c:tx>
            <c:strRef>
              <c:f>'EM evol menusual lugar resd'!$K$161:$L$161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75A-4DF0-BC82-04E859A26C45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resd'!$K$163:$K$175</c:f>
              <c:numCache>
                <c:formatCode>0.00</c:formatCode>
                <c:ptCount val="13"/>
                <c:pt idx="0">
                  <c:v>7.102075154234436</c:v>
                </c:pt>
                <c:pt idx="1">
                  <c:v>6.2099571516017136</c:v>
                </c:pt>
                <c:pt idx="2">
                  <c:v>6.2966198252943411</c:v>
                </c:pt>
                <c:pt idx="3">
                  <c:v>6.4245002968533544</c:v>
                </c:pt>
                <c:pt idx="4">
                  <c:v>6.2373262469337698</c:v>
                </c:pt>
                <c:pt idx="5">
                  <c:v>5.9973009446693659</c:v>
                </c:pt>
                <c:pt idx="6">
                  <c:v>7.223830734966592</c:v>
                </c:pt>
                <c:pt idx="7">
                  <c:v>7.8188919164396005</c:v>
                </c:pt>
                <c:pt idx="8">
                  <c:v>7.2306136210384357</c:v>
                </c:pt>
                <c:pt idx="9">
                  <c:v>6.217721518987342</c:v>
                </c:pt>
                <c:pt idx="10">
                  <c:v>6.2833206397562833</c:v>
                </c:pt>
                <c:pt idx="11">
                  <c:v>6.611312921639855</c:v>
                </c:pt>
                <c:pt idx="12">
                  <c:v>6.6328355632283129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75A-4DF0-BC82-04E859A26C45}"/>
            </c:ext>
          </c:extLst>
        </c:ser>
        <c:ser>
          <c:idx val="1"/>
          <c:order val="3"/>
          <c:tx>
            <c:strRef>
              <c:f>'EM evol menusual lugar resd'!$M$161:$N$161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75A-4DF0-BC82-04E859A26C4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075A-4DF0-BC82-04E859A26C45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resd'!$M$163:$M$175</c:f>
              <c:numCache>
                <c:formatCode>0.00</c:formatCode>
                <c:ptCount val="13"/>
                <c:pt idx="0">
                  <c:v>7.9187620889748551</c:v>
                </c:pt>
                <c:pt idx="12">
                  <c:v>7.9187620889748551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75A-4DF0-BC82-04E859A26C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resd'!$C$161:$D$161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075A-4DF0-BC82-04E859A26C45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resd'!$C$163:$C$175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6.216949152542373</c:v>
                      </c:pt>
                      <c:pt idx="1">
                        <c:v>5.6151019044437023</c:v>
                      </c:pt>
                      <c:pt idx="2">
                        <c:v>7.6801007556675067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6.9232053422370621</c:v>
                      </c:pt>
                      <c:pt idx="8">
                        <c:v>6.2905982905982905</c:v>
                      </c:pt>
                      <c:pt idx="9">
                        <c:v>4.7901376146788994</c:v>
                      </c:pt>
                      <c:pt idx="10">
                        <c:v>7.1162790697674421</c:v>
                      </c:pt>
                      <c:pt idx="11">
                        <c:v>4.2004132231404956</c:v>
                      </c:pt>
                      <c:pt idx="12">
                        <c:v>5.9098479362780596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075A-4DF0-BC82-04E859A26C45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resd'!$N$162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75A-4DF0-BC82-04E859A26C4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75A-4DF0-BC82-04E859A26C4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75A-4DF0-BC82-04E859A26C4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75A-4DF0-BC82-04E859A26C4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75A-4DF0-BC82-04E859A26C4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75A-4DF0-BC82-04E859A26C4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75A-4DF0-BC82-04E859A26C4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75A-4DF0-BC82-04E859A26C4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75A-4DF0-BC82-04E859A26C4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75A-4DF0-BC82-04E859A26C4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75A-4DF0-BC82-04E859A26C4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75A-4DF0-BC82-04E859A26C4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75A-4DF0-BC82-04E859A26C45}"/>
              </c:ext>
            </c:extLst>
          </c:dPt>
          <c:cat>
            <c:strRef>
              <c:f>'EM evol menusual lugar resd'!$B$163:$B$174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resd'!$N$163:$N$175</c:f>
              <c:numCache>
                <c:formatCode>0.00</c:formatCode>
                <c:ptCount val="13"/>
                <c:pt idx="0">
                  <c:v>0.81668693474041909</c:v>
                </c:pt>
                <c:pt idx="12">
                  <c:v>0.81668693474041909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075A-4DF0-BC82-04E859A26C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resd'!$I$183:$J$183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23D-414C-8ECB-70B29904496B}"/>
              </c:ext>
            </c:extLst>
          </c:dPt>
          <c:val>
            <c:numRef>
              <c:f>'EM evol menusual lugar resd'!$I$185:$I$197</c:f>
              <c:numCache>
                <c:formatCode>0.00</c:formatCode>
                <c:ptCount val="13"/>
                <c:pt idx="0">
                  <c:v>6.2166377816291165</c:v>
                </c:pt>
                <c:pt idx="1">
                  <c:v>5.8491379310344831</c:v>
                </c:pt>
                <c:pt idx="2">
                  <c:v>6.2137404580152671</c:v>
                </c:pt>
                <c:pt idx="3">
                  <c:v>6.225609756097561</c:v>
                </c:pt>
                <c:pt idx="4">
                  <c:v>6.3229461756373935</c:v>
                </c:pt>
                <c:pt idx="5">
                  <c:v>7.3047858942065496</c:v>
                </c:pt>
                <c:pt idx="6">
                  <c:v>6.6871088861076347</c:v>
                </c:pt>
                <c:pt idx="7">
                  <c:v>7.7</c:v>
                </c:pt>
                <c:pt idx="8">
                  <c:v>7.0376506024096388</c:v>
                </c:pt>
                <c:pt idx="9">
                  <c:v>5.7731811697574891</c:v>
                </c:pt>
                <c:pt idx="10">
                  <c:v>6.7342419080068145</c:v>
                </c:pt>
                <c:pt idx="11">
                  <c:v>5.8972267536704734</c:v>
                </c:pt>
                <c:pt idx="12">
                  <c:v>6.5394661308840414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23D-414C-8ECB-70B29904496B}"/>
            </c:ext>
          </c:extLst>
        </c:ser>
        <c:ser>
          <c:idx val="0"/>
          <c:order val="2"/>
          <c:tx>
            <c:strRef>
              <c:f>'EM evol menusual lugar resd'!$K$183:$L$183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23D-414C-8ECB-70B29904496B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resd'!$K$185:$K$197</c:f>
              <c:numCache>
                <c:formatCode>0.00</c:formatCode>
                <c:ptCount val="13"/>
                <c:pt idx="0">
                  <c:v>6.5090579710144931</c:v>
                </c:pt>
                <c:pt idx="1">
                  <c:v>6.1761102603369062</c:v>
                </c:pt>
                <c:pt idx="2">
                  <c:v>6.0576923076923075</c:v>
                </c:pt>
                <c:pt idx="3">
                  <c:v>7.2930693069306933</c:v>
                </c:pt>
                <c:pt idx="4">
                  <c:v>6.0445544554455441</c:v>
                </c:pt>
                <c:pt idx="5">
                  <c:v>6.8105413105413106</c:v>
                </c:pt>
                <c:pt idx="6">
                  <c:v>7.3509060955518946</c:v>
                </c:pt>
                <c:pt idx="7">
                  <c:v>7.4824120603015079</c:v>
                </c:pt>
                <c:pt idx="8">
                  <c:v>6.6914634146341463</c:v>
                </c:pt>
                <c:pt idx="9">
                  <c:v>6.5517241379310347</c:v>
                </c:pt>
                <c:pt idx="10">
                  <c:v>6.0607734806629834</c:v>
                </c:pt>
                <c:pt idx="11">
                  <c:v>5.8216867469879521</c:v>
                </c:pt>
                <c:pt idx="12">
                  <c:v>6.6119604316546763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23D-414C-8ECB-70B29904496B}"/>
            </c:ext>
          </c:extLst>
        </c:ser>
        <c:ser>
          <c:idx val="1"/>
          <c:order val="3"/>
          <c:tx>
            <c:strRef>
              <c:f>'EM evol menusual lugar resd'!$M$183:$N$183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23D-414C-8ECB-70B29904496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D23D-414C-8ECB-70B29904496B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resd'!$M$185:$M$197</c:f>
              <c:numCache>
                <c:formatCode>0.00</c:formatCode>
                <c:ptCount val="13"/>
                <c:pt idx="0">
                  <c:v>6.3674242424242422</c:v>
                </c:pt>
                <c:pt idx="12">
                  <c:v>6.3674242424242422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23D-414C-8ECB-70B2990449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resd'!$C$183:$D$183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D23D-414C-8ECB-70B29904496B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resd'!$C$185:$C$197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6.6836027713625867</c:v>
                      </c:pt>
                      <c:pt idx="1">
                        <c:v>6.6892230576441101</c:v>
                      </c:pt>
                      <c:pt idx="2">
                        <c:v>8.0549019607843135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5.3166666666666664</c:v>
                      </c:pt>
                      <c:pt idx="8">
                        <c:v>7.760089686098655</c:v>
                      </c:pt>
                      <c:pt idx="9">
                        <c:v>10.689922480620154</c:v>
                      </c:pt>
                      <c:pt idx="10">
                        <c:v>17.657894736842106</c:v>
                      </c:pt>
                      <c:pt idx="11">
                        <c:v>3.3366336633663365</c:v>
                      </c:pt>
                      <c:pt idx="12">
                        <c:v>7.1863592699327565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D23D-414C-8ECB-70B29904496B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resd'!$N$184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23D-414C-8ECB-70B29904496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23D-414C-8ECB-70B29904496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23D-414C-8ECB-70B29904496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23D-414C-8ECB-70B29904496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23D-414C-8ECB-70B29904496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23D-414C-8ECB-70B29904496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23D-414C-8ECB-70B29904496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23D-414C-8ECB-70B29904496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23D-414C-8ECB-70B29904496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23D-414C-8ECB-70B29904496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23D-414C-8ECB-70B29904496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23D-414C-8ECB-70B29904496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23D-414C-8ECB-70B29904496B}"/>
              </c:ext>
            </c:extLst>
          </c:dPt>
          <c:cat>
            <c:strRef>
              <c:f>'EM evol menusual lugar resd'!$B$185:$B$196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resd'!$N$185:$N$197</c:f>
              <c:numCache>
                <c:formatCode>0.00</c:formatCode>
                <c:ptCount val="13"/>
                <c:pt idx="0">
                  <c:v>-0.14163372859025092</c:v>
                </c:pt>
                <c:pt idx="12">
                  <c:v>-0.14163372859025092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D23D-414C-8ECB-70B2990449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resd'!$I$205:$J$205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A06-4941-A4B5-4A59A279160A}"/>
              </c:ext>
            </c:extLst>
          </c:dPt>
          <c:val>
            <c:numRef>
              <c:f>'EM evol menusual lugar resd'!$I$207:$I$219</c:f>
              <c:numCache>
                <c:formatCode>0.00</c:formatCode>
                <c:ptCount val="13"/>
                <c:pt idx="0">
                  <c:v>7.4954441913439638</c:v>
                </c:pt>
                <c:pt idx="1">
                  <c:v>7.31989247311828</c:v>
                </c:pt>
                <c:pt idx="2">
                  <c:v>6.0713450292397662</c:v>
                </c:pt>
                <c:pt idx="3">
                  <c:v>6.6473087818696888</c:v>
                </c:pt>
                <c:pt idx="4">
                  <c:v>6.8310911808669657</c:v>
                </c:pt>
                <c:pt idx="5">
                  <c:v>6.7452513966480447</c:v>
                </c:pt>
                <c:pt idx="6">
                  <c:v>8.7765363128491618</c:v>
                </c:pt>
                <c:pt idx="7">
                  <c:v>7.8383545770567791</c:v>
                </c:pt>
                <c:pt idx="8">
                  <c:v>7.7614607614607616</c:v>
                </c:pt>
                <c:pt idx="9">
                  <c:v>6.5623229461756374</c:v>
                </c:pt>
                <c:pt idx="10">
                  <c:v>6.2689922480620153</c:v>
                </c:pt>
                <c:pt idx="11">
                  <c:v>5.48</c:v>
                </c:pt>
                <c:pt idx="12">
                  <c:v>6.997908759972117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A06-4941-A4B5-4A59A279160A}"/>
            </c:ext>
          </c:extLst>
        </c:ser>
        <c:ser>
          <c:idx val="0"/>
          <c:order val="2"/>
          <c:tx>
            <c:strRef>
              <c:f>'EM evol menusual lugar resd'!$K$205:$L$205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A06-4941-A4B5-4A59A279160A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resd'!$K$207:$K$219</c:f>
              <c:numCache>
                <c:formatCode>0.00</c:formatCode>
                <c:ptCount val="13"/>
                <c:pt idx="0">
                  <c:v>6.8130841121495331</c:v>
                </c:pt>
                <c:pt idx="1">
                  <c:v>6.6363636363636367</c:v>
                </c:pt>
                <c:pt idx="2">
                  <c:v>7.0371428571428574</c:v>
                </c:pt>
                <c:pt idx="3">
                  <c:v>6.7803223070398646</c:v>
                </c:pt>
                <c:pt idx="4">
                  <c:v>6.5109090909090908</c:v>
                </c:pt>
                <c:pt idx="5">
                  <c:v>7.1186094069529648</c:v>
                </c:pt>
                <c:pt idx="6">
                  <c:v>7.2642276422764231</c:v>
                </c:pt>
                <c:pt idx="7">
                  <c:v>8.5658653846153854</c:v>
                </c:pt>
                <c:pt idx="8">
                  <c:v>7.8050389922015597</c:v>
                </c:pt>
                <c:pt idx="9">
                  <c:v>7.0728318160038333</c:v>
                </c:pt>
                <c:pt idx="10">
                  <c:v>7.3297872340425529</c:v>
                </c:pt>
                <c:pt idx="11">
                  <c:v>7.132173913043478</c:v>
                </c:pt>
                <c:pt idx="12">
                  <c:v>7.2584063141961295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A06-4941-A4B5-4A59A279160A}"/>
            </c:ext>
          </c:extLst>
        </c:ser>
        <c:ser>
          <c:idx val="1"/>
          <c:order val="3"/>
          <c:tx>
            <c:strRef>
              <c:f>'EM evol menusual lugar resd'!$M$205:$N$205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A06-4941-A4B5-4A59A279160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4A06-4941-A4B5-4A59A279160A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resd'!$M$207:$M$219</c:f>
              <c:numCache>
                <c:formatCode>0.00</c:formatCode>
                <c:ptCount val="13"/>
                <c:pt idx="0">
                  <c:v>7.738790035587189</c:v>
                </c:pt>
                <c:pt idx="12">
                  <c:v>7.738790035587189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A06-4941-A4B5-4A59A27916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resd'!$C$205:$D$205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4A06-4941-A4B5-4A59A279160A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resd'!$C$207:$C$219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8.1841620626151013</c:v>
                      </c:pt>
                      <c:pt idx="1">
                        <c:v>5.9428571428571431</c:v>
                      </c:pt>
                      <c:pt idx="2">
                        <c:v>9.87109375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7.2149999999999999</c:v>
                      </c:pt>
                      <c:pt idx="8">
                        <c:v>6.9473684210526319</c:v>
                      </c:pt>
                      <c:pt idx="9">
                        <c:v>4.541666666666667</c:v>
                      </c:pt>
                      <c:pt idx="10">
                        <c:v>6.6727272727272728</c:v>
                      </c:pt>
                      <c:pt idx="11">
                        <c:v>8.0144927536231876</c:v>
                      </c:pt>
                      <c:pt idx="12">
                        <c:v>7.2815814850530378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4A06-4941-A4B5-4A59A279160A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resd'!$N$206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A06-4941-A4B5-4A59A279160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A06-4941-A4B5-4A59A279160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A06-4941-A4B5-4A59A279160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A06-4941-A4B5-4A59A279160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A06-4941-A4B5-4A59A279160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A06-4941-A4B5-4A59A279160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A06-4941-A4B5-4A59A279160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A06-4941-A4B5-4A59A279160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A06-4941-A4B5-4A59A279160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A06-4941-A4B5-4A59A279160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A06-4941-A4B5-4A59A279160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A06-4941-A4B5-4A59A279160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A06-4941-A4B5-4A59A279160A}"/>
              </c:ext>
            </c:extLst>
          </c:dPt>
          <c:cat>
            <c:strRef>
              <c:f>'EM evol menusual lugar resd'!$B$207:$B$218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resd'!$N$207:$N$219</c:f>
              <c:numCache>
                <c:formatCode>0.00</c:formatCode>
                <c:ptCount val="13"/>
                <c:pt idx="0">
                  <c:v>0.9257059234376559</c:v>
                </c:pt>
                <c:pt idx="12">
                  <c:v>0.9257059234376559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4A06-4941-A4B5-4A59A27916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resd'!$I$227:$J$227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C5B-4A72-881A-493B01A3CFAC}"/>
              </c:ext>
            </c:extLst>
          </c:dPt>
          <c:val>
            <c:numRef>
              <c:f>'EM evol menusual lugar resd'!$I$229:$I$241</c:f>
              <c:numCache>
                <c:formatCode>0.00</c:formatCode>
                <c:ptCount val="13"/>
                <c:pt idx="0">
                  <c:v>6.2166377816291165</c:v>
                </c:pt>
                <c:pt idx="1">
                  <c:v>5.8491379310344831</c:v>
                </c:pt>
                <c:pt idx="2">
                  <c:v>6.2137404580152671</c:v>
                </c:pt>
                <c:pt idx="3">
                  <c:v>6.225609756097561</c:v>
                </c:pt>
                <c:pt idx="4">
                  <c:v>6.3229461756373935</c:v>
                </c:pt>
                <c:pt idx="5">
                  <c:v>7.3047858942065496</c:v>
                </c:pt>
                <c:pt idx="6">
                  <c:v>6.6871088861076347</c:v>
                </c:pt>
                <c:pt idx="7">
                  <c:v>7.7</c:v>
                </c:pt>
                <c:pt idx="8">
                  <c:v>7.0376506024096388</c:v>
                </c:pt>
                <c:pt idx="9">
                  <c:v>5.7731811697574891</c:v>
                </c:pt>
                <c:pt idx="10">
                  <c:v>6.7342419080068145</c:v>
                </c:pt>
                <c:pt idx="11">
                  <c:v>5.8972267536704734</c:v>
                </c:pt>
                <c:pt idx="12">
                  <c:v>6.5394661308840414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C5B-4A72-881A-493B01A3CFAC}"/>
            </c:ext>
          </c:extLst>
        </c:ser>
        <c:ser>
          <c:idx val="0"/>
          <c:order val="2"/>
          <c:tx>
            <c:strRef>
              <c:f>'EM evol menusual lugar resd'!$K$227:$L$227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C5B-4A72-881A-493B01A3CFAC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resd'!$K$229:$K$241</c:f>
              <c:numCache>
                <c:formatCode>0.00</c:formatCode>
                <c:ptCount val="13"/>
                <c:pt idx="0">
                  <c:v>6.5090579710144931</c:v>
                </c:pt>
                <c:pt idx="1">
                  <c:v>6.1761102603369062</c:v>
                </c:pt>
                <c:pt idx="2">
                  <c:v>6.0576923076923075</c:v>
                </c:pt>
                <c:pt idx="3">
                  <c:v>7.2930693069306933</c:v>
                </c:pt>
                <c:pt idx="4">
                  <c:v>6.0445544554455441</c:v>
                </c:pt>
                <c:pt idx="5">
                  <c:v>6.8105413105413106</c:v>
                </c:pt>
                <c:pt idx="6">
                  <c:v>7.3509060955518946</c:v>
                </c:pt>
                <c:pt idx="7">
                  <c:v>7.4824120603015079</c:v>
                </c:pt>
                <c:pt idx="8">
                  <c:v>6.6914634146341463</c:v>
                </c:pt>
                <c:pt idx="9">
                  <c:v>6.5517241379310347</c:v>
                </c:pt>
                <c:pt idx="10">
                  <c:v>6.0607734806629834</c:v>
                </c:pt>
                <c:pt idx="11">
                  <c:v>5.8216867469879521</c:v>
                </c:pt>
                <c:pt idx="12">
                  <c:v>6.6119604316546763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C5B-4A72-881A-493B01A3CFAC}"/>
            </c:ext>
          </c:extLst>
        </c:ser>
        <c:ser>
          <c:idx val="1"/>
          <c:order val="3"/>
          <c:tx>
            <c:strRef>
              <c:f>'EM evol menusual lugar resd'!$M$227:$N$227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C5B-4A72-881A-493B01A3CFA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7C5B-4A72-881A-493B01A3CFAC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resd'!$M$229:$M$241</c:f>
              <c:numCache>
                <c:formatCode>0.00</c:formatCode>
                <c:ptCount val="13"/>
                <c:pt idx="0">
                  <c:v>6.3674242424242422</c:v>
                </c:pt>
                <c:pt idx="12">
                  <c:v>6.3674242424242422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C5B-4A72-881A-493B01A3CF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resd'!$C$227:$D$227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7C5B-4A72-881A-493B01A3CFAC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resd'!$C$229:$C$241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6.6836027713625867</c:v>
                      </c:pt>
                      <c:pt idx="1">
                        <c:v>6.6892230576441101</c:v>
                      </c:pt>
                      <c:pt idx="2">
                        <c:v>8.0549019607843135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5.3166666666666664</c:v>
                      </c:pt>
                      <c:pt idx="8">
                        <c:v>7.760089686098655</c:v>
                      </c:pt>
                      <c:pt idx="9">
                        <c:v>10.689922480620154</c:v>
                      </c:pt>
                      <c:pt idx="10">
                        <c:v>17.657894736842106</c:v>
                      </c:pt>
                      <c:pt idx="11">
                        <c:v>3.3366336633663365</c:v>
                      </c:pt>
                      <c:pt idx="12">
                        <c:v>7.1863592699327565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7C5B-4A72-881A-493B01A3CFAC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resd'!$N$228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C5B-4A72-881A-493B01A3CFA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C5B-4A72-881A-493B01A3CFA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C5B-4A72-881A-493B01A3CFA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C5B-4A72-881A-493B01A3CFA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C5B-4A72-881A-493B01A3CFA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C5B-4A72-881A-493B01A3CFA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C5B-4A72-881A-493B01A3CFA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C5B-4A72-881A-493B01A3CFA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C5B-4A72-881A-493B01A3CFA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C5B-4A72-881A-493B01A3CFA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C5B-4A72-881A-493B01A3CFA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C5B-4A72-881A-493B01A3CFA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C5B-4A72-881A-493B01A3CFAC}"/>
              </c:ext>
            </c:extLst>
          </c:dPt>
          <c:cat>
            <c:strRef>
              <c:f>'EM evol menusual lugar resd'!$B$229:$B$240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resd'!$N$229:$N$241</c:f>
              <c:numCache>
                <c:formatCode>0.00</c:formatCode>
                <c:ptCount val="13"/>
                <c:pt idx="0">
                  <c:v>-0.14163372859025092</c:v>
                </c:pt>
                <c:pt idx="12">
                  <c:v>-0.14163372859025092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7C5B-4A72-881A-493B01A3CF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resd'!$I$249:$J$249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7DF-4A8F-8AFA-521A8C0E8F9A}"/>
              </c:ext>
            </c:extLst>
          </c:dPt>
          <c:val>
            <c:numRef>
              <c:f>'EM evol menusual lugar resd'!$I$251:$I$263</c:f>
              <c:numCache>
                <c:formatCode>0.00</c:formatCode>
                <c:ptCount val="13"/>
                <c:pt idx="0">
                  <c:v>8.4134045077105579</c:v>
                </c:pt>
                <c:pt idx="1">
                  <c:v>9.496240601503759</c:v>
                </c:pt>
                <c:pt idx="2">
                  <c:v>10.062709030100335</c:v>
                </c:pt>
                <c:pt idx="3">
                  <c:v>8.5347490347490353</c:v>
                </c:pt>
                <c:pt idx="4">
                  <c:v>7.7313432835820892</c:v>
                </c:pt>
                <c:pt idx="5">
                  <c:v>7.1062500000000002</c:v>
                </c:pt>
                <c:pt idx="6">
                  <c:v>8.7642857142857142</c:v>
                </c:pt>
                <c:pt idx="7">
                  <c:v>7.4968152866242042</c:v>
                </c:pt>
                <c:pt idx="8">
                  <c:v>7.2480000000000002</c:v>
                </c:pt>
                <c:pt idx="9">
                  <c:v>6.4125560538116595</c:v>
                </c:pt>
                <c:pt idx="10">
                  <c:v>8.7702589807852966</c:v>
                </c:pt>
                <c:pt idx="11">
                  <c:v>9.4980237154150196</c:v>
                </c:pt>
                <c:pt idx="12">
                  <c:v>8.7910605349601134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7DF-4A8F-8AFA-521A8C0E8F9A}"/>
            </c:ext>
          </c:extLst>
        </c:ser>
        <c:ser>
          <c:idx val="0"/>
          <c:order val="2"/>
          <c:tx>
            <c:strRef>
              <c:f>'EM evol menusual lugar resd'!$K$249:$L$249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7DF-4A8F-8AFA-521A8C0E8F9A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resd'!$K$251:$K$263</c:f>
              <c:numCache>
                <c:formatCode>0.00</c:formatCode>
                <c:ptCount val="13"/>
                <c:pt idx="0">
                  <c:v>8.7924667651403254</c:v>
                </c:pt>
                <c:pt idx="1">
                  <c:v>10.563145353455123</c:v>
                </c:pt>
                <c:pt idx="2">
                  <c:v>10.274442538593481</c:v>
                </c:pt>
                <c:pt idx="3">
                  <c:v>9.3033333333333328</c:v>
                </c:pt>
                <c:pt idx="4">
                  <c:v>12.324324324324325</c:v>
                </c:pt>
                <c:pt idx="5">
                  <c:v>7.359375</c:v>
                </c:pt>
                <c:pt idx="6">
                  <c:v>7.4109589041095889</c:v>
                </c:pt>
                <c:pt idx="7">
                  <c:v>7.0512820512820511</c:v>
                </c:pt>
                <c:pt idx="8">
                  <c:v>9.0243902439024382</c:v>
                </c:pt>
                <c:pt idx="9">
                  <c:v>7.2110939907550078</c:v>
                </c:pt>
                <c:pt idx="10">
                  <c:v>9.8787313432835813</c:v>
                </c:pt>
                <c:pt idx="11">
                  <c:v>8.5391304347826082</c:v>
                </c:pt>
                <c:pt idx="12">
                  <c:v>9.29595015576324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7DF-4A8F-8AFA-521A8C0E8F9A}"/>
            </c:ext>
          </c:extLst>
        </c:ser>
        <c:ser>
          <c:idx val="1"/>
          <c:order val="3"/>
          <c:tx>
            <c:strRef>
              <c:f>'EM evol menusual lugar resd'!$M$249:$N$249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7DF-4A8F-8AFA-521A8C0E8F9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17DF-4A8F-8AFA-521A8C0E8F9A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resd'!$M$251:$M$263</c:f>
              <c:numCache>
                <c:formatCode>0.00</c:formatCode>
                <c:ptCount val="13"/>
                <c:pt idx="0">
                  <c:v>9.8285243198680963</c:v>
                </c:pt>
                <c:pt idx="12">
                  <c:v>9.8285243198680963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7DF-4A8F-8AFA-521A8C0E8F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resd'!$C$249:$D$249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17DF-4A8F-8AFA-521A8C0E8F9A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resd'!$C$251:$C$263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10.133493205435652</c:v>
                      </c:pt>
                      <c:pt idx="1">
                        <c:v>8.9423728813559329</c:v>
                      </c:pt>
                      <c:pt idx="2">
                        <c:v>12.185639229422067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4.5</c:v>
                      </c:pt>
                      <c:pt idx="8">
                        <c:v>5</c:v>
                      </c:pt>
                      <c:pt idx="9">
                        <c:v>2.6</c:v>
                      </c:pt>
                      <c:pt idx="10">
                        <c:v>8.3333333333333339</c:v>
                      </c:pt>
                      <c:pt idx="11">
                        <c:v>10</c:v>
                      </c:pt>
                      <c:pt idx="12">
                        <c:v>10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17DF-4A8F-8AFA-521A8C0E8F9A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resd'!$N$250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7DF-4A8F-8AFA-521A8C0E8F9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7DF-4A8F-8AFA-521A8C0E8F9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7DF-4A8F-8AFA-521A8C0E8F9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7DF-4A8F-8AFA-521A8C0E8F9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7DF-4A8F-8AFA-521A8C0E8F9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7DF-4A8F-8AFA-521A8C0E8F9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7DF-4A8F-8AFA-521A8C0E8F9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7DF-4A8F-8AFA-521A8C0E8F9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7DF-4A8F-8AFA-521A8C0E8F9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7DF-4A8F-8AFA-521A8C0E8F9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7DF-4A8F-8AFA-521A8C0E8F9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7DF-4A8F-8AFA-521A8C0E8F9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7DF-4A8F-8AFA-521A8C0E8F9A}"/>
              </c:ext>
            </c:extLst>
          </c:dPt>
          <c:cat>
            <c:strRef>
              <c:f>'EM evol menusual lugar resd'!$B$251:$B$262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resd'!$N$251:$N$263</c:f>
              <c:numCache>
                <c:formatCode>0.00</c:formatCode>
                <c:ptCount val="13"/>
                <c:pt idx="0">
                  <c:v>1.0360575547277708</c:v>
                </c:pt>
                <c:pt idx="12">
                  <c:v>1.0360575547277708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17DF-4A8F-8AFA-521A8C0E8F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resd'!$I$271:$J$271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A71-48C5-911E-C5E5FFB2CD42}"/>
              </c:ext>
            </c:extLst>
          </c:dPt>
          <c:val>
            <c:numRef>
              <c:f>'EM evol menusual lugar resd'!$I$273:$I$285</c:f>
              <c:numCache>
                <c:formatCode>0.00</c:formatCode>
                <c:ptCount val="13"/>
                <c:pt idx="0">
                  <c:v>8.1389693109438337</c:v>
                </c:pt>
                <c:pt idx="1">
                  <c:v>8.5094637223974772</c:v>
                </c:pt>
                <c:pt idx="2">
                  <c:v>8.5167827739075364</c:v>
                </c:pt>
                <c:pt idx="3">
                  <c:v>8.1567436208991495</c:v>
                </c:pt>
                <c:pt idx="4">
                  <c:v>8.5614035087719298</c:v>
                </c:pt>
                <c:pt idx="5">
                  <c:v>7.9863945578231297</c:v>
                </c:pt>
                <c:pt idx="6">
                  <c:v>9.247863247863247</c:v>
                </c:pt>
                <c:pt idx="7">
                  <c:v>6.8297872340425529</c:v>
                </c:pt>
                <c:pt idx="8">
                  <c:v>6.7029702970297027</c:v>
                </c:pt>
                <c:pt idx="9">
                  <c:v>6.3087885985748215</c:v>
                </c:pt>
                <c:pt idx="10">
                  <c:v>9.0835714285714282</c:v>
                </c:pt>
                <c:pt idx="11">
                  <c:v>8.0674671240708982</c:v>
                </c:pt>
                <c:pt idx="12">
                  <c:v>8.2016865776528469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A71-48C5-911E-C5E5FFB2CD42}"/>
            </c:ext>
          </c:extLst>
        </c:ser>
        <c:ser>
          <c:idx val="0"/>
          <c:order val="2"/>
          <c:tx>
            <c:strRef>
              <c:f>'EM evol menusual lugar resd'!$K$271:$L$271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A71-48C5-911E-C5E5FFB2CD42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resd'!$K$273:$K$285</c:f>
              <c:numCache>
                <c:formatCode>0.00</c:formatCode>
                <c:ptCount val="13"/>
                <c:pt idx="0">
                  <c:v>8.8081096516276407</c:v>
                </c:pt>
                <c:pt idx="1">
                  <c:v>8.6939151813153046</c:v>
                </c:pt>
                <c:pt idx="2">
                  <c:v>7.8153126826417303</c:v>
                </c:pt>
                <c:pt idx="3">
                  <c:v>9.968036529680365</c:v>
                </c:pt>
                <c:pt idx="4">
                  <c:v>7.6216216216216219</c:v>
                </c:pt>
                <c:pt idx="5">
                  <c:v>6.5042016806722689</c:v>
                </c:pt>
                <c:pt idx="6">
                  <c:v>6.2028985507246377</c:v>
                </c:pt>
                <c:pt idx="7">
                  <c:v>6.564516129032258</c:v>
                </c:pt>
                <c:pt idx="8">
                  <c:v>9.7278106508875748</c:v>
                </c:pt>
                <c:pt idx="9">
                  <c:v>5.7896389324960751</c:v>
                </c:pt>
                <c:pt idx="10">
                  <c:v>8.9146238377007609</c:v>
                </c:pt>
                <c:pt idx="11">
                  <c:v>8.1882591093117405</c:v>
                </c:pt>
                <c:pt idx="12">
                  <c:v>8.3508018027460427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A71-48C5-911E-C5E5FFB2CD42}"/>
            </c:ext>
          </c:extLst>
        </c:ser>
        <c:ser>
          <c:idx val="1"/>
          <c:order val="3"/>
          <c:tx>
            <c:strRef>
              <c:f>'EM evol menusual lugar resd'!$M$271:$N$271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A71-48C5-911E-C5E5FFB2CD4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FA71-48C5-911E-C5E5FFB2CD42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resd'!$M$273:$M$285</c:f>
              <c:numCache>
                <c:formatCode>0.00</c:formatCode>
                <c:ptCount val="13"/>
                <c:pt idx="0">
                  <c:v>10.442715700141443</c:v>
                </c:pt>
                <c:pt idx="12">
                  <c:v>10.442715700141443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A71-48C5-911E-C5E5FFB2CD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resd'!$C$271:$D$271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FA71-48C5-911E-C5E5FFB2CD42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resd'!$C$273:$C$285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10.432530667878238</c:v>
                      </c:pt>
                      <c:pt idx="1">
                        <c:v>9.7348002316155178</c:v>
                      </c:pt>
                      <c:pt idx="2">
                        <c:v>12.519774011299434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2.9130434782608696</c:v>
                      </c:pt>
                      <c:pt idx="8">
                        <c:v>5.583333333333333</c:v>
                      </c:pt>
                      <c:pt idx="9">
                        <c:v>5.2173913043478262</c:v>
                      </c:pt>
                      <c:pt idx="10">
                        <c:v>9.1702127659574462</c:v>
                      </c:pt>
                      <c:pt idx="11">
                        <c:v>9.0740740740740744</c:v>
                      </c:pt>
                      <c:pt idx="12">
                        <c:v>10.33891299855342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FA71-48C5-911E-C5E5FFB2CD42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resd'!$N$272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A71-48C5-911E-C5E5FFB2CD4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A71-48C5-911E-C5E5FFB2CD4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A71-48C5-911E-C5E5FFB2CD4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A71-48C5-911E-C5E5FFB2CD4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A71-48C5-911E-C5E5FFB2CD4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A71-48C5-911E-C5E5FFB2CD4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A71-48C5-911E-C5E5FFB2CD4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A71-48C5-911E-C5E5FFB2CD4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A71-48C5-911E-C5E5FFB2CD4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A71-48C5-911E-C5E5FFB2CD4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A71-48C5-911E-C5E5FFB2CD4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A71-48C5-911E-C5E5FFB2CD4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A71-48C5-911E-C5E5FFB2CD42}"/>
              </c:ext>
            </c:extLst>
          </c:dPt>
          <c:cat>
            <c:strRef>
              <c:f>'EM evol menusual lugar resd'!$B$273:$B$284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resd'!$N$273:$N$285</c:f>
              <c:numCache>
                <c:formatCode>0.00</c:formatCode>
                <c:ptCount val="13"/>
                <c:pt idx="0">
                  <c:v>1.6346060485138025</c:v>
                </c:pt>
                <c:pt idx="12">
                  <c:v>1.6346060485138025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FA71-48C5-911E-C5E5FFB2CD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mensu TF cat 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D4C-4229-AFA7-EBFB0539589D}"/>
              </c:ext>
            </c:extLst>
          </c:dPt>
          <c:val>
            <c:numRef>
              <c:f>'EM evol mensu TF cat '!$I$9:$I$21</c:f>
              <c:numCache>
                <c:formatCode>0.00</c:formatCode>
                <c:ptCount val="13"/>
                <c:pt idx="0">
                  <c:v>7.6495140460657698</c:v>
                </c:pt>
                <c:pt idx="1">
                  <c:v>7.1207352712306973</c:v>
                </c:pt>
                <c:pt idx="2">
                  <c:v>6.5608761101911783</c:v>
                </c:pt>
                <c:pt idx="3">
                  <c:v>5.8235402468226196</c:v>
                </c:pt>
                <c:pt idx="4">
                  <c:v>5.8624737512478911</c:v>
                </c:pt>
                <c:pt idx="5">
                  <c:v>5.5192868356133662</c:v>
                </c:pt>
                <c:pt idx="6">
                  <c:v>6.1112336431001788</c:v>
                </c:pt>
                <c:pt idx="7">
                  <c:v>6.5705482072584172</c:v>
                </c:pt>
                <c:pt idx="8">
                  <c:v>6.1392882492936769</c:v>
                </c:pt>
                <c:pt idx="9">
                  <c:v>6.0482481494536486</c:v>
                </c:pt>
                <c:pt idx="10">
                  <c:v>6.9049731284535616</c:v>
                </c:pt>
                <c:pt idx="11">
                  <c:v>7.0489614480564127</c:v>
                </c:pt>
                <c:pt idx="12">
                  <c:v>6.4214324031645127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D4C-4229-AFA7-EBFB0539589D}"/>
            </c:ext>
          </c:extLst>
        </c:ser>
        <c:ser>
          <c:idx val="0"/>
          <c:order val="2"/>
          <c:tx>
            <c:strRef>
              <c:f>'EM evol mensu TF cat 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D4C-4229-AFA7-EBFB0539589D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'!$K$9:$K$21</c:f>
              <c:numCache>
                <c:formatCode>0.00</c:formatCode>
                <c:ptCount val="13"/>
                <c:pt idx="0">
                  <c:v>7.4799863525689734</c:v>
                </c:pt>
                <c:pt idx="1">
                  <c:v>7.130149994765886</c:v>
                </c:pt>
                <c:pt idx="2">
                  <c:v>6.5438265292744955</c:v>
                </c:pt>
                <c:pt idx="3">
                  <c:v>6.1835149147193631</c:v>
                </c:pt>
                <c:pt idx="4">
                  <c:v>5.2644131577239994</c:v>
                </c:pt>
                <c:pt idx="5">
                  <c:v>5.5214346527886038</c:v>
                </c:pt>
                <c:pt idx="6">
                  <c:v>5.9086820362473347</c:v>
                </c:pt>
                <c:pt idx="7">
                  <c:v>6.1984073500011228</c:v>
                </c:pt>
                <c:pt idx="8">
                  <c:v>6.305475355743452</c:v>
                </c:pt>
                <c:pt idx="9">
                  <c:v>5.9983995699607835</c:v>
                </c:pt>
                <c:pt idx="10">
                  <c:v>6.5895340110527396</c:v>
                </c:pt>
                <c:pt idx="11">
                  <c:v>6.903225806451613</c:v>
                </c:pt>
                <c:pt idx="12">
                  <c:v>6.2905465704823937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D4C-4229-AFA7-EBFB0539589D}"/>
            </c:ext>
          </c:extLst>
        </c:ser>
        <c:ser>
          <c:idx val="1"/>
          <c:order val="3"/>
          <c:tx>
            <c:strRef>
              <c:f>'EM evol mensu TF cat 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D4C-4229-AFA7-EBFB0539589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2D4C-4229-AFA7-EBFB0539589D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'!$M$9:$M$21</c:f>
              <c:numCache>
                <c:formatCode>0.00</c:formatCode>
                <c:ptCount val="13"/>
                <c:pt idx="0">
                  <c:v>7.5668246445497633</c:v>
                </c:pt>
                <c:pt idx="12">
                  <c:v>7.5668246445497633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D4C-4229-AFA7-EBFB053958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mensu TF cat 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2D4C-4229-AFA7-EBFB0539589D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mensu TF cat 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mensu TF cat '!$C$9:$C$21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8.049077653275921</c:v>
                      </c:pt>
                      <c:pt idx="1">
                        <c:v>7.4743507451034814</c:v>
                      </c:pt>
                      <c:pt idx="2">
                        <c:v>9.3527138440398492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5.3355448053443908</c:v>
                      </c:pt>
                      <c:pt idx="8">
                        <c:v>4.5957519503445132</c:v>
                      </c:pt>
                      <c:pt idx="9">
                        <c:v>3.774981495188749</c:v>
                      </c:pt>
                      <c:pt idx="10">
                        <c:v>5.968881685575365</c:v>
                      </c:pt>
                      <c:pt idx="11">
                        <c:v>5.0320915619389588</c:v>
                      </c:pt>
                      <c:pt idx="12">
                        <c:v>6.8485442911860428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2D4C-4229-AFA7-EBFB0539589D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mensu TF cat '!$N$8</c:f>
              <c:strCache>
                <c:ptCount val="1"/>
                <c:pt idx="0">
                  <c:v>def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D4C-4229-AFA7-EBFB0539589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D4C-4229-AFA7-EBFB0539589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D4C-4229-AFA7-EBFB0539589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D4C-4229-AFA7-EBFB0539589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D4C-4229-AFA7-EBFB0539589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D4C-4229-AFA7-EBFB0539589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D4C-4229-AFA7-EBFB0539589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D4C-4229-AFA7-EBFB0539589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D4C-4229-AFA7-EBFB0539589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D4C-4229-AFA7-EBFB0539589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D4C-4229-AFA7-EBFB0539589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D4C-4229-AFA7-EBFB0539589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D4C-4229-AFA7-EBFB0539589D}"/>
              </c:ext>
            </c:extLst>
          </c:dPt>
          <c:cat>
            <c:strRef>
              <c:f>'EM evol mensu TF cat 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'!$N$9:$N$21</c:f>
              <c:numCache>
                <c:formatCode>0.00</c:formatCode>
                <c:ptCount val="13"/>
                <c:pt idx="0">
                  <c:v>8.6838291980789961E-2</c:v>
                </c:pt>
                <c:pt idx="12">
                  <c:v>8.6838291980789961E-2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2D4C-4229-AFA7-EBFB053958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mensu TF cat 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942-46DA-8DBA-13305C2EFB82}"/>
              </c:ext>
            </c:extLst>
          </c:dPt>
          <c:val>
            <c:numRef>
              <c:f>'EM evol mensu TF cat '!$I$31:$I$43</c:f>
              <c:numCache>
                <c:formatCode>0.00</c:formatCode>
                <c:ptCount val="13"/>
                <c:pt idx="0">
                  <c:v>7.2951352442470734</c:v>
                </c:pt>
                <c:pt idx="1">
                  <c:v>6.6877820526151606</c:v>
                </c:pt>
                <c:pt idx="2">
                  <c:v>6.3821791406468451</c:v>
                </c:pt>
                <c:pt idx="3">
                  <c:v>5.8500116090085905</c:v>
                </c:pt>
                <c:pt idx="4">
                  <c:v>5.9152615464228733</c:v>
                </c:pt>
                <c:pt idx="5">
                  <c:v>5.5275941664043646</c:v>
                </c:pt>
                <c:pt idx="6">
                  <c:v>5.9000261028452101</c:v>
                </c:pt>
                <c:pt idx="7">
                  <c:v>6.5134050880626226</c:v>
                </c:pt>
                <c:pt idx="8">
                  <c:v>6.2223256455338367</c:v>
                </c:pt>
                <c:pt idx="9">
                  <c:v>5.9883141112618725</c:v>
                </c:pt>
                <c:pt idx="10">
                  <c:v>6.5813258435058151</c:v>
                </c:pt>
                <c:pt idx="11">
                  <c:v>6.8286991646731243</c:v>
                </c:pt>
                <c:pt idx="12">
                  <c:v>6.292885291918461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942-46DA-8DBA-13305C2EFB82}"/>
            </c:ext>
          </c:extLst>
        </c:ser>
        <c:ser>
          <c:idx val="0"/>
          <c:order val="2"/>
          <c:tx>
            <c:strRef>
              <c:f>'EM evol mensu TF cat 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942-46DA-8DBA-13305C2EFB82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'!$K$31:$K$43</c:f>
              <c:numCache>
                <c:formatCode>0.00</c:formatCode>
                <c:ptCount val="13"/>
                <c:pt idx="0">
                  <c:v>7.1438314612938214</c:v>
                </c:pt>
                <c:pt idx="1">
                  <c:v>6.8093968971177432</c:v>
                </c:pt>
                <c:pt idx="2">
                  <c:v>6.3870607741853203</c:v>
                </c:pt>
                <c:pt idx="3">
                  <c:v>6.3142779576877581</c:v>
                </c:pt>
                <c:pt idx="4">
                  <c:v>5.4284928225793401</c:v>
                </c:pt>
                <c:pt idx="5">
                  <c:v>5.6843582161607626</c:v>
                </c:pt>
                <c:pt idx="6">
                  <c:v>5.9975975975975979</c:v>
                </c:pt>
                <c:pt idx="7">
                  <c:v>6.1746327130264449</c:v>
                </c:pt>
                <c:pt idx="8">
                  <c:v>6.434873568898773</c:v>
                </c:pt>
                <c:pt idx="9">
                  <c:v>6.0413623109988874</c:v>
                </c:pt>
                <c:pt idx="10">
                  <c:v>6.393363528948405</c:v>
                </c:pt>
                <c:pt idx="11">
                  <c:v>6.6342549078721031</c:v>
                </c:pt>
                <c:pt idx="12">
                  <c:v>6.2611466687178075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942-46DA-8DBA-13305C2EFB82}"/>
            </c:ext>
          </c:extLst>
        </c:ser>
        <c:ser>
          <c:idx val="1"/>
          <c:order val="3"/>
          <c:tx>
            <c:strRef>
              <c:f>'EM evol mensu TF cat 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942-46DA-8DBA-13305C2EFB8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7942-46DA-8DBA-13305C2EFB82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'!$M$31:$M$43</c:f>
              <c:numCache>
                <c:formatCode>0.00</c:formatCode>
                <c:ptCount val="13"/>
                <c:pt idx="0">
                  <c:v>7.2497312464697625</c:v>
                </c:pt>
                <c:pt idx="12">
                  <c:v>7.2497312464697625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942-46DA-8DBA-13305C2EFB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mensu TF cat 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7942-46DA-8DBA-13305C2EFB82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mensu TF cat 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mensu TF cat '!$C$31:$C$43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7.5954477961068285</c:v>
                      </c:pt>
                      <c:pt idx="1">
                        <c:v>6.9212380158399336</c:v>
                      </c:pt>
                      <c:pt idx="2">
                        <c:v>8.5903753407422947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5.0789443289443286</c:v>
                      </c:pt>
                      <c:pt idx="8">
                        <c:v>4.4273724983860552</c:v>
                      </c:pt>
                      <c:pt idx="9">
                        <c:v>3.842143638352169</c:v>
                      </c:pt>
                      <c:pt idx="10">
                        <c:v>6.1645193260654114</c:v>
                      </c:pt>
                      <c:pt idx="11">
                        <c:v>5.060939794419971</c:v>
                      </c:pt>
                      <c:pt idx="12">
                        <c:v>6.5331335331335332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7942-46DA-8DBA-13305C2EFB82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mensu TF cat '!$N$30</c:f>
              <c:strCache>
                <c:ptCount val="1"/>
                <c:pt idx="0">
                  <c:v>def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942-46DA-8DBA-13305C2EFB8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942-46DA-8DBA-13305C2EFB8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942-46DA-8DBA-13305C2EFB8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942-46DA-8DBA-13305C2EFB8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942-46DA-8DBA-13305C2EFB8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942-46DA-8DBA-13305C2EFB8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942-46DA-8DBA-13305C2EFB8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942-46DA-8DBA-13305C2EFB8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942-46DA-8DBA-13305C2EFB8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942-46DA-8DBA-13305C2EFB8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942-46DA-8DBA-13305C2EFB8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942-46DA-8DBA-13305C2EFB8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942-46DA-8DBA-13305C2EFB82}"/>
              </c:ext>
            </c:extLst>
          </c:dPt>
          <c:cat>
            <c:strRef>
              <c:f>'EM evol mensu TF cat 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'!$N$31:$N$43</c:f>
              <c:numCache>
                <c:formatCode>0.00</c:formatCode>
                <c:ptCount val="13"/>
                <c:pt idx="0">
                  <c:v>0.10589978517594112</c:v>
                </c:pt>
                <c:pt idx="12">
                  <c:v>0.10589978517594112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7942-46DA-8DBA-13305C2EFB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1187294267900032"/>
          <c:w val="0.86939722222222227"/>
          <c:h val="0.42070463713947498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mensu TF cat 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8F0-4508-9CFA-66E91019414F}"/>
              </c:ext>
            </c:extLst>
          </c:dPt>
          <c:val>
            <c:numRef>
              <c:f>'EM evol mensu TF cat '!$I$53:$I$65</c:f>
              <c:numCache>
                <c:formatCode>0.00</c:formatCode>
                <c:ptCount val="13"/>
                <c:pt idx="0">
                  <c:v>7.4522752628955304</c:v>
                </c:pt>
                <c:pt idx="1">
                  <c:v>6.8233836393824499</c:v>
                </c:pt>
                <c:pt idx="2">
                  <c:v>6.649440715883669</c:v>
                </c:pt>
                <c:pt idx="3">
                  <c:v>6.0809907379465633</c:v>
                </c:pt>
                <c:pt idx="4">
                  <c:v>6.1505074160811866</c:v>
                </c:pt>
                <c:pt idx="5">
                  <c:v>5.7960487723120755</c:v>
                </c:pt>
                <c:pt idx="6">
                  <c:v>6.2268733148410371</c:v>
                </c:pt>
                <c:pt idx="7">
                  <c:v>6.8111707717883556</c:v>
                </c:pt>
                <c:pt idx="8">
                  <c:v>6.4222709551656916</c:v>
                </c:pt>
                <c:pt idx="9">
                  <c:v>6.1433065569229548</c:v>
                </c:pt>
                <c:pt idx="10">
                  <c:v>6.6964430937807649</c:v>
                </c:pt>
                <c:pt idx="11">
                  <c:v>6.9909702299769556</c:v>
                </c:pt>
                <c:pt idx="12">
                  <c:v>6.5094102291985605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8F0-4508-9CFA-66E91019414F}"/>
            </c:ext>
          </c:extLst>
        </c:ser>
        <c:ser>
          <c:idx val="0"/>
          <c:order val="2"/>
          <c:tx>
            <c:strRef>
              <c:f>'EM evol mensu TF cat 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8F0-4508-9CFA-66E91019414F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'!$K$53:$K$65</c:f>
              <c:numCache>
                <c:formatCode>0.00</c:formatCode>
                <c:ptCount val="13"/>
                <c:pt idx="0">
                  <c:v>7.2061604213434638</c:v>
                </c:pt>
                <c:pt idx="1">
                  <c:v>6.9122049926699844</c:v>
                </c:pt>
                <c:pt idx="2">
                  <c:v>6.5643052542213001</c:v>
                </c:pt>
                <c:pt idx="3">
                  <c:v>6.674921068752651</c:v>
                </c:pt>
                <c:pt idx="4">
                  <c:v>5.7345799120519905</c:v>
                </c:pt>
                <c:pt idx="5">
                  <c:v>6.0057444356407119</c:v>
                </c:pt>
                <c:pt idx="6">
                  <c:v>6.2800901752117628</c:v>
                </c:pt>
                <c:pt idx="7">
                  <c:v>6.3516104231756989</c:v>
                </c:pt>
                <c:pt idx="8">
                  <c:v>6.665046939687846</c:v>
                </c:pt>
                <c:pt idx="9">
                  <c:v>6.3976284727870869</c:v>
                </c:pt>
                <c:pt idx="10">
                  <c:v>6.8044554455445541</c:v>
                </c:pt>
                <c:pt idx="11">
                  <c:v>6.8213794998625996</c:v>
                </c:pt>
                <c:pt idx="12">
                  <c:v>6.5121287737220879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8F0-4508-9CFA-66E91019414F}"/>
            </c:ext>
          </c:extLst>
        </c:ser>
        <c:ser>
          <c:idx val="1"/>
          <c:order val="3"/>
          <c:tx>
            <c:strRef>
              <c:f>'EM evol mensu TF cat 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8F0-4508-9CFA-66E91019414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58F0-4508-9CFA-66E91019414F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'!$M$53:$M$65</c:f>
              <c:numCache>
                <c:formatCode>0.00</c:formatCode>
                <c:ptCount val="13"/>
                <c:pt idx="0">
                  <c:v>7.4404097844724673</c:v>
                </c:pt>
                <c:pt idx="12">
                  <c:v>7.4404097844724673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8F0-4508-9CFA-66E9101941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mensu TF cat 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58F0-4508-9CFA-66E91019414F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mensu TF cat 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mensu TF cat '!$C$53:$C$65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7.8575377202992263</c:v>
                      </c:pt>
                      <c:pt idx="1">
                        <c:v>7.1317147822478146</c:v>
                      </c:pt>
                      <c:pt idx="2">
                        <c:v>8.9422952096585746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5.2951926897099719</c:v>
                      </c:pt>
                      <c:pt idx="8">
                        <c:v>4.6933310591847182</c:v>
                      </c:pt>
                      <c:pt idx="9">
                        <c:v>4.0031424581005588</c:v>
                      </c:pt>
                      <c:pt idx="10">
                        <c:v>7.5808177302254487</c:v>
                      </c:pt>
                      <c:pt idx="11">
                        <c:v>5.1866415297603012</c:v>
                      </c:pt>
                      <c:pt idx="12">
                        <c:v>6.7828565838934614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58F0-4508-9CFA-66E91019414F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mensu TF cat '!$N$52</c:f>
              <c:strCache>
                <c:ptCount val="1"/>
                <c:pt idx="0">
                  <c:v>def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8F0-4508-9CFA-66E91019414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8F0-4508-9CFA-66E91019414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8F0-4508-9CFA-66E91019414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8F0-4508-9CFA-66E91019414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8F0-4508-9CFA-66E91019414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8F0-4508-9CFA-66E91019414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8F0-4508-9CFA-66E91019414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8F0-4508-9CFA-66E91019414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8F0-4508-9CFA-66E91019414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8F0-4508-9CFA-66E91019414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8F0-4508-9CFA-66E91019414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8F0-4508-9CFA-66E91019414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8F0-4508-9CFA-66E91019414F}"/>
              </c:ext>
            </c:extLst>
          </c:dPt>
          <c:cat>
            <c:strRef>
              <c:f>'EM evol mensu TF cat 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'!$N$53:$N$65</c:f>
              <c:numCache>
                <c:formatCode>0.00</c:formatCode>
                <c:ptCount val="13"/>
                <c:pt idx="0">
                  <c:v>0.23424936312900346</c:v>
                </c:pt>
                <c:pt idx="12">
                  <c:v>0.23424936312900346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58F0-4508-9CFA-66E9101941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TF'!$I$117:$J$117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4D3-41BD-9192-6902B408FB0B}"/>
              </c:ext>
            </c:extLst>
          </c:dPt>
          <c:val>
            <c:numRef>
              <c:f>'Viajeros entr evol mensu TF'!$I$119:$I$131</c:f>
              <c:numCache>
                <c:formatCode>#,##0</c:formatCode>
                <c:ptCount val="13"/>
                <c:pt idx="0">
                  <c:v>7281</c:v>
                </c:pt>
                <c:pt idx="1">
                  <c:v>7345</c:v>
                </c:pt>
                <c:pt idx="2">
                  <c:v>7695</c:v>
                </c:pt>
                <c:pt idx="3">
                  <c:v>6310</c:v>
                </c:pt>
                <c:pt idx="4">
                  <c:v>5598</c:v>
                </c:pt>
                <c:pt idx="5">
                  <c:v>6492</c:v>
                </c:pt>
                <c:pt idx="6">
                  <c:v>8234</c:v>
                </c:pt>
                <c:pt idx="7">
                  <c:v>8909</c:v>
                </c:pt>
                <c:pt idx="8">
                  <c:v>9384</c:v>
                </c:pt>
                <c:pt idx="9">
                  <c:v>9558</c:v>
                </c:pt>
                <c:pt idx="10">
                  <c:v>8753</c:v>
                </c:pt>
                <c:pt idx="11">
                  <c:v>8301</c:v>
                </c:pt>
                <c:pt idx="12">
                  <c:v>93860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4D3-41BD-9192-6902B408FB0B}"/>
            </c:ext>
          </c:extLst>
        </c:ser>
        <c:ser>
          <c:idx val="0"/>
          <c:order val="2"/>
          <c:tx>
            <c:strRef>
              <c:f>'Viajeros entr evol mensu TF'!$K$117:$L$117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4D3-41BD-9192-6902B408FB0B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TF'!$K$119:$K$131</c:f>
              <c:numCache>
                <c:formatCode>#,##0</c:formatCode>
                <c:ptCount val="13"/>
                <c:pt idx="0">
                  <c:v>9178</c:v>
                </c:pt>
                <c:pt idx="1">
                  <c:v>9359</c:v>
                </c:pt>
                <c:pt idx="2">
                  <c:v>9705</c:v>
                </c:pt>
                <c:pt idx="3">
                  <c:v>6601</c:v>
                </c:pt>
                <c:pt idx="4">
                  <c:v>7123</c:v>
                </c:pt>
                <c:pt idx="5">
                  <c:v>8890</c:v>
                </c:pt>
                <c:pt idx="6">
                  <c:v>10473</c:v>
                </c:pt>
                <c:pt idx="7">
                  <c:v>9992</c:v>
                </c:pt>
                <c:pt idx="8">
                  <c:v>10580</c:v>
                </c:pt>
                <c:pt idx="9">
                  <c:v>10747</c:v>
                </c:pt>
                <c:pt idx="10">
                  <c:v>8740</c:v>
                </c:pt>
                <c:pt idx="11">
                  <c:v>8925</c:v>
                </c:pt>
                <c:pt idx="12">
                  <c:v>110313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4D3-41BD-9192-6902B408FB0B}"/>
            </c:ext>
          </c:extLst>
        </c:ser>
        <c:ser>
          <c:idx val="1"/>
          <c:order val="3"/>
          <c:tx>
            <c:strRef>
              <c:f>'Viajeros entr evol mensu TF'!$M$117:$N$117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44D3-41BD-9192-6902B408FB0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44D3-41BD-9192-6902B408FB0B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TF'!$M$119:$M$131</c:f>
              <c:numCache>
                <c:formatCode>#,##0</c:formatCode>
                <c:ptCount val="13"/>
                <c:pt idx="0">
                  <c:v>8953</c:v>
                </c:pt>
                <c:pt idx="12">
                  <c:v>8953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4D3-41BD-9192-6902B408FB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TF'!$C$117:$D$117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01-44D3-41BD-9192-6902B408FB0B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TF'!$C$119:$C$131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7157</c:v>
                      </c:pt>
                      <c:pt idx="1">
                        <c:v>6693</c:v>
                      </c:pt>
                      <c:pt idx="2">
                        <c:v>2950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642</c:v>
                      </c:pt>
                      <c:pt idx="8">
                        <c:v>721</c:v>
                      </c:pt>
                      <c:pt idx="9">
                        <c:v>677</c:v>
                      </c:pt>
                      <c:pt idx="10">
                        <c:v>468</c:v>
                      </c:pt>
                      <c:pt idx="11">
                        <c:v>669</c:v>
                      </c:pt>
                      <c:pt idx="12">
                        <c:v>21332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2-44D3-41BD-9192-6902B408FB0B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TF'!$N$118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4D3-41BD-9192-6902B408FB0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4D3-41BD-9192-6902B408FB0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4D3-41BD-9192-6902B408FB0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4D3-41BD-9192-6902B408FB0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4D3-41BD-9192-6902B408FB0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4D3-41BD-9192-6902B408FB0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4D3-41BD-9192-6902B408FB0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4D3-41BD-9192-6902B408FB0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4D3-41BD-9192-6902B408FB0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4D3-41BD-9192-6902B408FB0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4D3-41BD-9192-6902B408FB0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4D3-41BD-9192-6902B408FB0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4D3-41BD-9192-6902B408FB0B}"/>
              </c:ext>
            </c:extLst>
          </c:dPt>
          <c:cat>
            <c:strRef>
              <c:f>'Viajeros entr evol mensu TF'!$B$119:$B$130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TF'!$N$119:$N$131</c:f>
              <c:numCache>
                <c:formatCode>0.0%</c:formatCode>
                <c:ptCount val="13"/>
                <c:pt idx="0">
                  <c:v>-2.4515144911745446E-2</c:v>
                </c:pt>
                <c:pt idx="12">
                  <c:v>-2.4515144911745446E-2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44D3-41BD-9192-6902B408FB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mensu TF cat 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AFB-4545-9302-57F5B047726B}"/>
              </c:ext>
            </c:extLst>
          </c:dPt>
          <c:val>
            <c:numRef>
              <c:f>'EM evol mensu TF cat '!$I$75:$I$87</c:f>
              <c:numCache>
                <c:formatCode>0.00</c:formatCode>
                <c:ptCount val="13"/>
                <c:pt idx="0">
                  <c:v>6.402131390799946</c:v>
                </c:pt>
                <c:pt idx="1">
                  <c:v>5.980082772891878</c:v>
                </c:pt>
                <c:pt idx="2">
                  <c:v>5.0466182224706539</c:v>
                </c:pt>
                <c:pt idx="3">
                  <c:v>4.6936664729808255</c:v>
                </c:pt>
                <c:pt idx="4">
                  <c:v>4.7778057372924003</c:v>
                </c:pt>
                <c:pt idx="5">
                  <c:v>4.1722022424370637</c:v>
                </c:pt>
                <c:pt idx="6">
                  <c:v>4.170584009032126</c:v>
                </c:pt>
                <c:pt idx="7">
                  <c:v>4.779459218871704</c:v>
                </c:pt>
                <c:pt idx="8">
                  <c:v>5.0990189368012775</c:v>
                </c:pt>
                <c:pt idx="9">
                  <c:v>5.0577334283677837</c:v>
                </c:pt>
                <c:pt idx="10">
                  <c:v>5.9711887477313974</c:v>
                </c:pt>
                <c:pt idx="11">
                  <c:v>6.0141643059490084</c:v>
                </c:pt>
                <c:pt idx="12">
                  <c:v>5.1413953668476946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AFB-4545-9302-57F5B047726B}"/>
            </c:ext>
          </c:extLst>
        </c:ser>
        <c:ser>
          <c:idx val="0"/>
          <c:order val="2"/>
          <c:tx>
            <c:strRef>
              <c:f>'EM evol mensu TF cat 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AFB-4545-9302-57F5B047726B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'!$K$75:$K$87</c:f>
              <c:numCache>
                <c:formatCode>0.00</c:formatCode>
                <c:ptCount val="13"/>
                <c:pt idx="0">
                  <c:v>6.7859710001239311</c:v>
                </c:pt>
                <c:pt idx="1">
                  <c:v>6.2041089229273041</c:v>
                </c:pt>
                <c:pt idx="2">
                  <c:v>5.4204136228006998</c:v>
                </c:pt>
                <c:pt idx="3">
                  <c:v>4.637230196121398</c:v>
                </c:pt>
                <c:pt idx="4">
                  <c:v>3.9154563816485526</c:v>
                </c:pt>
                <c:pt idx="5">
                  <c:v>4.0244605654761907</c:v>
                </c:pt>
                <c:pt idx="6">
                  <c:v>4.4851792687255942</c:v>
                </c:pt>
                <c:pt idx="7">
                  <c:v>5.1279868433781566</c:v>
                </c:pt>
                <c:pt idx="8">
                  <c:v>5.1554667242869492</c:v>
                </c:pt>
                <c:pt idx="9">
                  <c:v>4.2832931941842833</c:v>
                </c:pt>
                <c:pt idx="10">
                  <c:v>4.5765741728922089</c:v>
                </c:pt>
                <c:pt idx="11">
                  <c:v>5.6595463554283194</c:v>
                </c:pt>
                <c:pt idx="12">
                  <c:v>4.9450744809921812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AFB-4545-9302-57F5B047726B}"/>
            </c:ext>
          </c:extLst>
        </c:ser>
        <c:ser>
          <c:idx val="1"/>
          <c:order val="3"/>
          <c:tx>
            <c:strRef>
              <c:f>'EM evol mensu TF cat 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AFB-4545-9302-57F5B047726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7AFB-4545-9302-57F5B047726B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'!$M$75:$M$87</c:f>
              <c:numCache>
                <c:formatCode>0.00</c:formatCode>
                <c:ptCount val="13"/>
                <c:pt idx="0">
                  <c:v>6.2525539160045405</c:v>
                </c:pt>
                <c:pt idx="12">
                  <c:v>6.2525539160045405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AFB-4545-9302-57F5B04772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mensu TF cat '!$C$73:$D$73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7AFB-4545-9302-57F5B047726B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mensu TF cat 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mensu TF cat '!$C$75:$C$87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6.5329975328947372</c:v>
                      </c:pt>
                      <c:pt idx="1">
                        <c:v>6.0604646228916943</c:v>
                      </c:pt>
                      <c:pt idx="2">
                        <c:v>7.1130790190735693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3.6038843721770553</c:v>
                      </c:pt>
                      <c:pt idx="8">
                        <c:v>3.0194130925507903</c:v>
                      </c:pt>
                      <c:pt idx="9">
                        <c:v>3.2609243697478991</c:v>
                      </c:pt>
                      <c:pt idx="10">
                        <c:v>3.5525017618040873</c:v>
                      </c:pt>
                      <c:pt idx="11">
                        <c:v>4.7919308357348704</c:v>
                      </c:pt>
                      <c:pt idx="12">
                        <c:v>5.4836294229922187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7AFB-4545-9302-57F5B047726B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mensu TF cat '!$N$74</c:f>
              <c:strCache>
                <c:ptCount val="1"/>
                <c:pt idx="0">
                  <c:v>def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AFB-4545-9302-57F5B047726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AFB-4545-9302-57F5B047726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AFB-4545-9302-57F5B047726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AFB-4545-9302-57F5B047726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AFB-4545-9302-57F5B047726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AFB-4545-9302-57F5B047726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AFB-4545-9302-57F5B047726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AFB-4545-9302-57F5B047726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AFB-4545-9302-57F5B047726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AFB-4545-9302-57F5B047726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AFB-4545-9302-57F5B047726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AFB-4545-9302-57F5B047726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AFB-4545-9302-57F5B047726B}"/>
              </c:ext>
            </c:extLst>
          </c:dPt>
          <c:cat>
            <c:strRef>
              <c:f>'EM evol mensu TF cat 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'!$N$75:$N$87</c:f>
              <c:numCache>
                <c:formatCode>0.00</c:formatCode>
                <c:ptCount val="13"/>
                <c:pt idx="0">
                  <c:v>-0.53341708411939059</c:v>
                </c:pt>
                <c:pt idx="12">
                  <c:v>-0.53341708411939059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7AFB-4545-9302-57F5B04772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mensu TF cat '!$I$95:$J$95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5AB-4441-8E44-2E1CFF222E27}"/>
              </c:ext>
            </c:extLst>
          </c:dPt>
          <c:val>
            <c:numRef>
              <c:f>'EM evol mensu TF cat '!$I$97:$I$109</c:f>
              <c:numCache>
                <c:formatCode>0.00</c:formatCode>
                <c:ptCount val="13"/>
                <c:pt idx="0">
                  <c:v>9.3138983693591211</c:v>
                </c:pt>
                <c:pt idx="1">
                  <c:v>9.257286535303777</c:v>
                </c:pt>
                <c:pt idx="2">
                  <c:v>7.3106765741102855</c:v>
                </c:pt>
                <c:pt idx="3">
                  <c:v>5.7219251336898393</c:v>
                </c:pt>
                <c:pt idx="4">
                  <c:v>5.6535836177474401</c:v>
                </c:pt>
                <c:pt idx="5">
                  <c:v>5.485732448085888</c:v>
                </c:pt>
                <c:pt idx="6">
                  <c:v>7.1024423857285051</c:v>
                </c:pt>
                <c:pt idx="7">
                  <c:v>6.8658968307484827</c:v>
                </c:pt>
                <c:pt idx="8">
                  <c:v>5.7911396979113974</c:v>
                </c:pt>
                <c:pt idx="9">
                  <c:v>6.3435854575846218</c:v>
                </c:pt>
                <c:pt idx="10">
                  <c:v>8.6148577951108152</c:v>
                </c:pt>
                <c:pt idx="11">
                  <c:v>8.0222684342777928</c:v>
                </c:pt>
                <c:pt idx="12">
                  <c:v>6.9992286501377414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5AB-4441-8E44-2E1CFF222E27}"/>
            </c:ext>
          </c:extLst>
        </c:ser>
        <c:ser>
          <c:idx val="0"/>
          <c:order val="2"/>
          <c:tx>
            <c:strRef>
              <c:f>'EM evol mensu TF cat '!$K$95:$L$95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5AB-4441-8E44-2E1CFF222E27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'!$K$97:$K$109</c:f>
              <c:numCache>
                <c:formatCode>0.00</c:formatCode>
                <c:ptCount val="13"/>
                <c:pt idx="0">
                  <c:v>9.293335977786592</c:v>
                </c:pt>
                <c:pt idx="1">
                  <c:v>8.9097140618879749</c:v>
                </c:pt>
                <c:pt idx="2">
                  <c:v>7.2692931975800503</c:v>
                </c:pt>
                <c:pt idx="3">
                  <c:v>5.7332398504273501</c:v>
                </c:pt>
                <c:pt idx="4">
                  <c:v>4.600628519051984</c:v>
                </c:pt>
                <c:pt idx="5">
                  <c:v>4.8902332105909174</c:v>
                </c:pt>
                <c:pt idx="6">
                  <c:v>5.563702379016962</c:v>
                </c:pt>
                <c:pt idx="7">
                  <c:v>6.2951491687542704</c:v>
                </c:pt>
                <c:pt idx="8">
                  <c:v>5.840097162154156</c:v>
                </c:pt>
                <c:pt idx="9">
                  <c:v>5.8118023369671645</c:v>
                </c:pt>
                <c:pt idx="10">
                  <c:v>7.5575350230787919</c:v>
                </c:pt>
                <c:pt idx="11">
                  <c:v>8.2184356573014217</c:v>
                </c:pt>
                <c:pt idx="12">
                  <c:v>6.4162603502495603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5AB-4441-8E44-2E1CFF222E27}"/>
            </c:ext>
          </c:extLst>
        </c:ser>
        <c:ser>
          <c:idx val="1"/>
          <c:order val="3"/>
          <c:tx>
            <c:strRef>
              <c:f>'EM evol mensu TF cat '!$M$95:$N$95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5AB-4441-8E44-2E1CFF222E2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F5AB-4441-8E44-2E1CFF222E27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'!$M$97:$M$109</c:f>
              <c:numCache>
                <c:formatCode>0.00</c:formatCode>
                <c:ptCount val="13"/>
                <c:pt idx="0">
                  <c:v>9.2200056996295245</c:v>
                </c:pt>
                <c:pt idx="12">
                  <c:v>9.2200056996295245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5AB-4441-8E44-2E1CFF222E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mensu TF cat '!$C$95:$D$95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F5AB-4441-8E44-2E1CFF222E27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mensu TF cat 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mensu TF cat '!$C$97:$C$109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9.8849193282844912</c:v>
                      </c:pt>
                      <c:pt idx="1">
                        <c:v>10.220738900962434</c:v>
                      </c:pt>
                      <c:pt idx="2">
                        <c:v>12.805318138651472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6.3479152426520846</c:v>
                      </c:pt>
                      <c:pt idx="8">
                        <c:v>5.2441988950276244</c:v>
                      </c:pt>
                      <c:pt idx="9">
                        <c:v>3.5854975572126513</c:v>
                      </c:pt>
                      <c:pt idx="10">
                        <c:v>5.598875351452671</c:v>
                      </c:pt>
                      <c:pt idx="11">
                        <c:v>4.9867205542725177</c:v>
                      </c:pt>
                      <c:pt idx="12">
                        <c:v>7.997040568868429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F5AB-4441-8E44-2E1CFF222E27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mensu TF cat '!$N$96</c:f>
              <c:strCache>
                <c:ptCount val="1"/>
                <c:pt idx="0">
                  <c:v>def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5AB-4441-8E44-2E1CFF222E2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5AB-4441-8E44-2E1CFF222E2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5AB-4441-8E44-2E1CFF222E2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5AB-4441-8E44-2E1CFF222E2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5AB-4441-8E44-2E1CFF222E2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5AB-4441-8E44-2E1CFF222E2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5AB-4441-8E44-2E1CFF222E2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5AB-4441-8E44-2E1CFF222E2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5AB-4441-8E44-2E1CFF222E2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5AB-4441-8E44-2E1CFF222E2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5AB-4441-8E44-2E1CFF222E2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5AB-4441-8E44-2E1CFF222E2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5AB-4441-8E44-2E1CFF222E27}"/>
              </c:ext>
            </c:extLst>
          </c:dPt>
          <c:cat>
            <c:strRef>
              <c:f>'EM evol mensu TF cat 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'!$N$97:$N$109</c:f>
              <c:numCache>
                <c:formatCode>0.00</c:formatCode>
                <c:ptCount val="13"/>
                <c:pt idx="0">
                  <c:v>-7.3330278157067497E-2</c:v>
                </c:pt>
                <c:pt idx="12">
                  <c:v>-7.3330278157067497E-2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F5AB-4441-8E44-2E1CFF222E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879304380456516"/>
          <c:y val="0.17750569674669167"/>
          <c:w val="0.87120700483091784"/>
          <c:h val="0.42248339762898768"/>
        </c:manualLayout>
      </c:layout>
      <c:lineChart>
        <c:grouping val="standard"/>
        <c:varyColors val="0"/>
        <c:ser>
          <c:idx val="5"/>
          <c:order val="1"/>
          <c:tx>
            <c:strRef>
              <c:f>'tasa de ocupación evol mens'!$I$7:$J$7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CC8-4F28-8197-4AF4A136824F}"/>
              </c:ext>
            </c:extLst>
          </c:dPt>
          <c:val>
            <c:numRef>
              <c:f>'tasa de ocupación evol mens'!$I$9:$I$21</c:f>
              <c:numCache>
                <c:formatCode>0.0%</c:formatCode>
                <c:ptCount val="13"/>
                <c:pt idx="0">
                  <c:v>0.77790000000000004</c:v>
                </c:pt>
                <c:pt idx="1">
                  <c:v>0.76489999999999991</c:v>
                </c:pt>
                <c:pt idx="2">
                  <c:v>0.73129999999999995</c:v>
                </c:pt>
                <c:pt idx="3">
                  <c:v>0.65780000000000005</c:v>
                </c:pt>
                <c:pt idx="4">
                  <c:v>0.59040000000000004</c:v>
                </c:pt>
                <c:pt idx="5">
                  <c:v>0.70200000000000007</c:v>
                </c:pt>
                <c:pt idx="6">
                  <c:v>0.75970000000000004</c:v>
                </c:pt>
                <c:pt idx="7">
                  <c:v>0.79819999999999991</c:v>
                </c:pt>
                <c:pt idx="8">
                  <c:v>0.75659999999999994</c:v>
                </c:pt>
                <c:pt idx="9">
                  <c:v>0.71200000000000008</c:v>
                </c:pt>
                <c:pt idx="10">
                  <c:v>0.7823</c:v>
                </c:pt>
                <c:pt idx="11">
                  <c:v>0.73170000000000002</c:v>
                </c:pt>
                <c:pt idx="12">
                  <c:v>0.73071425433679682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CC8-4F28-8197-4AF4A136824F}"/>
            </c:ext>
          </c:extLst>
        </c:ser>
        <c:ser>
          <c:idx val="0"/>
          <c:order val="2"/>
          <c:tx>
            <c:strRef>
              <c:f>'tasa de ocupación evol mens'!$K$7:$L$7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CC8-4F28-8197-4AF4A136824F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mens'!$K$9:$K$21</c:f>
              <c:numCache>
                <c:formatCode>0.0%</c:formatCode>
                <c:ptCount val="13"/>
                <c:pt idx="0">
                  <c:v>0.78709999999999991</c:v>
                </c:pt>
                <c:pt idx="1">
                  <c:v>0.83169999999999999</c:v>
                </c:pt>
                <c:pt idx="2">
                  <c:v>0.81389999999999996</c:v>
                </c:pt>
                <c:pt idx="3">
                  <c:v>0.68099999999999994</c:v>
                </c:pt>
                <c:pt idx="4">
                  <c:v>0.64980000000000004</c:v>
                </c:pt>
                <c:pt idx="5">
                  <c:v>0.76209999999999989</c:v>
                </c:pt>
                <c:pt idx="6">
                  <c:v>0.85219999999999996</c:v>
                </c:pt>
                <c:pt idx="7">
                  <c:v>0.88090000000000002</c:v>
                </c:pt>
                <c:pt idx="8">
                  <c:v>0.80830000000000002</c:v>
                </c:pt>
                <c:pt idx="9">
                  <c:v>0.78510000000000002</c:v>
                </c:pt>
                <c:pt idx="10">
                  <c:v>0.81129999999999991</c:v>
                </c:pt>
                <c:pt idx="11">
                  <c:v>0.76200000000000001</c:v>
                </c:pt>
                <c:pt idx="12">
                  <c:v>0.78531451498170857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CC8-4F28-8197-4AF4A136824F}"/>
            </c:ext>
          </c:extLst>
        </c:ser>
        <c:ser>
          <c:idx val="1"/>
          <c:order val="3"/>
          <c:tx>
            <c:strRef>
              <c:f>'tasa de ocupación evol mens'!$M$7:$N$7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rgbClr val="58B6C0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CC8-4F28-8197-4AF4A136824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ACC8-4F28-8197-4AF4A136824F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mens'!$M$9:$M$21</c:f>
              <c:numCache>
                <c:formatCode>0.0%</c:formatCode>
                <c:ptCount val="13"/>
                <c:pt idx="0">
                  <c:v>0.80409999999999993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CC8-4F28-8197-4AF4A13682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'tasa de ocupación evol mens'!$C$7:$D$7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ACC8-4F28-8197-4AF4A136824F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'tasa de ocupación evol mens'!$A$9:$A$21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'tasa de ocupación evol mens'!$C$9:$C$21</c15:sqref>
                        </c15:formulaRef>
                      </c:ext>
                    </c:extLst>
                    <c:numCache>
                      <c:formatCode>0.0%</c:formatCode>
                      <c:ptCount val="13"/>
                      <c:pt idx="0">
                        <c:v>0.74319999999999997</c:v>
                      </c:pt>
                      <c:pt idx="1">
                        <c:v>0.69359999999999999</c:v>
                      </c:pt>
                      <c:pt idx="2">
                        <c:v>0.33079999999999998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0.43159999999999998</c:v>
                      </c:pt>
                      <c:pt idx="8">
                        <c:v>0.29139999999999999</c:v>
                      </c:pt>
                      <c:pt idx="9">
                        <c:v>0.22320000000000001</c:v>
                      </c:pt>
                      <c:pt idx="10">
                        <c:v>0.18469999999999998</c:v>
                      </c:pt>
                      <c:pt idx="11">
                        <c:v>0.2039</c:v>
                      </c:pt>
                      <c:pt idx="12">
                        <c:v>0.48948502261743165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ACC8-4F28-8197-4AF4A136824F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'tasa de ocupación evol mens'!$N$8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CC8-4F28-8197-4AF4A136824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CC8-4F28-8197-4AF4A136824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CC8-4F28-8197-4AF4A136824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CC8-4F28-8197-4AF4A136824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CC8-4F28-8197-4AF4A136824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CC8-4F28-8197-4AF4A136824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CC8-4F28-8197-4AF4A136824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CC8-4F28-8197-4AF4A136824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CC8-4F28-8197-4AF4A136824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CC8-4F28-8197-4AF4A136824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CC8-4F28-8197-4AF4A136824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CC8-4F28-8197-4AF4A136824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CC8-4F28-8197-4AF4A136824F}"/>
              </c:ext>
            </c:extLst>
          </c:dPt>
          <c:cat>
            <c:strRef>
              <c:f>'tasa de ocupación evol mens'!$B$9:$B$20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mens'!$N$9:$N$21</c:f>
              <c:numCache>
                <c:formatCode>0.0%</c:formatCode>
                <c:ptCount val="13"/>
                <c:pt idx="0">
                  <c:v>2.1598272138229069E-2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ACC8-4F28-8197-4AF4A13682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546570048309177"/>
          <c:y val="0.19562368325463131"/>
          <c:w val="0.87427463768115943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mens'!$I$95:$J$95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BD9-435B-819E-2DCC6DE3FED1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mens'!$I$97:$I$109</c:f>
              <c:numCache>
                <c:formatCode>0.0%</c:formatCode>
                <c:ptCount val="13"/>
                <c:pt idx="0">
                  <c:v>0.72870000000000001</c:v>
                </c:pt>
                <c:pt idx="1">
                  <c:v>0.74080000000000001</c:v>
                </c:pt>
                <c:pt idx="2">
                  <c:v>0.69359999999999999</c:v>
                </c:pt>
                <c:pt idx="3">
                  <c:v>0.59079999999999999</c:v>
                </c:pt>
                <c:pt idx="4">
                  <c:v>0.49170000000000003</c:v>
                </c:pt>
                <c:pt idx="5">
                  <c:v>0.59560000000000002</c:v>
                </c:pt>
                <c:pt idx="6">
                  <c:v>0.68840000000000001</c:v>
                </c:pt>
                <c:pt idx="7">
                  <c:v>0.60450000000000004</c:v>
                </c:pt>
                <c:pt idx="8">
                  <c:v>0.61450000000000005</c:v>
                </c:pt>
                <c:pt idx="9">
                  <c:v>0.56320000000000003</c:v>
                </c:pt>
                <c:pt idx="10">
                  <c:v>0.69450000000000001</c:v>
                </c:pt>
                <c:pt idx="11">
                  <c:v>0.68709999999999993</c:v>
                </c:pt>
                <c:pt idx="12">
                  <c:v>0.64111666666666667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BD9-435B-819E-2DCC6DE3FED1}"/>
            </c:ext>
          </c:extLst>
        </c:ser>
        <c:ser>
          <c:idx val="0"/>
          <c:order val="1"/>
          <c:tx>
            <c:strRef>
              <c:f>'tasa de ocupación evol mens'!$K$95:$L$95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BD9-435B-819E-2DCC6DE3FED1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mens'!$K$97:$K$109</c:f>
              <c:numCache>
                <c:formatCode>0.0%</c:formatCode>
                <c:ptCount val="13"/>
                <c:pt idx="0">
                  <c:v>0.69540000000000002</c:v>
                </c:pt>
                <c:pt idx="1">
                  <c:v>0.74750000000000005</c:v>
                </c:pt>
                <c:pt idx="2">
                  <c:v>0.72849999999999993</c:v>
                </c:pt>
                <c:pt idx="3">
                  <c:v>0.65599999999999992</c:v>
                </c:pt>
                <c:pt idx="4">
                  <c:v>0.51950000000000007</c:v>
                </c:pt>
                <c:pt idx="5">
                  <c:v>0.63919999999999999</c:v>
                </c:pt>
                <c:pt idx="6">
                  <c:v>0.7591</c:v>
                </c:pt>
                <c:pt idx="7">
                  <c:v>0.80459999999999998</c:v>
                </c:pt>
                <c:pt idx="8">
                  <c:v>0.74120000000000008</c:v>
                </c:pt>
                <c:pt idx="9">
                  <c:v>0.64790000000000003</c:v>
                </c:pt>
                <c:pt idx="10">
                  <c:v>0.70180000000000009</c:v>
                </c:pt>
                <c:pt idx="11">
                  <c:v>0.68840000000000001</c:v>
                </c:pt>
                <c:pt idx="12">
                  <c:v>0.69409166666666666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BD9-435B-819E-2DCC6DE3FED1}"/>
            </c:ext>
          </c:extLst>
        </c:ser>
        <c:ser>
          <c:idx val="1"/>
          <c:order val="2"/>
          <c:tx>
            <c:strRef>
              <c:f>'tasa de ocupación evol mens'!$M$95:$N$95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BD9-435B-819E-2DCC6DE3FED1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mens'!$M$97:$M$109</c:f>
              <c:numCache>
                <c:formatCode>0.0%</c:formatCode>
                <c:ptCount val="13"/>
                <c:pt idx="0">
                  <c:v>0.70499999999999996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BD9-435B-819E-2DCC6DE3FE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3"/>
          <c:tx>
            <c:strRef>
              <c:f>'tasa de ocupación evol mens'!$N$96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BD9-435B-819E-2DCC6DE3FED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BD9-435B-819E-2DCC6DE3FED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BD9-435B-819E-2DCC6DE3FED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BD9-435B-819E-2DCC6DE3FED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BD9-435B-819E-2DCC6DE3FED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BD9-435B-819E-2DCC6DE3FED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BD9-435B-819E-2DCC6DE3FED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BD9-435B-819E-2DCC6DE3FED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BD9-435B-819E-2DCC6DE3FED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BD9-435B-819E-2DCC6DE3FED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BD9-435B-819E-2DCC6DE3FED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BD9-435B-819E-2DCC6DE3FED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BD9-435B-819E-2DCC6DE3FED1}"/>
              </c:ext>
            </c:extLst>
          </c:dPt>
          <c:cat>
            <c:strRef>
              <c:f>'tasa de ocupación evol mens'!$B$97:$B$108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mens'!$N$97:$N$109</c:f>
              <c:numCache>
                <c:formatCode>0.0%</c:formatCode>
                <c:ptCount val="13"/>
                <c:pt idx="0">
                  <c:v>1.380500431406384E-2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BD9-435B-819E-2DCC6DE3FE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1739082125603864"/>
          <c:y val="0.15564305555555558"/>
          <c:w val="0.8970059178743961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C5B-4301-B8BD-FCF4C28590E0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mens'!$I$75:$I$87</c:f>
              <c:numCache>
                <c:formatCode>0.0%</c:formatCode>
                <c:ptCount val="13"/>
                <c:pt idx="0">
                  <c:v>0.80359999999999998</c:v>
                </c:pt>
                <c:pt idx="1">
                  <c:v>0.79700000000000004</c:v>
                </c:pt>
                <c:pt idx="2">
                  <c:v>0.70279999999999998</c:v>
                </c:pt>
                <c:pt idx="3">
                  <c:v>0.64980000000000004</c:v>
                </c:pt>
                <c:pt idx="4">
                  <c:v>0.60970000000000002</c:v>
                </c:pt>
                <c:pt idx="5">
                  <c:v>0.62639999999999996</c:v>
                </c:pt>
                <c:pt idx="6">
                  <c:v>0.62450000000000006</c:v>
                </c:pt>
                <c:pt idx="7">
                  <c:v>0.66010000000000002</c:v>
                </c:pt>
                <c:pt idx="8">
                  <c:v>0.70979999999999999</c:v>
                </c:pt>
                <c:pt idx="9">
                  <c:v>0.6543000000000001</c:v>
                </c:pt>
                <c:pt idx="10">
                  <c:v>0.83599999999999997</c:v>
                </c:pt>
                <c:pt idx="11">
                  <c:v>0.78299999999999992</c:v>
                </c:pt>
                <c:pt idx="12">
                  <c:v>0.7047500000000001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C5B-4301-B8BD-FCF4C28590E0}"/>
            </c:ext>
          </c:extLst>
        </c:ser>
        <c:ser>
          <c:idx val="0"/>
          <c:order val="1"/>
          <c:tx>
            <c:strRef>
              <c:f>'tasa de ocupación evol mens'!$K$73:$L$73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C5B-4301-B8BD-FCF4C28590E0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mens'!$K$75:$K$87</c:f>
              <c:numCache>
                <c:formatCode>0.0%</c:formatCode>
                <c:ptCount val="13"/>
                <c:pt idx="0">
                  <c:v>0.83989999999999998</c:v>
                </c:pt>
                <c:pt idx="1">
                  <c:v>0.86670000000000003</c:v>
                </c:pt>
                <c:pt idx="2">
                  <c:v>0.80810000000000004</c:v>
                </c:pt>
                <c:pt idx="3">
                  <c:v>0.67090000000000005</c:v>
                </c:pt>
                <c:pt idx="4">
                  <c:v>0.62439999999999996</c:v>
                </c:pt>
                <c:pt idx="5">
                  <c:v>0.68590000000000007</c:v>
                </c:pt>
                <c:pt idx="6">
                  <c:v>0.7752</c:v>
                </c:pt>
                <c:pt idx="7">
                  <c:v>0.81310000000000004</c:v>
                </c:pt>
                <c:pt idx="8">
                  <c:v>0.75639999999999996</c:v>
                </c:pt>
                <c:pt idx="9">
                  <c:v>0.73659999999999992</c:v>
                </c:pt>
                <c:pt idx="10">
                  <c:v>0.81559999999999999</c:v>
                </c:pt>
                <c:pt idx="11">
                  <c:v>0.78839999999999999</c:v>
                </c:pt>
                <c:pt idx="12">
                  <c:v>0.7651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C5B-4301-B8BD-FCF4C28590E0}"/>
            </c:ext>
          </c:extLst>
        </c:ser>
        <c:ser>
          <c:idx val="1"/>
          <c:order val="2"/>
          <c:tx>
            <c:strRef>
              <c:f>'tasa de ocupación evol mens'!$M$73:$N$73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C5B-4301-B8BD-FCF4C28590E0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mens'!$M$75:$M$87</c:f>
              <c:numCache>
                <c:formatCode>0.0%</c:formatCode>
                <c:ptCount val="13"/>
                <c:pt idx="0">
                  <c:v>0.84250000000000003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C5B-4301-B8BD-FCF4C28590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3"/>
          <c:tx>
            <c:strRef>
              <c:f>'tasa de ocupación evol mens'!$N$74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C5B-4301-B8BD-FCF4C28590E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C5B-4301-B8BD-FCF4C28590E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C5B-4301-B8BD-FCF4C28590E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C5B-4301-B8BD-FCF4C28590E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C5B-4301-B8BD-FCF4C28590E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C5B-4301-B8BD-FCF4C28590E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C5B-4301-B8BD-FCF4C28590E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C5B-4301-B8BD-FCF4C28590E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C5B-4301-B8BD-FCF4C28590E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C5B-4301-B8BD-FCF4C28590E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C5B-4301-B8BD-FCF4C28590E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C5B-4301-B8BD-FCF4C28590E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C5B-4301-B8BD-FCF4C28590E0}"/>
              </c:ext>
            </c:extLst>
          </c:dPt>
          <c:cat>
            <c:strRef>
              <c:f>'tasa de ocupación evol mens'!$B$53:$B$64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mens'!$N$75:$N$87</c:f>
              <c:numCache>
                <c:formatCode>0.0%</c:formatCode>
                <c:ptCount val="13"/>
                <c:pt idx="0">
                  <c:v>3.0956066198357668E-3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C5B-4301-B8BD-FCF4C28590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879304380456516"/>
          <c:y val="0.13474552527311315"/>
          <c:w val="0.87120700483091784"/>
          <c:h val="0.42248339762898768"/>
        </c:manualLayout>
      </c:layout>
      <c:lineChart>
        <c:grouping val="standard"/>
        <c:varyColors val="0"/>
        <c:ser>
          <c:idx val="5"/>
          <c:order val="1"/>
          <c:tx>
            <c:strRef>
              <c:f>'tasa de ocupación evol mens'!$I$29:$J$29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A34-43D1-9D31-613210556602}"/>
              </c:ext>
            </c:extLst>
          </c:dPt>
          <c:val>
            <c:numRef>
              <c:f>'tasa de ocupación evol mens'!$I$31:$I$43</c:f>
              <c:numCache>
                <c:formatCode>0.0%</c:formatCode>
                <c:ptCount val="13"/>
                <c:pt idx="0">
                  <c:v>0.79239999999999999</c:v>
                </c:pt>
                <c:pt idx="1">
                  <c:v>0.77190000000000003</c:v>
                </c:pt>
                <c:pt idx="2">
                  <c:v>0.74230000000000007</c:v>
                </c:pt>
                <c:pt idx="3">
                  <c:v>0.6774</c:v>
                </c:pt>
                <c:pt idx="4">
                  <c:v>0.62049999999999994</c:v>
                </c:pt>
                <c:pt idx="5">
                  <c:v>0.73419999999999996</c:v>
                </c:pt>
                <c:pt idx="6">
                  <c:v>0.78040000000000009</c:v>
                </c:pt>
                <c:pt idx="7">
                  <c:v>0.85400000000000009</c:v>
                </c:pt>
                <c:pt idx="8">
                  <c:v>0.79760000000000009</c:v>
                </c:pt>
                <c:pt idx="9">
                  <c:v>0.7548999999999999</c:v>
                </c:pt>
                <c:pt idx="10">
                  <c:v>0.8076000000000001</c:v>
                </c:pt>
                <c:pt idx="11">
                  <c:v>0.74459999999999993</c:v>
                </c:pt>
                <c:pt idx="12">
                  <c:v>0.75711049413019116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A34-43D1-9D31-613210556602}"/>
            </c:ext>
          </c:extLst>
        </c:ser>
        <c:ser>
          <c:idx val="0"/>
          <c:order val="2"/>
          <c:tx>
            <c:strRef>
              <c:f>'tasa de ocupación evol mens'!$K$29:$L$29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A34-43D1-9D31-613210556602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mens'!$K$31:$K$43</c:f>
              <c:numCache>
                <c:formatCode>0.0%</c:formatCode>
                <c:ptCount val="13"/>
                <c:pt idx="0">
                  <c:v>0.81290000000000007</c:v>
                </c:pt>
                <c:pt idx="1">
                  <c:v>0.89349999999999996</c:v>
                </c:pt>
                <c:pt idx="2">
                  <c:v>0.83799999999999997</c:v>
                </c:pt>
                <c:pt idx="3">
                  <c:v>0.68799999999999994</c:v>
                </c:pt>
                <c:pt idx="4">
                  <c:v>0.68579999999999997</c:v>
                </c:pt>
                <c:pt idx="5">
                  <c:v>0.79610000000000003</c:v>
                </c:pt>
                <c:pt idx="6">
                  <c:v>0.878</c:v>
                </c:pt>
                <c:pt idx="7">
                  <c:v>0.90229999999999999</c:v>
                </c:pt>
                <c:pt idx="8">
                  <c:v>0.82719999999999994</c:v>
                </c:pt>
                <c:pt idx="9">
                  <c:v>0.8237000000000001</c:v>
                </c:pt>
                <c:pt idx="10">
                  <c:v>0.84279999999999999</c:v>
                </c:pt>
                <c:pt idx="11">
                  <c:v>0.7831999999999999</c:v>
                </c:pt>
                <c:pt idx="12">
                  <c:v>0.81153602495705168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A34-43D1-9D31-613210556602}"/>
            </c:ext>
          </c:extLst>
        </c:ser>
        <c:ser>
          <c:idx val="1"/>
          <c:order val="3"/>
          <c:tx>
            <c:strRef>
              <c:f>'tasa de ocupación evol mens'!$M$29:$N$29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rgbClr val="58B6C0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A34-43D1-9D31-61321055660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4A34-43D1-9D31-613210556602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mens'!$M$31:$M$43</c:f>
              <c:numCache>
                <c:formatCode>0.0%</c:formatCode>
                <c:ptCount val="13"/>
                <c:pt idx="0">
                  <c:v>0.83260000000000001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A34-43D1-9D31-6132105566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'tasa de ocupación evol mens'!$C$29:$D$29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4A34-43D1-9D31-613210556602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'tasa de ocupación evol mens'!$A$9:$A$21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'tasa de ocupación evol mens'!$C$31:$C$43</c15:sqref>
                        </c15:formulaRef>
                      </c:ext>
                    </c:extLst>
                    <c:numCache>
                      <c:formatCode>0.0%</c:formatCode>
                      <c:ptCount val="13"/>
                      <c:pt idx="0">
                        <c:v>0.74199999999999999</c:v>
                      </c:pt>
                      <c:pt idx="1">
                        <c:v>0.70540000000000003</c:v>
                      </c:pt>
                      <c:pt idx="2">
                        <c:v>0.32929999999999998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0.49719999999999998</c:v>
                      </c:pt>
                      <c:pt idx="8">
                        <c:v>0.32750000000000001</c:v>
                      </c:pt>
                      <c:pt idx="9">
                        <c:v>0.25489999999999996</c:v>
                      </c:pt>
                      <c:pt idx="10">
                        <c:v>0.19</c:v>
                      </c:pt>
                      <c:pt idx="11">
                        <c:v>0.20379999999999998</c:v>
                      </c:pt>
                      <c:pt idx="12">
                        <c:v>0.51022458290172568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4A34-43D1-9D31-613210556602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'tasa de ocupación evol mens'!$N$30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A34-43D1-9D31-61321055660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A34-43D1-9D31-61321055660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A34-43D1-9D31-61321055660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A34-43D1-9D31-61321055660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A34-43D1-9D31-61321055660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A34-43D1-9D31-61321055660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A34-43D1-9D31-61321055660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A34-43D1-9D31-61321055660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A34-43D1-9D31-61321055660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A34-43D1-9D31-61321055660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A34-43D1-9D31-61321055660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A34-43D1-9D31-61321055660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A34-43D1-9D31-613210556602}"/>
              </c:ext>
            </c:extLst>
          </c:dPt>
          <c:cat>
            <c:strRef>
              <c:f>'tasa de ocupación evol mens'!$B$31:$B$42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mens'!$N$31:$N$43</c:f>
              <c:numCache>
                <c:formatCode>0.0%</c:formatCode>
                <c:ptCount val="13"/>
                <c:pt idx="0">
                  <c:v>2.4234223151679002E-2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4A34-43D1-9D31-6132105566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879304380456516"/>
          <c:y val="0.15001701508510548"/>
          <c:w val="0.87120700483091784"/>
          <c:h val="0.42248339762898768"/>
        </c:manualLayout>
      </c:layout>
      <c:lineChart>
        <c:grouping val="standard"/>
        <c:varyColors val="0"/>
        <c:ser>
          <c:idx val="5"/>
          <c:order val="1"/>
          <c:tx>
            <c:strRef>
              <c:f>'tasa de ocupación evol mens'!$I$51:$J$51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579-4751-B782-49AAD11ABBF7}"/>
              </c:ext>
            </c:extLst>
          </c:dPt>
          <c:val>
            <c:numRef>
              <c:f>'tasa de ocupación evol mens'!$I$53:$I$65</c:f>
              <c:numCache>
                <c:formatCode>0.0%</c:formatCode>
                <c:ptCount val="13"/>
                <c:pt idx="0">
                  <c:v>0.79079999999999995</c:v>
                </c:pt>
                <c:pt idx="1">
                  <c:v>0.76780000000000004</c:v>
                </c:pt>
                <c:pt idx="2">
                  <c:v>0.74870000000000003</c:v>
                </c:pt>
                <c:pt idx="3">
                  <c:v>0.68180000000000007</c:v>
                </c:pt>
                <c:pt idx="4">
                  <c:v>0.62229999999999996</c:v>
                </c:pt>
                <c:pt idx="5">
                  <c:v>0.75269999999999992</c:v>
                </c:pt>
                <c:pt idx="6">
                  <c:v>0.80590000000000006</c:v>
                </c:pt>
                <c:pt idx="7">
                  <c:v>0.88529999999999998</c:v>
                </c:pt>
                <c:pt idx="8">
                  <c:v>0.81169999999999998</c:v>
                </c:pt>
                <c:pt idx="9">
                  <c:v>0.7712</c:v>
                </c:pt>
                <c:pt idx="10">
                  <c:v>0.80299999999999994</c:v>
                </c:pt>
                <c:pt idx="11">
                  <c:v>0.73840000000000006</c:v>
                </c:pt>
                <c:pt idx="12">
                  <c:v>0.76577549497344044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579-4751-B782-49AAD11ABBF7}"/>
            </c:ext>
          </c:extLst>
        </c:ser>
        <c:ser>
          <c:idx val="0"/>
          <c:order val="2"/>
          <c:tx>
            <c:strRef>
              <c:f>'tasa de ocupación evol mens'!$K$51:$L$51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579-4751-B782-49AAD11ABBF7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mens'!$K$53:$K$65</c:f>
              <c:numCache>
                <c:formatCode>0.0%</c:formatCode>
                <c:ptCount val="13"/>
                <c:pt idx="0">
                  <c:v>0.80859999999999999</c:v>
                </c:pt>
                <c:pt idx="1">
                  <c:v>0.89769999999999994</c:v>
                </c:pt>
                <c:pt idx="2">
                  <c:v>0.84279999999999999</c:v>
                </c:pt>
                <c:pt idx="3">
                  <c:v>0.69059999999999999</c:v>
                </c:pt>
                <c:pt idx="4">
                  <c:v>0.69530000000000003</c:v>
                </c:pt>
                <c:pt idx="5">
                  <c:v>0.81299999999999994</c:v>
                </c:pt>
                <c:pt idx="6">
                  <c:v>0.89379999999999993</c:v>
                </c:pt>
                <c:pt idx="7">
                  <c:v>0.91599999999999993</c:v>
                </c:pt>
                <c:pt idx="8">
                  <c:v>0.83810000000000007</c:v>
                </c:pt>
                <c:pt idx="9">
                  <c:v>0.83719999999999994</c:v>
                </c:pt>
                <c:pt idx="10">
                  <c:v>0.84709999999999996</c:v>
                </c:pt>
                <c:pt idx="11">
                  <c:v>0.7823</c:v>
                </c:pt>
                <c:pt idx="12">
                  <c:v>0.81915917960144258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579-4751-B782-49AAD11ABBF7}"/>
            </c:ext>
          </c:extLst>
        </c:ser>
        <c:ser>
          <c:idx val="1"/>
          <c:order val="3"/>
          <c:tx>
            <c:strRef>
              <c:f>'tasa de ocupación evol mens'!$M$51:$N$51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rgbClr val="58B6C0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579-4751-B782-49AAD11ABBF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2579-4751-B782-49AAD11ABBF7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mens'!$M$53:$M$65</c:f>
              <c:numCache>
                <c:formatCode>0.0%</c:formatCode>
                <c:ptCount val="13"/>
                <c:pt idx="0">
                  <c:v>0.83109999999999995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579-4751-B782-49AAD11ABB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'tasa de ocupación evol mens'!$C$51:$D$51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2579-4751-B782-49AAD11ABBF7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'tasa de ocupación evol mens'!$A$9:$A$21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'tasa de ocupación evol mens'!$C$53:$C$65</c15:sqref>
                        </c15:formulaRef>
                      </c:ext>
                    </c:extLst>
                    <c:numCache>
                      <c:formatCode>0.0%</c:formatCode>
                      <c:ptCount val="1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0.51812467109371418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2579-4751-B782-49AAD11ABBF7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'tasa de ocupación evol mens'!$N$52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579-4751-B782-49AAD11ABBF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579-4751-B782-49AAD11ABBF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579-4751-B782-49AAD11ABBF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579-4751-B782-49AAD11ABBF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579-4751-B782-49AAD11ABBF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579-4751-B782-49AAD11ABBF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579-4751-B782-49AAD11ABBF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579-4751-B782-49AAD11ABBF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579-4751-B782-49AAD11ABBF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579-4751-B782-49AAD11ABBF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579-4751-B782-49AAD11ABBF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579-4751-B782-49AAD11ABBF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579-4751-B782-49AAD11ABBF7}"/>
              </c:ext>
            </c:extLst>
          </c:dPt>
          <c:cat>
            <c:strRef>
              <c:f>'tasa de ocupación evol mens'!$B$53:$B$64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mens'!$N$53:$N$65</c:f>
              <c:numCache>
                <c:formatCode>0.0%</c:formatCode>
                <c:ptCount val="13"/>
                <c:pt idx="0">
                  <c:v>2.7825871877318775E-2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2579-4751-B782-49AAD11ABB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8426500876382174E-3"/>
          <c:y val="0.5733020131929728"/>
          <c:w val="0.97760879170679205"/>
          <c:h val="0.2247541019961255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'distribución españoles x Resid'!$J$5</c:f>
              <c:strCache>
                <c:ptCount val="1"/>
                <c:pt idx="0">
                  <c:v>acumulado enero 2024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Resid'!$J$8,'distribución españoles x Resid'!$J$10:$J$11)</c:f>
              <c:numCache>
                <c:formatCode>#,##0</c:formatCode>
                <c:ptCount val="3"/>
                <c:pt idx="0">
                  <c:v>13891</c:v>
                </c:pt>
                <c:pt idx="1">
                  <c:v>1531</c:v>
                </c:pt>
                <c:pt idx="2">
                  <c:v>1767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5BE-4639-8B10-22122B531D85}"/>
            </c:ext>
          </c:extLst>
        </c:ser>
        <c:ser>
          <c:idx val="0"/>
          <c:order val="1"/>
          <c:tx>
            <c:strRef>
              <c:f>'distribución españoles x Resid'!$N$5</c:f>
              <c:strCache>
                <c:ptCount val="1"/>
                <c:pt idx="0">
                  <c:v>acumulado enero 2025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Resid'!$N$8,'distribución españoles x Resid'!$N$10:$N$11)</c:f>
              <c:numCache>
                <c:formatCode>#,##0</c:formatCode>
                <c:ptCount val="3"/>
                <c:pt idx="0">
                  <c:v>14812</c:v>
                </c:pt>
                <c:pt idx="1">
                  <c:v>1220</c:v>
                </c:pt>
                <c:pt idx="2">
                  <c:v>2593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5BE-4639-8B10-22122B531D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noFill/>
            <a:ln w="12700">
              <a:solidFill>
                <a:srgbClr val="9BBB59">
                  <a:lumMod val="75000"/>
                </a:srgbClr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25BE-4639-8B10-22122B531D85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25BE-4639-8B10-22122B531D85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25BE-4639-8B10-22122B531D85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5BE-4639-8B10-22122B531D85}"/>
                </c:ext>
              </c:extLst>
            </c:dLbl>
            <c:dLbl>
              <c:idx val="1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5BE-4639-8B10-22122B531D85}"/>
                </c:ext>
              </c:extLst>
            </c:dLbl>
            <c:dLbl>
              <c:idx val="2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5BE-4639-8B10-22122B531D85}"/>
                </c:ext>
              </c:extLst>
            </c:dLbl>
            <c:dLbl>
              <c:idx val="3"/>
              <c:layout>
                <c:manualLayout>
                  <c:x val="3.8095238095238099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5BE-4639-8B10-22122B531D85}"/>
                </c:ext>
              </c:extLst>
            </c:dLbl>
            <c:dLbl>
              <c:idx val="4"/>
              <c:layout>
                <c:manualLayout>
                  <c:x val="3.5854341736694599E-2"/>
                  <c:y val="8.09146877748460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5BE-4639-8B10-22122B531D85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5BE-4639-8B10-22122B531D85}"/>
                </c:ext>
              </c:extLst>
            </c:dLbl>
            <c:spPr>
              <a:noFill/>
              <a:ln>
                <a:solidFill>
                  <a:srgbClr val="9BBB59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bg1">
                        <a:lumMod val="6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('distribución españoles x Resid'!$S$8,'distribución españoles x Resid'!$S$10,'distribución españoles x Resid'!$S$11)</c:f>
              <c:numCache>
                <c:formatCode>0.0%</c:formatCode>
                <c:ptCount val="3"/>
                <c:pt idx="0">
                  <c:v>0.79527516778523488</c:v>
                </c:pt>
                <c:pt idx="1">
                  <c:v>6.550335570469798E-2</c:v>
                </c:pt>
                <c:pt idx="2">
                  <c:v>0.13922147651006711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25BE-4639-8B10-22122B531D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'distribución españoles x Resid'!$O$5</c:f>
              <c:strCache>
                <c:ptCount val="1"/>
                <c:pt idx="0">
                  <c:v>var. 25/24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5BE-4639-8B10-22122B531D85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5BE-4639-8B10-22122B531D85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5BE-4639-8B10-22122B531D85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5BE-4639-8B10-22122B531D85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5BE-4639-8B10-22122B531D85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5BE-4639-8B10-22122B531D85}"/>
              </c:ext>
            </c:extLst>
          </c:dPt>
          <c:dLbls>
            <c:dLbl>
              <c:idx val="0"/>
              <c:layout>
                <c:manualLayout>
                  <c:x val="-5.6085850813717919E-2"/>
                  <c:y val="-0.388277533883691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5BE-4639-8B10-22122B531D85}"/>
                </c:ext>
              </c:extLst>
            </c:dLbl>
            <c:dLbl>
              <c:idx val="1"/>
              <c:layout>
                <c:manualLayout>
                  <c:x val="-4.1760392381352811E-2"/>
                  <c:y val="-0.305844772657881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5BE-4639-8B10-22122B531D85}"/>
                </c:ext>
              </c:extLst>
            </c:dLbl>
            <c:dLbl>
              <c:idx val="2"/>
              <c:layout>
                <c:manualLayout>
                  <c:x val="-2.9322635206400466E-2"/>
                  <c:y val="-0.268635901524967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5BE-4639-8B10-22122B531D85}"/>
                </c:ext>
              </c:extLst>
            </c:dLbl>
            <c:dLbl>
              <c:idx val="3"/>
              <c:layout>
                <c:manualLayout>
                  <c:x val="-2.617759233913217E-2"/>
                  <c:y val="-0.235970545292881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5BE-4639-8B10-22122B531D85}"/>
                </c:ext>
              </c:extLst>
            </c:dLbl>
            <c:dLbl>
              <c:idx val="4"/>
              <c:layout>
                <c:manualLayout>
                  <c:x val="-3.7427537735676572E-2"/>
                  <c:y val="-0.208312812996707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5BE-4639-8B10-22122B531D85}"/>
                </c:ext>
              </c:extLst>
            </c:dLbl>
            <c:dLbl>
              <c:idx val="5"/>
              <c:layout>
                <c:manualLayout>
                  <c:x val="-5.2666710778799711E-2"/>
                  <c:y val="-0.23808253519761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5BE-4639-8B10-22122B531D85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Resid'!$O$8,'distribución españoles x Resid'!$O$10:$O$11)</c:f>
              <c:numCache>
                <c:formatCode>0.0%</c:formatCode>
                <c:ptCount val="3"/>
                <c:pt idx="0">
                  <c:v>6.6301922107839584E-2</c:v>
                </c:pt>
                <c:pt idx="1">
                  <c:v>-0.20313520574787725</c:v>
                </c:pt>
                <c:pt idx="2">
                  <c:v>0.46745897000565928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5BE-4639-8B10-22122B531D8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3.9550600542806305E-2"/>
          <c:y val="0.12537201577809509"/>
          <c:w val="0.86702381074488111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05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Resid'!$N$5</c:f>
          <c:strCache>
            <c:ptCount val="1"/>
            <c:pt idx="0">
              <c:v>acumulado enero 2025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135460146906506"/>
          <c:y val="0.2283322201574197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Resid'!$N$5</c:f>
              <c:strCache>
                <c:ptCount val="1"/>
                <c:pt idx="0">
                  <c:v>acumulado enero 2025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17D0-4C1B-9FD7-5C7B73D1C9E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17D0-4C1B-9FD7-5C7B73D1C9E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17D0-4C1B-9FD7-5C7B73D1C9E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17D0-4C1B-9FD7-5C7B73D1C9E2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17D0-4C1B-9FD7-5C7B73D1C9E2}"/>
              </c:ext>
            </c:extLst>
          </c:dPt>
          <c:dLbls>
            <c:dLbl>
              <c:idx val="0"/>
              <c:layout>
                <c:manualLayout>
                  <c:x val="-7.2623912404118932E-2"/>
                  <c:y val="-7.3875805916643569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7D0-4C1B-9FD7-5C7B73D1C9E2}"/>
                </c:ext>
              </c:extLst>
            </c:dLbl>
            <c:dLbl>
              <c:idx val="1"/>
              <c:layout>
                <c:manualLayout>
                  <c:x val="3.6318654252135235E-2"/>
                  <c:y val="0.13190362168375808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7D0-4C1B-9FD7-5C7B73D1C9E2}"/>
                </c:ext>
              </c:extLst>
            </c:dLbl>
            <c:dLbl>
              <c:idx val="2"/>
              <c:layout>
                <c:manualLayout>
                  <c:x val="2.4638777203978012E-2"/>
                  <c:y val="-4.13174550526827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7D0-4C1B-9FD7-5C7B73D1C9E2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7D0-4C1B-9FD7-5C7B73D1C9E2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7D0-4C1B-9FD7-5C7B73D1C9E2}"/>
                </c:ext>
              </c:extLst>
            </c:dLbl>
            <c:dLbl>
              <c:idx val="5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7D0-4C1B-9FD7-5C7B73D1C9E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Resid'!$N$8,'distribución españoles x Resid'!$N$10:$N$11)</c:f>
              <c:numCache>
                <c:formatCode>#,##0</c:formatCode>
                <c:ptCount val="3"/>
                <c:pt idx="0">
                  <c:v>14812</c:v>
                </c:pt>
                <c:pt idx="1">
                  <c:v>1220</c:v>
                </c:pt>
                <c:pt idx="2">
                  <c:v>2593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17D0-4C1B-9FD7-5C7B73D1C9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1ED-4F5D-A16E-6EC7F3AC298B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1ED-4F5D-A16E-6EC7F3AC298B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1ED-4F5D-A16E-6EC7F3AC298B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1ED-4F5D-A16E-6EC7F3AC298B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1ED-4F5D-A16E-6EC7F3AC298B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1ED-4F5D-A16E-6EC7F3AC298B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1ED-4F5D-A16E-6EC7F3AC298B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1ED-4F5D-A16E-6EC7F3AC298B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1ED-4F5D-A16E-6EC7F3AC298B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1ED-4F5D-A16E-6EC7F3AC298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81ED-4F5D-A16E-6EC7F3AC298B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1ED-4F5D-A16E-6EC7F3AC298B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1ED-4F5D-A16E-6EC7F3AC298B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1ED-4F5D-A16E-6EC7F3AC298B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1ED-4F5D-A16E-6EC7F3AC298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81ED-4F5D-A16E-6EC7F3AC298B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81ED-4F5D-A16E-6EC7F3AC298B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1ED-4F5D-A16E-6EC7F3AC298B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1ED-4F5D-A16E-6EC7F3AC298B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1ED-4F5D-A16E-6EC7F3AC298B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1ED-4F5D-A16E-6EC7F3AC298B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1ED-4F5D-A16E-6EC7F3AC298B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1ED-4F5D-A16E-6EC7F3AC298B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1ED-4F5D-A16E-6EC7F3AC298B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1ED-4F5D-A16E-6EC7F3AC298B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1ED-4F5D-A16E-6EC7F3AC298B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1ED-4F5D-A16E-6EC7F3AC298B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1ED-4F5D-A16E-6EC7F3AC298B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1ED-4F5D-A16E-6EC7F3AC298B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1ED-4F5D-A16E-6EC7F3AC298B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1ED-4F5D-A16E-6EC7F3AC298B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81ED-4F5D-A16E-6EC7F3AC298B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81ED-4F5D-A16E-6EC7F3AC298B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81ED-4F5D-A16E-6EC7F3AC298B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81ED-4F5D-A16E-6EC7F3AC298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81ED-4F5D-A16E-6EC7F3AC298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81ED-4F5D-A16E-6EC7F3AC298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81ED-4F5D-A16E-6EC7F3AC298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81ED-4F5D-A16E-6EC7F3AC298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81ED-4F5D-A16E-6EC7F3AC298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81ED-4F5D-A16E-6EC7F3AC298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81ED-4F5D-A16E-6EC7F3AC298B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81ED-4F5D-A16E-6EC7F3AC298B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81ED-4F5D-A16E-6EC7F3AC298B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81ED-4F5D-A16E-6EC7F3AC298B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81ED-4F5D-A16E-6EC7F3AC298B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81ED-4F5D-A16E-6EC7F3AC298B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81ED-4F5D-A16E-6EC7F3AC298B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81ED-4F5D-A16E-6EC7F3AC298B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81ED-4F5D-A16E-6EC7F3AC298B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81ED-4F5D-A16E-6EC7F3AC298B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81ED-4F5D-A16E-6EC7F3AC298B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81ED-4F5D-A16E-6EC7F3AC298B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81ED-4F5D-A16E-6EC7F3AC298B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81ED-4F5D-A16E-6EC7F3AC298B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81ED-4F5D-A16E-6EC7F3AC298B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81ED-4F5D-A16E-6EC7F3AC298B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81ED-4F5D-A16E-6EC7F3AC298B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81ED-4F5D-A16E-6EC7F3AC298B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81ED-4F5D-A16E-6EC7F3AC298B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81ED-4F5D-A16E-6EC7F3AC298B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81ED-4F5D-A16E-6EC7F3AC298B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81ED-4F5D-A16E-6EC7F3AC298B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81ED-4F5D-A16E-6EC7F3AC298B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81ED-4F5D-A16E-6EC7F3AC298B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81ED-4F5D-A16E-6EC7F3AC298B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81ED-4F5D-A16E-6EC7F3AC298B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81ED-4F5D-A16E-6EC7F3AC298B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81ED-4F5D-A16E-6EC7F3AC298B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81ED-4F5D-A16E-6EC7F3AC298B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81ED-4F5D-A16E-6EC7F3AC298B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81ED-4F5D-A16E-6EC7F3AC298B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81ED-4F5D-A16E-6EC7F3AC298B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81ED-4F5D-A16E-6EC7F3AC298B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81ED-4F5D-A16E-6EC7F3AC298B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81ED-4F5D-A16E-6EC7F3AC298B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81ED-4F5D-A16E-6EC7F3AC298B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81ED-4F5D-A16E-6EC7F3AC298B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81ED-4F5D-A16E-6EC7F3AC298B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81ED-4F5D-A16E-6EC7F3AC298B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81ED-4F5D-A16E-6EC7F3AC298B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81ED-4F5D-A16E-6EC7F3AC298B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81ED-4F5D-A16E-6EC7F3AC298B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81ED-4F5D-A16E-6EC7F3AC29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81210082"/>
          <c:y val="0.13979901161003525"/>
          <c:w val="0.85077925409699728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TF'!$I$139:$J$139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C54-41CE-940B-9938CE99F7BC}"/>
              </c:ext>
            </c:extLst>
          </c:dPt>
          <c:val>
            <c:numRef>
              <c:f>'Viajeros entr evol mensu TF'!$I$141:$I$153</c:f>
              <c:numCache>
                <c:formatCode>#,##0</c:formatCode>
                <c:ptCount val="13"/>
                <c:pt idx="0">
                  <c:v>12895</c:v>
                </c:pt>
                <c:pt idx="1">
                  <c:v>11990</c:v>
                </c:pt>
                <c:pt idx="2">
                  <c:v>13300</c:v>
                </c:pt>
                <c:pt idx="3">
                  <c:v>10947</c:v>
                </c:pt>
                <c:pt idx="4">
                  <c:v>7834</c:v>
                </c:pt>
                <c:pt idx="5">
                  <c:v>7571</c:v>
                </c:pt>
                <c:pt idx="6">
                  <c:v>7114</c:v>
                </c:pt>
                <c:pt idx="7">
                  <c:v>7492</c:v>
                </c:pt>
                <c:pt idx="8">
                  <c:v>9338</c:v>
                </c:pt>
                <c:pt idx="9">
                  <c:v>10604</c:v>
                </c:pt>
                <c:pt idx="10">
                  <c:v>15608</c:v>
                </c:pt>
                <c:pt idx="11">
                  <c:v>12656</c:v>
                </c:pt>
                <c:pt idx="12">
                  <c:v>127349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C54-41CE-940B-9938CE99F7BC}"/>
            </c:ext>
          </c:extLst>
        </c:ser>
        <c:ser>
          <c:idx val="0"/>
          <c:order val="2"/>
          <c:tx>
            <c:strRef>
              <c:f>'Viajeros entr evol mensu TF'!$K$139:$L$139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C54-41CE-940B-9938CE99F7BC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TF'!$K$141:$K$153</c:f>
              <c:numCache>
                <c:formatCode>#,##0</c:formatCode>
                <c:ptCount val="13"/>
                <c:pt idx="0">
                  <c:v>14175</c:v>
                </c:pt>
                <c:pt idx="1">
                  <c:v>14402</c:v>
                </c:pt>
                <c:pt idx="2">
                  <c:v>16585</c:v>
                </c:pt>
                <c:pt idx="3">
                  <c:v>10802</c:v>
                </c:pt>
                <c:pt idx="4">
                  <c:v>9191</c:v>
                </c:pt>
                <c:pt idx="5">
                  <c:v>8315</c:v>
                </c:pt>
                <c:pt idx="6">
                  <c:v>7892</c:v>
                </c:pt>
                <c:pt idx="7">
                  <c:v>7549</c:v>
                </c:pt>
                <c:pt idx="8">
                  <c:v>10044</c:v>
                </c:pt>
                <c:pt idx="9">
                  <c:v>12680</c:v>
                </c:pt>
                <c:pt idx="10">
                  <c:v>15786</c:v>
                </c:pt>
                <c:pt idx="11">
                  <c:v>13943</c:v>
                </c:pt>
                <c:pt idx="12">
                  <c:v>141364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C54-41CE-940B-9938CE99F7BC}"/>
            </c:ext>
          </c:extLst>
        </c:ser>
        <c:ser>
          <c:idx val="1"/>
          <c:order val="3"/>
          <c:tx>
            <c:strRef>
              <c:f>'Viajeros entr evol mensu TF'!$M$139:$N$139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CC54-41CE-940B-9938CE99F7B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CC54-41CE-940B-9938CE99F7BC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TF'!$M$141:$M$153</c:f>
              <c:numCache>
                <c:formatCode>#,##0</c:formatCode>
                <c:ptCount val="13"/>
                <c:pt idx="0">
                  <c:v>14162</c:v>
                </c:pt>
                <c:pt idx="12">
                  <c:v>14162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C54-41CE-940B-9938CE99F7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TF'!$C$139:$D$139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01-CC54-41CE-940B-9938CE99F7BC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TF'!$C$141:$C$153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14156</c:v>
                      </c:pt>
                      <c:pt idx="1">
                        <c:v>12909</c:v>
                      </c:pt>
                      <c:pt idx="2">
                        <c:v>5816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2117</c:v>
                      </c:pt>
                      <c:pt idx="8">
                        <c:v>355</c:v>
                      </c:pt>
                      <c:pt idx="9">
                        <c:v>396</c:v>
                      </c:pt>
                      <c:pt idx="10">
                        <c:v>1144</c:v>
                      </c:pt>
                      <c:pt idx="11">
                        <c:v>1122</c:v>
                      </c:pt>
                      <c:pt idx="12">
                        <c:v>39522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2-CC54-41CE-940B-9938CE99F7BC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TF'!$N$140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C54-41CE-940B-9938CE99F7B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C54-41CE-940B-9938CE99F7B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C54-41CE-940B-9938CE99F7B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C54-41CE-940B-9938CE99F7B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C54-41CE-940B-9938CE99F7B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C54-41CE-940B-9938CE99F7B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C54-41CE-940B-9938CE99F7B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C54-41CE-940B-9938CE99F7B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C54-41CE-940B-9938CE99F7B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C54-41CE-940B-9938CE99F7B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C54-41CE-940B-9938CE99F7B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C54-41CE-940B-9938CE99F7B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C54-41CE-940B-9938CE99F7BC}"/>
              </c:ext>
            </c:extLst>
          </c:dPt>
          <c:cat>
            <c:strRef>
              <c:f>'Viajeros entr evol mensu TF'!$B$141:$B$152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TF'!$N$141:$N$153</c:f>
              <c:numCache>
                <c:formatCode>0.0%</c:formatCode>
                <c:ptCount val="13"/>
                <c:pt idx="0">
                  <c:v>-9.1710758377427926E-4</c:v>
                </c:pt>
                <c:pt idx="12">
                  <c:v>-9.1710758377427926E-4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CC54-41CE-940B-9938CE99F7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cate'!$O$5</c:f>
          <c:strCache>
            <c:ptCount val="1"/>
            <c:pt idx="0">
              <c:v>acumulado enero 2025</c:v>
            </c:pt>
          </c:strCache>
        </c:strRef>
      </c:tx>
      <c:layout>
        <c:manualLayout>
          <c:xMode val="edge"/>
          <c:yMode val="edge"/>
          <c:x val="1.9790128254955335E-2"/>
          <c:y val="0.113786413224224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227838455676912"/>
          <c:y val="0.27985647838041661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cate'!$O$5</c:f>
              <c:strCache>
                <c:ptCount val="1"/>
                <c:pt idx="0">
                  <c:v>acumulado enero 2025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0D4A-4E42-9223-D17057A4518A}"/>
              </c:ext>
            </c:extLst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0D4A-4E42-9223-D17057A4518A}"/>
              </c:ext>
            </c:extLst>
          </c:dPt>
          <c:dLbls>
            <c:dLbl>
              <c:idx val="0"/>
              <c:layout>
                <c:manualLayout>
                  <c:x val="5.8624923664234739E-2"/>
                  <c:y val="2.6266777414537038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D4A-4E42-9223-D17057A4518A}"/>
                </c:ext>
              </c:extLst>
            </c:dLbl>
            <c:dLbl>
              <c:idx val="1"/>
              <c:layout>
                <c:manualLayout>
                  <c:x val="-2.8012260925233727E-2"/>
                  <c:y val="-8.9147432115961704E-3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D4A-4E42-9223-D17057A4518A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españoles x cate'!$B$8:$B$9,'distribución españoles x cate'!$B$11:$B$12)</c:f>
              <c:strCache>
                <c:ptCount val="2"/>
                <c:pt idx="0">
                  <c:v>1, 2, 3 Estrellas</c:v>
                </c:pt>
                <c:pt idx="1">
                  <c:v>4, 5 Estrellas</c:v>
                </c:pt>
              </c:strCache>
            </c:strRef>
          </c:cat>
          <c:val>
            <c:numRef>
              <c:f>('distribución españoles x cate'!$O$8:$O$9,'distribución españoles x cate'!$O$11:$O$12)</c:f>
              <c:numCache>
                <c:formatCode>#,##0</c:formatCode>
                <c:ptCount val="2"/>
                <c:pt idx="0">
                  <c:v>2684</c:v>
                </c:pt>
                <c:pt idx="1">
                  <c:v>13547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D4A-4E42-9223-D17057A451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8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cate'!$B$3</c:f>
          <c:strCache>
            <c:ptCount val="1"/>
            <c:pt idx="0">
              <c:v>Viajeros españoles entrados en los hoteles y apartamentos de Puerto de la Cruz por tipología y categoría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51033901177778"/>
          <c:y val="0.19147788492398393"/>
          <c:w val="0.84489659872277323"/>
          <c:h val="0.43516144913512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españoles x cate'!$D$5</c:f>
              <c:strCache>
                <c:ptCount val="1"/>
                <c:pt idx="0">
                  <c:v>acumulado enero 2021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españoles x cate'!$B$7:$B$12</c:f>
              <c:strCache>
                <c:ptCount val="4"/>
                <c:pt idx="0">
                  <c:v>Hoteles</c:v>
                </c:pt>
                <c:pt idx="1">
                  <c:v>1, 2, 3 Estrellas</c:v>
                </c:pt>
                <c:pt idx="2">
                  <c:v>4, 5 Estrellas</c:v>
                </c:pt>
                <c:pt idx="3">
                  <c:v>Apartamentos</c:v>
                </c:pt>
              </c:strCache>
            </c:strRef>
          </c:cat>
          <c:val>
            <c:numRef>
              <c:f>'distribución españoles x cate'!$D$7:$D$12</c:f>
              <c:numCache>
                <c:formatCode>#,##0</c:formatCode>
                <c:ptCount val="4"/>
                <c:pt idx="0">
                  <c:v>1742</c:v>
                </c:pt>
                <c:pt idx="1">
                  <c:v>966</c:v>
                </c:pt>
                <c:pt idx="2">
                  <c:v>776</c:v>
                </c:pt>
                <c:pt idx="3">
                  <c:v>394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52-4498-B60B-AEBD7CC82A43}"/>
            </c:ext>
          </c:extLst>
        </c:ser>
        <c:ser>
          <c:idx val="1"/>
          <c:order val="1"/>
          <c:tx>
            <c:strRef>
              <c:f>'distribución españoles x cate'!$K$5</c:f>
              <c:strCache>
                <c:ptCount val="1"/>
                <c:pt idx="0">
                  <c:v>acumulado enero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cate'!$K$7:$K$12</c:f>
              <c:numCache>
                <c:formatCode>#,##0</c:formatCode>
                <c:ptCount val="4"/>
                <c:pt idx="0">
                  <c:v>15398</c:v>
                </c:pt>
                <c:pt idx="1">
                  <c:v>1977</c:v>
                </c:pt>
                <c:pt idx="2">
                  <c:v>13421</c:v>
                </c:pt>
                <c:pt idx="3">
                  <c:v>1791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852-4498-B60B-AEBD7CC82A43}"/>
            </c:ext>
          </c:extLst>
        </c:ser>
        <c:ser>
          <c:idx val="2"/>
          <c:order val="2"/>
          <c:tx>
            <c:strRef>
              <c:f>'distribución españoles x cate'!$O$5</c:f>
              <c:strCache>
                <c:ptCount val="1"/>
                <c:pt idx="0">
                  <c:v>acumulado enero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cate'!$O$7:$O$12</c:f>
              <c:numCache>
                <c:formatCode>#,##0</c:formatCode>
                <c:ptCount val="4"/>
                <c:pt idx="0">
                  <c:v>16231</c:v>
                </c:pt>
                <c:pt idx="1">
                  <c:v>2684</c:v>
                </c:pt>
                <c:pt idx="2">
                  <c:v>13547</c:v>
                </c:pt>
                <c:pt idx="3">
                  <c:v>2394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852-4498-B60B-AEBD7CC82A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españoles x cate'!$P$5</c:f>
              <c:strCache>
                <c:ptCount val="1"/>
                <c:pt idx="0">
                  <c:v>var. 25/24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cate'!$P$7:$P$12</c:f>
              <c:numCache>
                <c:formatCode>0.0%</c:formatCode>
                <c:ptCount val="4"/>
                <c:pt idx="0">
                  <c:v>5.4097934796726754E-2</c:v>
                </c:pt>
                <c:pt idx="1">
                  <c:v>0.35761254425897815</c:v>
                </c:pt>
                <c:pt idx="2">
                  <c:v>9.3882721108711209E-3</c:v>
                </c:pt>
                <c:pt idx="3">
                  <c:v>0.33668341708542715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852-4498-B60B-AEBD7CC82A43}"/>
            </c:ext>
          </c:extLst>
        </c:ser>
        <c:ser>
          <c:idx val="4"/>
          <c:order val="4"/>
          <c:tx>
            <c:strRef>
              <c:f>'distribución españoles x cate'!$R$5</c:f>
              <c:strCache>
                <c:ptCount val="1"/>
                <c:pt idx="0">
                  <c:v>var. 25/20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cate'!$R$7:$R$12</c:f>
              <c:numCache>
                <c:formatCode>0.0%</c:formatCode>
                <c:ptCount val="4"/>
                <c:pt idx="0">
                  <c:v>-3.6221127011460075E-2</c:v>
                </c:pt>
                <c:pt idx="1">
                  <c:v>-0.10113864701942399</c:v>
                </c:pt>
                <c:pt idx="2">
                  <c:v>-2.2230241789967575E-2</c:v>
                </c:pt>
                <c:pt idx="3">
                  <c:v>-0.24024119327197713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852-4498-B60B-AEBD7CC82A43}"/>
            </c:ext>
          </c:extLst>
        </c:ser>
        <c:ser>
          <c:idx val="5"/>
          <c:order val="5"/>
          <c:tx>
            <c:strRef>
              <c:f>'distribución españoles x cate'!$F$5</c:f>
              <c:strCache>
                <c:ptCount val="1"/>
                <c:pt idx="0">
                  <c:v>%/s total Tenerife 2022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cate'!$F$7:$F$12</c:f>
              <c:numCache>
                <c:formatCode>0.0%</c:formatCode>
                <c:ptCount val="4"/>
                <c:pt idx="0">
                  <c:v>0.85321174951581669</c:v>
                </c:pt>
                <c:pt idx="1">
                  <c:v>0.17898644286636539</c:v>
                </c:pt>
                <c:pt idx="2">
                  <c:v>0.67422530664945124</c:v>
                </c:pt>
                <c:pt idx="3">
                  <c:v>0.14678825048418334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852-4498-B60B-AEBD7CC82A43}"/>
            </c:ext>
          </c:extLst>
        </c:ser>
        <c:ser>
          <c:idx val="6"/>
          <c:order val="6"/>
          <c:tx>
            <c:strRef>
              <c:f>'distribución españoles x cate'!$T$5</c:f>
              <c:strCache>
                <c:ptCount val="1"/>
                <c:pt idx="0">
                  <c:v>%/s total Tenerife 2025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cate'!$T$7:$T$12</c:f>
              <c:numCache>
                <c:formatCode>0.0%</c:formatCode>
                <c:ptCount val="4"/>
                <c:pt idx="0">
                  <c:v>0.87146308724832211</c:v>
                </c:pt>
                <c:pt idx="1">
                  <c:v>0.14410738255033556</c:v>
                </c:pt>
                <c:pt idx="2">
                  <c:v>0.7273557046979866</c:v>
                </c:pt>
                <c:pt idx="3">
                  <c:v>0.12853691275167786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852-4498-B60B-AEBD7CC82A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peninsulare x cate'!$O$5</c:f>
          <c:strCache>
            <c:ptCount val="1"/>
            <c:pt idx="0">
              <c:v>acumulado enero 2025</c:v>
            </c:pt>
          </c:strCache>
        </c:strRef>
      </c:tx>
      <c:layout>
        <c:manualLayout>
          <c:xMode val="edge"/>
          <c:yMode val="edge"/>
          <c:x val="1.9790128254955335E-2"/>
          <c:y val="0.113786413224224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227838455676912"/>
          <c:y val="0.27985647838041661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peninsulare x cate'!$O$5</c:f>
              <c:strCache>
                <c:ptCount val="1"/>
                <c:pt idx="0">
                  <c:v>acumulado enero 2025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B08A-46C3-A55D-F507DFA43AA9}"/>
              </c:ext>
            </c:extLst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B08A-46C3-A55D-F507DFA43AA9}"/>
              </c:ext>
            </c:extLst>
          </c:dPt>
          <c:dLbls>
            <c:dLbl>
              <c:idx val="0"/>
              <c:layout>
                <c:manualLayout>
                  <c:x val="5.8624923664234739E-2"/>
                  <c:y val="2.6266777414537038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08A-46C3-A55D-F507DFA43AA9}"/>
                </c:ext>
              </c:extLst>
            </c:dLbl>
            <c:dLbl>
              <c:idx val="1"/>
              <c:layout>
                <c:manualLayout>
                  <c:x val="-2.8012260925233727E-2"/>
                  <c:y val="-8.9147432115961704E-3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08A-46C3-A55D-F507DFA43AA9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peninsulare x cate'!$B$8:$B$9,'distribución peninsulare x cate'!$B$11:$B$12)</c:f>
              <c:strCache>
                <c:ptCount val="2"/>
                <c:pt idx="0">
                  <c:v>1, 2, 3 Estrellas</c:v>
                </c:pt>
                <c:pt idx="1">
                  <c:v>4, 5 Estrellas</c:v>
                </c:pt>
              </c:strCache>
            </c:strRef>
          </c:cat>
          <c:val>
            <c:numRef>
              <c:f>('distribución peninsulare x cate'!$O$8:$O$9,'distribución peninsulare x cate'!$O$11:$O$12)</c:f>
              <c:numCache>
                <c:formatCode>#,##0</c:formatCode>
                <c:ptCount val="2"/>
                <c:pt idx="0">
                  <c:v>1435</c:v>
                </c:pt>
                <c:pt idx="1">
                  <c:v>11786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08A-46C3-A55D-F507DFA43A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8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peninsulare x cate'!$B$3</c:f>
          <c:strCache>
            <c:ptCount val="1"/>
            <c:pt idx="0">
              <c:v>Viajeros peninsulares entrados en los hoteles y apartamentos de Puerto de la Cruz por tipología y categoría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51033901177778"/>
          <c:y val="0.19147788492398393"/>
          <c:w val="0.84489659872277323"/>
          <c:h val="0.43516144913512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peninsulare x cate'!$D$5</c:f>
              <c:strCache>
                <c:ptCount val="1"/>
                <c:pt idx="0">
                  <c:v>acumulado enero 2021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peninsulare x cate'!$B$7:$B$12</c:f>
              <c:strCache>
                <c:ptCount val="4"/>
                <c:pt idx="0">
                  <c:v>Hoteles</c:v>
                </c:pt>
                <c:pt idx="1">
                  <c:v>1, 2, 3 Estrellas</c:v>
                </c:pt>
                <c:pt idx="2">
                  <c:v>4, 5 Estrellas</c:v>
                </c:pt>
                <c:pt idx="3">
                  <c:v>Apartamentos</c:v>
                </c:pt>
              </c:strCache>
            </c:strRef>
          </c:cat>
          <c:val>
            <c:numRef>
              <c:f>'distribución peninsulare x cate'!$D$7:$D$12</c:f>
              <c:numCache>
                <c:formatCode>#,##0</c:formatCode>
                <c:ptCount val="4"/>
                <c:pt idx="0">
                  <c:v>828</c:v>
                </c:pt>
                <c:pt idx="1">
                  <c:v>230</c:v>
                </c:pt>
                <c:pt idx="2">
                  <c:v>598</c:v>
                </c:pt>
                <c:pt idx="3">
                  <c:v>207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D7-4395-AD7E-41E46D701D77}"/>
            </c:ext>
          </c:extLst>
        </c:ser>
        <c:ser>
          <c:idx val="1"/>
          <c:order val="1"/>
          <c:tx>
            <c:strRef>
              <c:f>'distribución peninsulare x cate'!$K$5</c:f>
              <c:strCache>
                <c:ptCount val="1"/>
                <c:pt idx="0">
                  <c:v>acumulado enero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peninsulare x cate'!$K$7:$K$12</c:f>
              <c:numCache>
                <c:formatCode>#,##0</c:formatCode>
                <c:ptCount val="4"/>
                <c:pt idx="0">
                  <c:v>12646</c:v>
                </c:pt>
                <c:pt idx="1">
                  <c:v>1230</c:v>
                </c:pt>
                <c:pt idx="2">
                  <c:v>11416</c:v>
                </c:pt>
                <c:pt idx="3">
                  <c:v>1245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BD7-4395-AD7E-41E46D701D77}"/>
            </c:ext>
          </c:extLst>
        </c:ser>
        <c:ser>
          <c:idx val="2"/>
          <c:order val="2"/>
          <c:tx>
            <c:strRef>
              <c:f>'distribución peninsulare x cate'!$O$5</c:f>
              <c:strCache>
                <c:ptCount val="1"/>
                <c:pt idx="0">
                  <c:v>acumulado enero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peninsulare x cate'!$O$7:$O$12</c:f>
              <c:numCache>
                <c:formatCode>#,##0</c:formatCode>
                <c:ptCount val="4"/>
                <c:pt idx="0">
                  <c:v>13221</c:v>
                </c:pt>
                <c:pt idx="1">
                  <c:v>1435</c:v>
                </c:pt>
                <c:pt idx="2">
                  <c:v>11786</c:v>
                </c:pt>
                <c:pt idx="3">
                  <c:v>1591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BD7-4395-AD7E-41E46D701D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peninsulare x cate'!$P$5</c:f>
              <c:strCache>
                <c:ptCount val="1"/>
                <c:pt idx="0">
                  <c:v>var. 25/24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peninsulare x cate'!$P$7:$P$12</c:f>
              <c:numCache>
                <c:formatCode>0.0%</c:formatCode>
                <c:ptCount val="4"/>
                <c:pt idx="0">
                  <c:v>4.546892297959837E-2</c:v>
                </c:pt>
                <c:pt idx="1">
                  <c:v>0.16666666666666674</c:v>
                </c:pt>
                <c:pt idx="2">
                  <c:v>3.2410651716888506E-2</c:v>
                </c:pt>
                <c:pt idx="3">
                  <c:v>0.27791164658634537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BD7-4395-AD7E-41E46D701D77}"/>
            </c:ext>
          </c:extLst>
        </c:ser>
        <c:ser>
          <c:idx val="4"/>
          <c:order val="4"/>
          <c:tx>
            <c:strRef>
              <c:f>'distribución peninsulare x cate'!$R$5</c:f>
              <c:strCache>
                <c:ptCount val="1"/>
                <c:pt idx="0">
                  <c:v>var. 25/20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peninsulare x cate'!$R$7:$R$12</c:f>
              <c:numCache>
                <c:formatCode>0.0%</c:formatCode>
                <c:ptCount val="4"/>
                <c:pt idx="0">
                  <c:v>-8.2448469706433491E-2</c:v>
                </c:pt>
                <c:pt idx="1">
                  <c:v>-0.23262032085561501</c:v>
                </c:pt>
                <c:pt idx="2">
                  <c:v>-6.005263577637765E-2</c:v>
                </c:pt>
                <c:pt idx="3">
                  <c:v>-0.22009803921568627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BD7-4395-AD7E-41E46D701D77}"/>
            </c:ext>
          </c:extLst>
        </c:ser>
        <c:ser>
          <c:idx val="5"/>
          <c:order val="5"/>
          <c:tx>
            <c:strRef>
              <c:f>'distribución peninsulare x cate'!$F$5</c:f>
              <c:strCache>
                <c:ptCount val="1"/>
                <c:pt idx="0">
                  <c:v>%/s total Tenerife 2022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peninsulare x cate'!$F$7:$F$12</c:f>
              <c:numCache>
                <c:formatCode>0.0%</c:formatCode>
                <c:ptCount val="4"/>
                <c:pt idx="0">
                  <c:v>0.88954997836434446</c:v>
                </c:pt>
                <c:pt idx="1">
                  <c:v>0.10536564257897015</c:v>
                </c:pt>
                <c:pt idx="2">
                  <c:v>0.78418433578537428</c:v>
                </c:pt>
                <c:pt idx="3">
                  <c:v>0.11045002163565557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BD7-4395-AD7E-41E46D701D77}"/>
            </c:ext>
          </c:extLst>
        </c:ser>
        <c:ser>
          <c:idx val="6"/>
          <c:order val="6"/>
          <c:tx>
            <c:strRef>
              <c:f>'distribución peninsulare x cate'!$T$5</c:f>
              <c:strCache>
                <c:ptCount val="1"/>
                <c:pt idx="0">
                  <c:v>%/s total Tenerife 2025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peninsulare x cate'!$T$7:$T$12</c:f>
              <c:numCache>
                <c:formatCode>0.0%</c:formatCode>
                <c:ptCount val="4"/>
                <c:pt idx="0">
                  <c:v>0.89258709154739402</c:v>
                </c:pt>
                <c:pt idx="1">
                  <c:v>9.6880907372400751E-2</c:v>
                </c:pt>
                <c:pt idx="2">
                  <c:v>0.79570618417499328</c:v>
                </c:pt>
                <c:pt idx="3">
                  <c:v>0.107412908452606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BD7-4395-AD7E-41E46D701D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canarios x cate'!$O$5</c:f>
          <c:strCache>
            <c:ptCount val="1"/>
            <c:pt idx="0">
              <c:v>acumulado enero 2025</c:v>
            </c:pt>
          </c:strCache>
        </c:strRef>
      </c:tx>
      <c:layout>
        <c:manualLayout>
          <c:xMode val="edge"/>
          <c:yMode val="edge"/>
          <c:x val="1.9790128254955335E-2"/>
          <c:y val="0.113786413224224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227838455676912"/>
          <c:y val="0.27985647838041661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canarios x cate'!$O$5</c:f>
              <c:strCache>
                <c:ptCount val="1"/>
                <c:pt idx="0">
                  <c:v>acumulado enero 2025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3D6B-496A-8B42-4F26218FD4DB}"/>
              </c:ext>
            </c:extLst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3D6B-496A-8B42-4F26218FD4DB}"/>
              </c:ext>
            </c:extLst>
          </c:dPt>
          <c:dLbls>
            <c:dLbl>
              <c:idx val="0"/>
              <c:layout>
                <c:manualLayout>
                  <c:x val="5.8624923664234739E-2"/>
                  <c:y val="2.6266777414537038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D6B-496A-8B42-4F26218FD4DB}"/>
                </c:ext>
              </c:extLst>
            </c:dLbl>
            <c:dLbl>
              <c:idx val="1"/>
              <c:layout>
                <c:manualLayout>
                  <c:x val="-2.8012260925233727E-2"/>
                  <c:y val="-8.9147432115961704E-3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D6B-496A-8B42-4F26218FD4DB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canarios x cate'!$B$8:$B$9,'distribución canarios x cate'!$B$11:$B$12)</c:f>
              <c:strCache>
                <c:ptCount val="2"/>
                <c:pt idx="0">
                  <c:v>1, 2, 3 Estrellas</c:v>
                </c:pt>
                <c:pt idx="1">
                  <c:v>4, 5 Estrellas</c:v>
                </c:pt>
              </c:strCache>
            </c:strRef>
          </c:cat>
          <c:val>
            <c:numRef>
              <c:f>('distribución canarios x cate'!$O$8:$O$9,'distribución canarios x cate'!$O$11:$O$12)</c:f>
              <c:numCache>
                <c:formatCode>#,##0</c:formatCode>
                <c:ptCount val="2"/>
                <c:pt idx="0">
                  <c:v>1249</c:v>
                </c:pt>
                <c:pt idx="1">
                  <c:v>1761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D6B-496A-8B42-4F26218FD4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8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canarios x cate'!$B$3</c:f>
          <c:strCache>
            <c:ptCount val="1"/>
            <c:pt idx="0">
              <c:v>Viajeros canarios entrados en los hoteles y apartamentos de Puerto de la Cruz por tipología y categoría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51033901177778"/>
          <c:y val="0.19147788492398393"/>
          <c:w val="0.84489659872277323"/>
          <c:h val="0.43516144913512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canarios x cate'!$D$5</c:f>
              <c:strCache>
                <c:ptCount val="1"/>
                <c:pt idx="0">
                  <c:v>acumulado enero 2021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canarios x cate'!$B$7:$B$12</c:f>
              <c:strCache>
                <c:ptCount val="4"/>
                <c:pt idx="0">
                  <c:v>Hoteles</c:v>
                </c:pt>
                <c:pt idx="1">
                  <c:v>1, 2, 3 Estrellas</c:v>
                </c:pt>
                <c:pt idx="2">
                  <c:v>4, 5 Estrellas</c:v>
                </c:pt>
                <c:pt idx="3">
                  <c:v>Apartamentos</c:v>
                </c:pt>
              </c:strCache>
            </c:strRef>
          </c:cat>
          <c:val>
            <c:numRef>
              <c:f>'distribución canarios x cate'!$D$7:$D$12</c:f>
              <c:numCache>
                <c:formatCode>#,##0</c:formatCode>
                <c:ptCount val="4"/>
                <c:pt idx="0">
                  <c:v>914</c:v>
                </c:pt>
                <c:pt idx="1">
                  <c:v>736</c:v>
                </c:pt>
                <c:pt idx="2">
                  <c:v>178</c:v>
                </c:pt>
                <c:pt idx="3">
                  <c:v>187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6DF-44D8-8D31-D555EF370622}"/>
            </c:ext>
          </c:extLst>
        </c:ser>
        <c:ser>
          <c:idx val="1"/>
          <c:order val="1"/>
          <c:tx>
            <c:strRef>
              <c:f>'distribución canarios x cate'!$K$5</c:f>
              <c:strCache>
                <c:ptCount val="1"/>
                <c:pt idx="0">
                  <c:v>acumulado enero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canarios x cate'!$K$7:$K$12</c:f>
              <c:numCache>
                <c:formatCode>#,##0</c:formatCode>
                <c:ptCount val="4"/>
                <c:pt idx="0">
                  <c:v>2752</c:v>
                </c:pt>
                <c:pt idx="1">
                  <c:v>747</c:v>
                </c:pt>
                <c:pt idx="2">
                  <c:v>2005</c:v>
                </c:pt>
                <c:pt idx="3">
                  <c:v>546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6DF-44D8-8D31-D555EF370622}"/>
            </c:ext>
          </c:extLst>
        </c:ser>
        <c:ser>
          <c:idx val="2"/>
          <c:order val="2"/>
          <c:tx>
            <c:strRef>
              <c:f>'distribución canarios x cate'!$O$5</c:f>
              <c:strCache>
                <c:ptCount val="1"/>
                <c:pt idx="0">
                  <c:v>acumulado enero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canarios x cate'!$O$7:$O$12</c:f>
              <c:numCache>
                <c:formatCode>#,##0</c:formatCode>
                <c:ptCount val="4"/>
                <c:pt idx="0">
                  <c:v>3010</c:v>
                </c:pt>
                <c:pt idx="1">
                  <c:v>1249</c:v>
                </c:pt>
                <c:pt idx="2">
                  <c:v>1761</c:v>
                </c:pt>
                <c:pt idx="3">
                  <c:v>803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6DF-44D8-8D31-D555EF3706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canarios x cate'!$P$5</c:f>
              <c:strCache>
                <c:ptCount val="1"/>
                <c:pt idx="0">
                  <c:v>var. 25/24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canarios x cate'!$P$7:$P$12</c:f>
              <c:numCache>
                <c:formatCode>0.0%</c:formatCode>
                <c:ptCount val="4"/>
                <c:pt idx="0">
                  <c:v>9.375E-2</c:v>
                </c:pt>
                <c:pt idx="1">
                  <c:v>0.67202141900937074</c:v>
                </c:pt>
                <c:pt idx="2">
                  <c:v>-0.12169576059850373</c:v>
                </c:pt>
                <c:pt idx="3">
                  <c:v>0.4706959706959708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6DF-44D8-8D31-D555EF370622}"/>
            </c:ext>
          </c:extLst>
        </c:ser>
        <c:ser>
          <c:idx val="4"/>
          <c:order val="4"/>
          <c:tx>
            <c:strRef>
              <c:f>'distribución canarios x cate'!$R$5</c:f>
              <c:strCache>
                <c:ptCount val="1"/>
                <c:pt idx="0">
                  <c:v>var. 25/20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canarios x cate'!$R$7:$R$12</c:f>
              <c:numCache>
                <c:formatCode>0.0%</c:formatCode>
                <c:ptCount val="4"/>
                <c:pt idx="0">
                  <c:v>0.23766447368421062</c:v>
                </c:pt>
                <c:pt idx="1">
                  <c:v>0.11917562724014341</c:v>
                </c:pt>
                <c:pt idx="2">
                  <c:v>0.33814589665653494</c:v>
                </c:pt>
                <c:pt idx="3">
                  <c:v>-0.27722772277227725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6DF-44D8-8D31-D555EF370622}"/>
            </c:ext>
          </c:extLst>
        </c:ser>
        <c:ser>
          <c:idx val="5"/>
          <c:order val="5"/>
          <c:tx>
            <c:strRef>
              <c:f>'distribución canarios x cate'!$F$5</c:f>
              <c:strCache>
                <c:ptCount val="1"/>
                <c:pt idx="0">
                  <c:v>%/s total Tenerife 2022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canarios x cate'!$F$7:$F$12</c:f>
              <c:numCache>
                <c:formatCode>0.0%</c:formatCode>
                <c:ptCount val="4"/>
                <c:pt idx="0">
                  <c:v>0.74650571791613718</c:v>
                </c:pt>
                <c:pt idx="1">
                  <c:v>0.39517153748411687</c:v>
                </c:pt>
                <c:pt idx="2">
                  <c:v>0.3513341804320203</c:v>
                </c:pt>
                <c:pt idx="3">
                  <c:v>0.25349428208386277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6DF-44D8-8D31-D555EF370622}"/>
            </c:ext>
          </c:extLst>
        </c:ser>
        <c:ser>
          <c:idx val="6"/>
          <c:order val="6"/>
          <c:tx>
            <c:strRef>
              <c:f>'distribución canarios x cate'!$T$5</c:f>
              <c:strCache>
                <c:ptCount val="1"/>
                <c:pt idx="0">
                  <c:v>%/s total Tenerife 2025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canarios x cate'!$T$7:$T$12</c:f>
              <c:numCache>
                <c:formatCode>0.0%</c:formatCode>
                <c:ptCount val="4"/>
                <c:pt idx="0">
                  <c:v>0.78940466824023081</c:v>
                </c:pt>
                <c:pt idx="1">
                  <c:v>0.32756359821662734</c:v>
                </c:pt>
                <c:pt idx="2">
                  <c:v>0.46184107002360347</c:v>
                </c:pt>
                <c:pt idx="3">
                  <c:v>0.21059533175976922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6DF-44D8-8D31-D555EF3706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mun al'!$O$5</c:f>
          <c:strCache>
            <c:ptCount val="1"/>
            <c:pt idx="0">
              <c:v>acumulado enero 2025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3757176234101782"/>
          <c:y val="0.19060850703570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mun al'!$O$5</c:f>
              <c:strCache>
                <c:ptCount val="1"/>
                <c:pt idx="0">
                  <c:v>acumulado enero 2025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C2E6-4F73-80EF-62980C6D0BD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C2E6-4F73-80EF-62980C6D0BD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C2E6-4F73-80EF-62980C6D0BD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C2E6-4F73-80EF-62980C6D0BD9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C2E6-4F73-80EF-62980C6D0BD9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C2E6-4F73-80EF-62980C6D0BD9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C2E6-4F73-80EF-62980C6D0BD9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C2E6-4F73-80EF-62980C6D0BD9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C2E6-4F73-80EF-62980C6D0BD9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C2E6-4F73-80EF-62980C6D0BD9}"/>
              </c:ext>
            </c:extLst>
          </c:dPt>
          <c:dLbls>
            <c:dLbl>
              <c:idx val="0"/>
              <c:layout>
                <c:manualLayout>
                  <c:x val="-7.5339122360884497E-2"/>
                  <c:y val="4.59714145008051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2E6-4F73-80EF-62980C6D0BD9}"/>
                </c:ext>
              </c:extLst>
            </c:dLbl>
            <c:dLbl>
              <c:idx val="1"/>
              <c:layout>
                <c:manualLayout>
                  <c:x val="-9.3387190520987984E-2"/>
                  <c:y val="4.819605911875211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2E6-4F73-80EF-62980C6D0BD9}"/>
                </c:ext>
              </c:extLst>
            </c:dLbl>
            <c:dLbl>
              <c:idx val="2"/>
              <c:layout>
                <c:manualLayout>
                  <c:x val="-0.11098057931923191"/>
                  <c:y val="1.177616325717542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2E6-4F73-80EF-62980C6D0BD9}"/>
                </c:ext>
              </c:extLst>
            </c:dLbl>
            <c:dLbl>
              <c:idx val="3"/>
              <c:layout>
                <c:manualLayout>
                  <c:x val="-0.13331713361065792"/>
                  <c:y val="1.20034749697046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2E6-4F73-80EF-62980C6D0BD9}"/>
                </c:ext>
              </c:extLst>
            </c:dLbl>
            <c:dLbl>
              <c:idx val="4"/>
              <c:layout>
                <c:manualLayout>
                  <c:x val="1.1125366254599619E-2"/>
                  <c:y val="-4.838153839343518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2E6-4F73-80EF-62980C6D0BD9}"/>
                </c:ext>
              </c:extLst>
            </c:dLbl>
            <c:dLbl>
              <c:idx val="5"/>
              <c:layout>
                <c:manualLayout>
                  <c:x val="4.6608807014449298E-2"/>
                  <c:y val="-6.15330813795851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2E6-4F73-80EF-62980C6D0BD9}"/>
                </c:ext>
              </c:extLst>
            </c:dLbl>
            <c:dLbl>
              <c:idx val="6"/>
              <c:layout>
                <c:manualLayout>
                  <c:x val="9.1737743332696367E-2"/>
                  <c:y val="-0.1007623906463554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2E6-4F73-80EF-62980C6D0BD9}"/>
                </c:ext>
              </c:extLst>
            </c:dLbl>
            <c:dLbl>
              <c:idx val="7"/>
              <c:layout>
                <c:manualLayout>
                  <c:x val="0.12098099885836359"/>
                  <c:y val="-1.9219902501646183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2E6-4F73-80EF-62980C6D0BD9}"/>
                </c:ext>
              </c:extLst>
            </c:dLbl>
            <c:dLbl>
              <c:idx val="8"/>
              <c:layout>
                <c:manualLayout>
                  <c:x val="0.16659745802158807"/>
                  <c:y val="3.23181035961509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2E6-4F73-80EF-62980C6D0BD9}"/>
                </c:ext>
              </c:extLst>
            </c:dLbl>
            <c:dLbl>
              <c:idx val="9"/>
              <c:layout>
                <c:manualLayout>
                  <c:x val="-5.8337222491707218E-2"/>
                  <c:y val="1.835979216582467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008261552331535"/>
                      <c:h val="0.165144061841180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C2E6-4F73-80EF-62980C6D0BD9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españoles x mun al'!$B$7:$B$16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españoles x mun al'!$O$7:$O$16</c:f>
              <c:numCache>
                <c:formatCode>#,##0</c:formatCode>
                <c:ptCount val="10"/>
                <c:pt idx="0">
                  <c:v>6983</c:v>
                </c:pt>
                <c:pt idx="1">
                  <c:v>5520</c:v>
                </c:pt>
                <c:pt idx="2">
                  <c:v>902</c:v>
                </c:pt>
                <c:pt idx="3">
                  <c:v>18625</c:v>
                </c:pt>
                <c:pt idx="4">
                  <c:v>2599</c:v>
                </c:pt>
                <c:pt idx="5">
                  <c:v>11916</c:v>
                </c:pt>
                <c:pt idx="6">
                  <c:v>2652</c:v>
                </c:pt>
                <c:pt idx="7">
                  <c:v>851</c:v>
                </c:pt>
                <c:pt idx="8">
                  <c:v>2131</c:v>
                </c:pt>
                <c:pt idx="9">
                  <c:v>3225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C2E6-4F73-80EF-62980C6D0B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54D-4530-95A7-3F0BB4A7782D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54D-4530-95A7-3F0BB4A7782D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54D-4530-95A7-3F0BB4A7782D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54D-4530-95A7-3F0BB4A7782D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54D-4530-95A7-3F0BB4A7782D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54D-4530-95A7-3F0BB4A7782D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54D-4530-95A7-3F0BB4A7782D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54D-4530-95A7-3F0BB4A7782D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54D-4530-95A7-3F0BB4A7782D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54D-4530-95A7-3F0BB4A7782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E54D-4530-95A7-3F0BB4A7782D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54D-4530-95A7-3F0BB4A7782D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54D-4530-95A7-3F0BB4A7782D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54D-4530-95A7-3F0BB4A7782D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54D-4530-95A7-3F0BB4A7782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E54D-4530-95A7-3F0BB4A7782D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E54D-4530-95A7-3F0BB4A7782D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54D-4530-95A7-3F0BB4A7782D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54D-4530-95A7-3F0BB4A7782D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54D-4530-95A7-3F0BB4A7782D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54D-4530-95A7-3F0BB4A7782D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54D-4530-95A7-3F0BB4A7782D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54D-4530-95A7-3F0BB4A7782D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54D-4530-95A7-3F0BB4A7782D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54D-4530-95A7-3F0BB4A7782D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54D-4530-95A7-3F0BB4A7782D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54D-4530-95A7-3F0BB4A7782D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54D-4530-95A7-3F0BB4A7782D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54D-4530-95A7-3F0BB4A7782D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54D-4530-95A7-3F0BB4A7782D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54D-4530-95A7-3F0BB4A7782D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E54D-4530-95A7-3F0BB4A7782D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E54D-4530-95A7-3F0BB4A7782D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E54D-4530-95A7-3F0BB4A7782D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E54D-4530-95A7-3F0BB4A7782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E54D-4530-95A7-3F0BB4A7782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E54D-4530-95A7-3F0BB4A7782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E54D-4530-95A7-3F0BB4A7782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E54D-4530-95A7-3F0BB4A7782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E54D-4530-95A7-3F0BB4A7782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E54D-4530-95A7-3F0BB4A7782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E54D-4530-95A7-3F0BB4A7782D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E54D-4530-95A7-3F0BB4A7782D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E54D-4530-95A7-3F0BB4A7782D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E54D-4530-95A7-3F0BB4A7782D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E54D-4530-95A7-3F0BB4A7782D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E54D-4530-95A7-3F0BB4A7782D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E54D-4530-95A7-3F0BB4A7782D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E54D-4530-95A7-3F0BB4A7782D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E54D-4530-95A7-3F0BB4A7782D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E54D-4530-95A7-3F0BB4A7782D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E54D-4530-95A7-3F0BB4A7782D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E54D-4530-95A7-3F0BB4A7782D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E54D-4530-95A7-3F0BB4A7782D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E54D-4530-95A7-3F0BB4A7782D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E54D-4530-95A7-3F0BB4A7782D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E54D-4530-95A7-3F0BB4A7782D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E54D-4530-95A7-3F0BB4A7782D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E54D-4530-95A7-3F0BB4A7782D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E54D-4530-95A7-3F0BB4A7782D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E54D-4530-95A7-3F0BB4A7782D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E54D-4530-95A7-3F0BB4A7782D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E54D-4530-95A7-3F0BB4A7782D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E54D-4530-95A7-3F0BB4A7782D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E54D-4530-95A7-3F0BB4A7782D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E54D-4530-95A7-3F0BB4A7782D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E54D-4530-95A7-3F0BB4A7782D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E54D-4530-95A7-3F0BB4A7782D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E54D-4530-95A7-3F0BB4A7782D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E54D-4530-95A7-3F0BB4A7782D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E54D-4530-95A7-3F0BB4A7782D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E54D-4530-95A7-3F0BB4A7782D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E54D-4530-95A7-3F0BB4A7782D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E54D-4530-95A7-3F0BB4A7782D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E54D-4530-95A7-3F0BB4A7782D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E54D-4530-95A7-3F0BB4A7782D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E54D-4530-95A7-3F0BB4A7782D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E54D-4530-95A7-3F0BB4A7782D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E54D-4530-95A7-3F0BB4A7782D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E54D-4530-95A7-3F0BB4A7782D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E54D-4530-95A7-3F0BB4A7782D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E54D-4530-95A7-3F0BB4A7782D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E54D-4530-95A7-3F0BB4A7782D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E54D-4530-95A7-3F0BB4A778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mun al'!$B$3</c:f>
          <c:strCache>
            <c:ptCount val="1"/>
            <c:pt idx="0">
              <c:v>Viajeros españoles entrados en los hoteles y apartamentos de Tenerife por municipio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727254388005181"/>
          <c:y val="0.16206612589429406"/>
          <c:w val="0.82272741511946601"/>
          <c:h val="0.40574969010543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españoles x mun al'!$D$5</c:f>
              <c:strCache>
                <c:ptCount val="1"/>
                <c:pt idx="0">
                  <c:v>acumulado enero 2021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0">
                <a:spAutoFit/>
              </a:bodyPr>
              <a:lstStyle/>
              <a:p>
                <a:pPr algn="ctr" rtl="0">
                  <a:defRPr lang="en-US"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españoles x mun al'!$B$7:$B$16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españoles x mun al'!$D$7:$D$16</c:f>
              <c:numCache>
                <c:formatCode>#,##0</c:formatCode>
                <c:ptCount val="10"/>
                <c:pt idx="0">
                  <c:v>5945</c:v>
                </c:pt>
                <c:pt idx="1">
                  <c:v>1875</c:v>
                </c:pt>
                <c:pt idx="2">
                  <c:v>107</c:v>
                </c:pt>
                <c:pt idx="3">
                  <c:v>2136</c:v>
                </c:pt>
                <c:pt idx="4">
                  <c:v>929</c:v>
                </c:pt>
                <c:pt idx="5">
                  <c:v>2598</c:v>
                </c:pt>
                <c:pt idx="6">
                  <c:v>582</c:v>
                </c:pt>
                <c:pt idx="7">
                  <c:v>3353</c:v>
                </c:pt>
                <c:pt idx="8">
                  <c:v>570</c:v>
                </c:pt>
                <c:pt idx="9">
                  <c:v>1527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4F-468D-9E06-D47361ED7D09}"/>
            </c:ext>
          </c:extLst>
        </c:ser>
        <c:ser>
          <c:idx val="1"/>
          <c:order val="1"/>
          <c:tx>
            <c:strRef>
              <c:f>'distribución españoles x mun al'!$K$5</c:f>
              <c:strCache>
                <c:ptCount val="1"/>
                <c:pt idx="0">
                  <c:v>acumulado enero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mun al'!$K$7:$K$16</c:f>
              <c:numCache>
                <c:formatCode>#,##0</c:formatCode>
                <c:ptCount val="10"/>
                <c:pt idx="0">
                  <c:v>7100</c:v>
                </c:pt>
                <c:pt idx="1">
                  <c:v>4403</c:v>
                </c:pt>
                <c:pt idx="2">
                  <c:v>596</c:v>
                </c:pt>
                <c:pt idx="3">
                  <c:v>17189</c:v>
                </c:pt>
                <c:pt idx="4">
                  <c:v>2281</c:v>
                </c:pt>
                <c:pt idx="5">
                  <c:v>11900</c:v>
                </c:pt>
                <c:pt idx="6">
                  <c:v>2177</c:v>
                </c:pt>
                <c:pt idx="7">
                  <c:v>1032</c:v>
                </c:pt>
                <c:pt idx="8">
                  <c:v>2799</c:v>
                </c:pt>
                <c:pt idx="9">
                  <c:v>3748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04F-468D-9E06-D47361ED7D09}"/>
            </c:ext>
          </c:extLst>
        </c:ser>
        <c:ser>
          <c:idx val="2"/>
          <c:order val="2"/>
          <c:tx>
            <c:strRef>
              <c:f>'distribución españoles x mun al'!$O$5</c:f>
              <c:strCache>
                <c:ptCount val="1"/>
                <c:pt idx="0">
                  <c:v>acumulado enero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mun al'!$O$7:$O$16</c:f>
              <c:numCache>
                <c:formatCode>#,##0</c:formatCode>
                <c:ptCount val="10"/>
                <c:pt idx="0">
                  <c:v>6983</c:v>
                </c:pt>
                <c:pt idx="1">
                  <c:v>5520</c:v>
                </c:pt>
                <c:pt idx="2">
                  <c:v>902</c:v>
                </c:pt>
                <c:pt idx="3">
                  <c:v>18625</c:v>
                </c:pt>
                <c:pt idx="4">
                  <c:v>2599</c:v>
                </c:pt>
                <c:pt idx="5">
                  <c:v>11916</c:v>
                </c:pt>
                <c:pt idx="6">
                  <c:v>2652</c:v>
                </c:pt>
                <c:pt idx="7">
                  <c:v>851</c:v>
                </c:pt>
                <c:pt idx="8">
                  <c:v>2131</c:v>
                </c:pt>
                <c:pt idx="9">
                  <c:v>3225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04F-468D-9E06-D47361ED7D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españoles x mun al'!$P$5</c:f>
              <c:strCache>
                <c:ptCount val="1"/>
                <c:pt idx="0">
                  <c:v>var. 25/24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al'!$P$7:$P$16</c:f>
              <c:numCache>
                <c:formatCode>0.0%</c:formatCode>
                <c:ptCount val="10"/>
                <c:pt idx="0">
                  <c:v>-1.6478873239436642E-2</c:v>
                </c:pt>
                <c:pt idx="1">
                  <c:v>0.25369066545537144</c:v>
                </c:pt>
                <c:pt idx="2">
                  <c:v>0.51342281879194629</c:v>
                </c:pt>
                <c:pt idx="3">
                  <c:v>8.3541799988364751E-2</c:v>
                </c:pt>
                <c:pt idx="4">
                  <c:v>0.13941253836036815</c:v>
                </c:pt>
                <c:pt idx="5">
                  <c:v>1.3445378151260012E-3</c:v>
                </c:pt>
                <c:pt idx="6">
                  <c:v>0.21819016995865881</c:v>
                </c:pt>
                <c:pt idx="7">
                  <c:v>-0.17538759689922478</c:v>
                </c:pt>
                <c:pt idx="8">
                  <c:v>-0.23865666309396216</c:v>
                </c:pt>
                <c:pt idx="9">
                  <c:v>-0.13954108858057634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04F-468D-9E06-D47361ED7D09}"/>
            </c:ext>
          </c:extLst>
        </c:ser>
        <c:ser>
          <c:idx val="4"/>
          <c:order val="4"/>
          <c:tx>
            <c:strRef>
              <c:f>'distribución españoles x mun al'!$R$5</c:f>
              <c:strCache>
                <c:ptCount val="1"/>
                <c:pt idx="0">
                  <c:v>var. 25/20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al'!$R$7:$R$16</c:f>
              <c:numCache>
                <c:formatCode>0.0%</c:formatCode>
                <c:ptCount val="10"/>
                <c:pt idx="0">
                  <c:v>-0.20448849396217816</c:v>
                </c:pt>
                <c:pt idx="1">
                  <c:v>-9.3323761665470295E-3</c:v>
                </c:pt>
                <c:pt idx="2">
                  <c:v>1.1223529411764708</c:v>
                </c:pt>
                <c:pt idx="3">
                  <c:v>-6.8377350940376114E-2</c:v>
                </c:pt>
                <c:pt idx="4">
                  <c:v>-0.16080077494349365</c:v>
                </c:pt>
                <c:pt idx="5">
                  <c:v>0.21728470732454785</c:v>
                </c:pt>
                <c:pt idx="6">
                  <c:v>-0.13305001634521085</c:v>
                </c:pt>
                <c:pt idx="7">
                  <c:v>2.9020556227327798E-2</c:v>
                </c:pt>
                <c:pt idx="8">
                  <c:v>-0.1019806152549515</c:v>
                </c:pt>
                <c:pt idx="9">
                  <c:v>0.33429871741828721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04F-468D-9E06-D47361ED7D09}"/>
            </c:ext>
          </c:extLst>
        </c:ser>
        <c:ser>
          <c:idx val="5"/>
          <c:order val="5"/>
          <c:tx>
            <c:strRef>
              <c:f>'distribución españoles x mun al'!$F$5</c:f>
              <c:strCache>
                <c:ptCount val="1"/>
                <c:pt idx="0">
                  <c:v>%/s total Tenerife 2022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al'!$F$7:$F$16</c:f>
              <c:numCache>
                <c:formatCode>0.0%</c:formatCode>
                <c:ptCount val="10"/>
                <c:pt idx="0">
                  <c:v>0.21456956813176289</c:v>
                </c:pt>
                <c:pt idx="1">
                  <c:v>9.9324906636024127E-2</c:v>
                </c:pt>
                <c:pt idx="2">
                  <c:v>3.8542564397203868E-3</c:v>
                </c:pt>
                <c:pt idx="3">
                  <c:v>0.29665804845350952</c:v>
                </c:pt>
                <c:pt idx="4">
                  <c:v>4.608350090970028E-2</c:v>
                </c:pt>
                <c:pt idx="5">
                  <c:v>0.15735420856075841</c:v>
                </c:pt>
                <c:pt idx="6">
                  <c:v>4.2444699798908359E-2</c:v>
                </c:pt>
                <c:pt idx="7">
                  <c:v>1.7810973858086755E-2</c:v>
                </c:pt>
                <c:pt idx="8">
                  <c:v>4.7998659389064446E-2</c:v>
                </c:pt>
                <c:pt idx="9">
                  <c:v>7.3901177822464803E-2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04F-468D-9E06-D47361ED7D09}"/>
            </c:ext>
          </c:extLst>
        </c:ser>
        <c:ser>
          <c:idx val="6"/>
          <c:order val="6"/>
          <c:tx>
            <c:strRef>
              <c:f>'distribución españoles x mun al'!$T$5</c:f>
              <c:strCache>
                <c:ptCount val="1"/>
                <c:pt idx="0">
                  <c:v>%/s total Tenerife 2025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al'!$T$7:$T$16</c:f>
              <c:numCache>
                <c:formatCode>0.0%</c:formatCode>
                <c:ptCount val="10"/>
                <c:pt idx="0">
                  <c:v>0.12603783120352322</c:v>
                </c:pt>
                <c:pt idx="1">
                  <c:v>9.963179553822829E-2</c:v>
                </c:pt>
                <c:pt idx="2">
                  <c:v>1.6280412966572809E-2</c:v>
                </c:pt>
                <c:pt idx="3">
                  <c:v>0.33616706374990973</c:v>
                </c:pt>
                <c:pt idx="4">
                  <c:v>4.690997039924915E-2</c:v>
                </c:pt>
                <c:pt idx="5">
                  <c:v>0.21507472384665366</c:v>
                </c:pt>
                <c:pt idx="6">
                  <c:v>4.7866580030322722E-2</c:v>
                </c:pt>
                <c:pt idx="7">
                  <c:v>1.5359901812143528E-2</c:v>
                </c:pt>
                <c:pt idx="8">
                  <c:v>3.8462926864486317E-2</c:v>
                </c:pt>
                <c:pt idx="9">
                  <c:v>5.8208793588910547E-2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04F-468D-9E06-D47361ED7D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 x munici'!$O$5</c:f>
          <c:strCache>
            <c:ptCount val="1"/>
            <c:pt idx="0">
              <c:v>acumulado enero 2025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3757176234101782"/>
          <c:y val="0.19060850703570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peninsula x munici'!$O$5</c:f>
              <c:strCache>
                <c:ptCount val="1"/>
                <c:pt idx="0">
                  <c:v>acumulado enero 2025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B79A-475F-B8BE-B1779DFEF64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B79A-475F-B8BE-B1779DFEF64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B79A-475F-B8BE-B1779DFEF640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B79A-475F-B8BE-B1779DFEF640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B79A-475F-B8BE-B1779DFEF640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B79A-475F-B8BE-B1779DFEF640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B79A-475F-B8BE-B1779DFEF640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B79A-475F-B8BE-B1779DFEF640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B79A-475F-B8BE-B1779DFEF640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B79A-475F-B8BE-B1779DFEF640}"/>
              </c:ext>
            </c:extLst>
          </c:dPt>
          <c:dLbls>
            <c:dLbl>
              <c:idx val="0"/>
              <c:layout>
                <c:manualLayout>
                  <c:x val="-7.5339122360884497E-2"/>
                  <c:y val="4.59714145008051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79A-475F-B8BE-B1779DFEF640}"/>
                </c:ext>
              </c:extLst>
            </c:dLbl>
            <c:dLbl>
              <c:idx val="1"/>
              <c:layout>
                <c:manualLayout>
                  <c:x val="-9.3387190520987984E-2"/>
                  <c:y val="4.819605911875211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79A-475F-B8BE-B1779DFEF640}"/>
                </c:ext>
              </c:extLst>
            </c:dLbl>
            <c:dLbl>
              <c:idx val="2"/>
              <c:layout>
                <c:manualLayout>
                  <c:x val="-0.11098057931923191"/>
                  <c:y val="1.177616325717542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79A-475F-B8BE-B1779DFEF640}"/>
                </c:ext>
              </c:extLst>
            </c:dLbl>
            <c:dLbl>
              <c:idx val="3"/>
              <c:layout>
                <c:manualLayout>
                  <c:x val="-0.13331713361065792"/>
                  <c:y val="1.20034749697046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79A-475F-B8BE-B1779DFEF640}"/>
                </c:ext>
              </c:extLst>
            </c:dLbl>
            <c:dLbl>
              <c:idx val="4"/>
              <c:layout>
                <c:manualLayout>
                  <c:x val="1.1125366254599619E-2"/>
                  <c:y val="-4.838153839343518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79A-475F-B8BE-B1779DFEF640}"/>
                </c:ext>
              </c:extLst>
            </c:dLbl>
            <c:dLbl>
              <c:idx val="5"/>
              <c:layout>
                <c:manualLayout>
                  <c:x val="4.6608807014449298E-2"/>
                  <c:y val="-6.15330813795851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79A-475F-B8BE-B1779DFEF640}"/>
                </c:ext>
              </c:extLst>
            </c:dLbl>
            <c:dLbl>
              <c:idx val="6"/>
              <c:layout>
                <c:manualLayout>
                  <c:x val="9.1737743332696367E-2"/>
                  <c:y val="-0.1007623906463554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79A-475F-B8BE-B1779DFEF640}"/>
                </c:ext>
              </c:extLst>
            </c:dLbl>
            <c:dLbl>
              <c:idx val="7"/>
              <c:layout>
                <c:manualLayout>
                  <c:x val="0.12098099885836359"/>
                  <c:y val="-1.9219902501646183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79A-475F-B8BE-B1779DFEF640}"/>
                </c:ext>
              </c:extLst>
            </c:dLbl>
            <c:dLbl>
              <c:idx val="8"/>
              <c:layout>
                <c:manualLayout>
                  <c:x val="0.16659745802158807"/>
                  <c:y val="3.23181035961509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79A-475F-B8BE-B1779DFEF640}"/>
                </c:ext>
              </c:extLst>
            </c:dLbl>
            <c:dLbl>
              <c:idx val="9"/>
              <c:layout>
                <c:manualLayout>
                  <c:x val="-5.8337222491707218E-2"/>
                  <c:y val="1.835979216582467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008261552331535"/>
                      <c:h val="0.165144061841180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B79A-475F-B8BE-B1779DFEF640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peninsula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peninsula x munici'!$O$7:$O$16</c:f>
              <c:numCache>
                <c:formatCode>#,##0</c:formatCode>
                <c:ptCount val="10"/>
                <c:pt idx="0">
                  <c:v>4289</c:v>
                </c:pt>
                <c:pt idx="1">
                  <c:v>3737</c:v>
                </c:pt>
                <c:pt idx="2">
                  <c:v>505</c:v>
                </c:pt>
                <c:pt idx="3">
                  <c:v>14812</c:v>
                </c:pt>
                <c:pt idx="4">
                  <c:v>1965</c:v>
                </c:pt>
                <c:pt idx="5">
                  <c:v>7025</c:v>
                </c:pt>
                <c:pt idx="6">
                  <c:v>1752</c:v>
                </c:pt>
                <c:pt idx="7">
                  <c:v>603</c:v>
                </c:pt>
                <c:pt idx="8">
                  <c:v>1724</c:v>
                </c:pt>
                <c:pt idx="9">
                  <c:v>1059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B79A-475F-B8BE-B1779DFEF6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TF'!$I$161:$J$161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8D6-4633-A27B-43D56AFAF9D0}"/>
              </c:ext>
            </c:extLst>
          </c:dPt>
          <c:val>
            <c:numRef>
              <c:f>'Viajeros entr evol mensu TF'!$I$163:$I$175</c:f>
              <c:numCache>
                <c:formatCode>#,##0</c:formatCode>
                <c:ptCount val="13"/>
                <c:pt idx="0">
                  <c:v>3060</c:v>
                </c:pt>
                <c:pt idx="1">
                  <c:v>3296</c:v>
                </c:pt>
                <c:pt idx="2">
                  <c:v>3835</c:v>
                </c:pt>
                <c:pt idx="3">
                  <c:v>3992</c:v>
                </c:pt>
                <c:pt idx="4">
                  <c:v>2825</c:v>
                </c:pt>
                <c:pt idx="5">
                  <c:v>2564</c:v>
                </c:pt>
                <c:pt idx="6">
                  <c:v>3169</c:v>
                </c:pt>
                <c:pt idx="7">
                  <c:v>4052</c:v>
                </c:pt>
                <c:pt idx="8">
                  <c:v>3816</c:v>
                </c:pt>
                <c:pt idx="9">
                  <c:v>4916</c:v>
                </c:pt>
                <c:pt idx="10">
                  <c:v>3401</c:v>
                </c:pt>
                <c:pt idx="11">
                  <c:v>3613</c:v>
                </c:pt>
                <c:pt idx="12">
                  <c:v>42539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8D6-4633-A27B-43D56AFAF9D0}"/>
            </c:ext>
          </c:extLst>
        </c:ser>
        <c:ser>
          <c:idx val="0"/>
          <c:order val="2"/>
          <c:tx>
            <c:strRef>
              <c:f>'Viajeros entr evol mensu TF'!$K$161:$L$161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8D6-4633-A27B-43D56AFAF9D0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TF'!$K$163:$K$175</c:f>
              <c:numCache>
                <c:formatCode>#,##0</c:formatCode>
                <c:ptCount val="13"/>
                <c:pt idx="0">
                  <c:v>3566</c:v>
                </c:pt>
                <c:pt idx="1">
                  <c:v>4901</c:v>
                </c:pt>
                <c:pt idx="2">
                  <c:v>5266</c:v>
                </c:pt>
                <c:pt idx="3">
                  <c:v>5053</c:v>
                </c:pt>
                <c:pt idx="4">
                  <c:v>4892</c:v>
                </c:pt>
                <c:pt idx="5">
                  <c:v>5187</c:v>
                </c:pt>
                <c:pt idx="6">
                  <c:v>5388</c:v>
                </c:pt>
                <c:pt idx="7">
                  <c:v>5505</c:v>
                </c:pt>
                <c:pt idx="8">
                  <c:v>4449</c:v>
                </c:pt>
                <c:pt idx="9">
                  <c:v>5925</c:v>
                </c:pt>
                <c:pt idx="10">
                  <c:v>3939</c:v>
                </c:pt>
                <c:pt idx="11">
                  <c:v>3854</c:v>
                </c:pt>
                <c:pt idx="12">
                  <c:v>57925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8D6-4633-A27B-43D56AFAF9D0}"/>
            </c:ext>
          </c:extLst>
        </c:ser>
        <c:ser>
          <c:idx val="1"/>
          <c:order val="3"/>
          <c:tx>
            <c:strRef>
              <c:f>'Viajeros entr evol mensu TF'!$M$161:$N$161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68D6-4633-A27B-43D56AFAF9D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68D6-4633-A27B-43D56AFAF9D0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TF'!$M$163:$M$175</c:f>
              <c:numCache>
                <c:formatCode>#,##0</c:formatCode>
                <c:ptCount val="13"/>
                <c:pt idx="0">
                  <c:v>3619</c:v>
                </c:pt>
                <c:pt idx="12">
                  <c:v>3619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8D6-4633-A27B-43D56AFAF9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TF'!$C$161:$D$161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01-68D6-4633-A27B-43D56AFAF9D0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TF'!$C$163:$C$175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2065</c:v>
                      </c:pt>
                      <c:pt idx="1">
                        <c:v>2993</c:v>
                      </c:pt>
                      <c:pt idx="2">
                        <c:v>794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599</c:v>
                      </c:pt>
                      <c:pt idx="8">
                        <c:v>234</c:v>
                      </c:pt>
                      <c:pt idx="9">
                        <c:v>872</c:v>
                      </c:pt>
                      <c:pt idx="10">
                        <c:v>86</c:v>
                      </c:pt>
                      <c:pt idx="11">
                        <c:v>484</c:v>
                      </c:pt>
                      <c:pt idx="12">
                        <c:v>8286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2-68D6-4633-A27B-43D56AFAF9D0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TF'!$N$162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8D6-4633-A27B-43D56AFAF9D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8D6-4633-A27B-43D56AFAF9D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8D6-4633-A27B-43D56AFAF9D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8D6-4633-A27B-43D56AFAF9D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8D6-4633-A27B-43D56AFAF9D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8D6-4633-A27B-43D56AFAF9D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8D6-4633-A27B-43D56AFAF9D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8D6-4633-A27B-43D56AFAF9D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8D6-4633-A27B-43D56AFAF9D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8D6-4633-A27B-43D56AFAF9D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8D6-4633-A27B-43D56AFAF9D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8D6-4633-A27B-43D56AFAF9D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8D6-4633-A27B-43D56AFAF9D0}"/>
              </c:ext>
            </c:extLst>
          </c:dPt>
          <c:cat>
            <c:strRef>
              <c:f>'Viajeros entr evol mensu TF'!$B$163:$B$174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TF'!$N$163:$N$175</c:f>
              <c:numCache>
                <c:formatCode>0.0%</c:formatCode>
                <c:ptCount val="13"/>
                <c:pt idx="0">
                  <c:v>1.4862591138530501E-2</c:v>
                </c:pt>
                <c:pt idx="12">
                  <c:v>1.4862591138530501E-2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68D6-4633-A27B-43D56AFAF9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734-4263-9209-CB0242116CD0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734-4263-9209-CB0242116CD0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734-4263-9209-CB0242116CD0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734-4263-9209-CB0242116CD0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734-4263-9209-CB0242116CD0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734-4263-9209-CB0242116CD0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734-4263-9209-CB0242116CD0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734-4263-9209-CB0242116CD0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734-4263-9209-CB0242116CD0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734-4263-9209-CB0242116CD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F734-4263-9209-CB0242116CD0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734-4263-9209-CB0242116CD0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734-4263-9209-CB0242116CD0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734-4263-9209-CB0242116CD0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734-4263-9209-CB0242116CD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F734-4263-9209-CB0242116CD0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F734-4263-9209-CB0242116CD0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734-4263-9209-CB0242116CD0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734-4263-9209-CB0242116CD0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734-4263-9209-CB0242116CD0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734-4263-9209-CB0242116CD0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734-4263-9209-CB0242116CD0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734-4263-9209-CB0242116CD0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734-4263-9209-CB0242116CD0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734-4263-9209-CB0242116CD0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734-4263-9209-CB0242116CD0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734-4263-9209-CB0242116CD0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734-4263-9209-CB0242116CD0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734-4263-9209-CB0242116CD0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734-4263-9209-CB0242116CD0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734-4263-9209-CB0242116CD0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F734-4263-9209-CB0242116CD0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F734-4263-9209-CB0242116CD0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F734-4263-9209-CB0242116CD0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F734-4263-9209-CB0242116CD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F734-4263-9209-CB0242116CD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F734-4263-9209-CB0242116CD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F734-4263-9209-CB0242116CD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F734-4263-9209-CB0242116CD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F734-4263-9209-CB0242116CD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F734-4263-9209-CB0242116CD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F734-4263-9209-CB0242116CD0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F734-4263-9209-CB0242116CD0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F734-4263-9209-CB0242116CD0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F734-4263-9209-CB0242116CD0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F734-4263-9209-CB0242116CD0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F734-4263-9209-CB0242116CD0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F734-4263-9209-CB0242116CD0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F734-4263-9209-CB0242116CD0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F734-4263-9209-CB0242116CD0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F734-4263-9209-CB0242116CD0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F734-4263-9209-CB0242116CD0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F734-4263-9209-CB0242116CD0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F734-4263-9209-CB0242116CD0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F734-4263-9209-CB0242116CD0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F734-4263-9209-CB0242116CD0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F734-4263-9209-CB0242116CD0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F734-4263-9209-CB0242116CD0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F734-4263-9209-CB0242116CD0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F734-4263-9209-CB0242116CD0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F734-4263-9209-CB0242116CD0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F734-4263-9209-CB0242116CD0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F734-4263-9209-CB0242116CD0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F734-4263-9209-CB0242116CD0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F734-4263-9209-CB0242116CD0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F734-4263-9209-CB0242116CD0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F734-4263-9209-CB0242116CD0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F734-4263-9209-CB0242116CD0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F734-4263-9209-CB0242116CD0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F734-4263-9209-CB0242116CD0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F734-4263-9209-CB0242116CD0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F734-4263-9209-CB0242116CD0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F734-4263-9209-CB0242116CD0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F734-4263-9209-CB0242116CD0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F734-4263-9209-CB0242116CD0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F734-4263-9209-CB0242116CD0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F734-4263-9209-CB0242116CD0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F734-4263-9209-CB0242116CD0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F734-4263-9209-CB0242116CD0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F734-4263-9209-CB0242116CD0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F734-4263-9209-CB0242116CD0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F734-4263-9209-CB0242116CD0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F734-4263-9209-CB0242116CD0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F734-4263-9209-CB0242116C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 x munici'!$B$3</c:f>
          <c:strCache>
            <c:ptCount val="1"/>
            <c:pt idx="0">
              <c:v>Viajeros peninsulares entrados en los hoteles y apartamentos de Tenerife por municipio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727254388005181"/>
          <c:y val="0.16206612589429406"/>
          <c:w val="0.82272741511946601"/>
          <c:h val="0.40574969010543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peninsula x munici'!$D$5</c:f>
              <c:strCache>
                <c:ptCount val="1"/>
                <c:pt idx="0">
                  <c:v>acumulado enero 2021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0">
                <a:spAutoFit/>
              </a:bodyPr>
              <a:lstStyle/>
              <a:p>
                <a:pPr algn="ctr" rtl="0">
                  <a:defRPr lang="en-US"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peninsula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peninsula x munici'!$D$7:$D$16</c:f>
              <c:numCache>
                <c:formatCode>#,##0</c:formatCode>
                <c:ptCount val="10"/>
                <c:pt idx="0">
                  <c:v>1662</c:v>
                </c:pt>
                <c:pt idx="1">
                  <c:v>295</c:v>
                </c:pt>
                <c:pt idx="2">
                  <c:v>62</c:v>
                </c:pt>
                <c:pt idx="3">
                  <c:v>1035</c:v>
                </c:pt>
                <c:pt idx="4">
                  <c:v>87</c:v>
                </c:pt>
                <c:pt idx="5">
                  <c:v>1412</c:v>
                </c:pt>
                <c:pt idx="6">
                  <c:v>303</c:v>
                </c:pt>
                <c:pt idx="7">
                  <c:v>460</c:v>
                </c:pt>
                <c:pt idx="8">
                  <c:v>8</c:v>
                </c:pt>
                <c:pt idx="9">
                  <c:v>249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47-4E81-8128-0A887DBCD851}"/>
            </c:ext>
          </c:extLst>
        </c:ser>
        <c:ser>
          <c:idx val="1"/>
          <c:order val="1"/>
          <c:tx>
            <c:strRef>
              <c:f>'distribución peninsula x munici'!$K$5</c:f>
              <c:strCache>
                <c:ptCount val="1"/>
                <c:pt idx="0">
                  <c:v>acumulado enero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 x munici'!$K$7:$K$16</c:f>
              <c:numCache>
                <c:formatCode>#,##0</c:formatCode>
                <c:ptCount val="10"/>
                <c:pt idx="0">
                  <c:v>4997</c:v>
                </c:pt>
                <c:pt idx="1">
                  <c:v>3219</c:v>
                </c:pt>
                <c:pt idx="2">
                  <c:v>317</c:v>
                </c:pt>
                <c:pt idx="3">
                  <c:v>13891</c:v>
                </c:pt>
                <c:pt idx="4">
                  <c:v>1745</c:v>
                </c:pt>
                <c:pt idx="5">
                  <c:v>6504</c:v>
                </c:pt>
                <c:pt idx="6">
                  <c:v>1445</c:v>
                </c:pt>
                <c:pt idx="7">
                  <c:v>461</c:v>
                </c:pt>
                <c:pt idx="8">
                  <c:v>962</c:v>
                </c:pt>
                <c:pt idx="9">
                  <c:v>945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47-4E81-8128-0A887DBCD851}"/>
            </c:ext>
          </c:extLst>
        </c:ser>
        <c:ser>
          <c:idx val="2"/>
          <c:order val="2"/>
          <c:tx>
            <c:strRef>
              <c:f>'distribución peninsula x munici'!$O$5</c:f>
              <c:strCache>
                <c:ptCount val="1"/>
                <c:pt idx="0">
                  <c:v>acumulado enero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 x munici'!$O$7:$O$16</c:f>
              <c:numCache>
                <c:formatCode>#,##0</c:formatCode>
                <c:ptCount val="10"/>
                <c:pt idx="0">
                  <c:v>4289</c:v>
                </c:pt>
                <c:pt idx="1">
                  <c:v>3737</c:v>
                </c:pt>
                <c:pt idx="2">
                  <c:v>505</c:v>
                </c:pt>
                <c:pt idx="3">
                  <c:v>14812</c:v>
                </c:pt>
                <c:pt idx="4">
                  <c:v>1965</c:v>
                </c:pt>
                <c:pt idx="5">
                  <c:v>7025</c:v>
                </c:pt>
                <c:pt idx="6">
                  <c:v>1752</c:v>
                </c:pt>
                <c:pt idx="7">
                  <c:v>603</c:v>
                </c:pt>
                <c:pt idx="8">
                  <c:v>1724</c:v>
                </c:pt>
                <c:pt idx="9">
                  <c:v>1059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447-4E81-8128-0A887DBCD8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peninsula x munici'!$P$5</c:f>
              <c:strCache>
                <c:ptCount val="1"/>
                <c:pt idx="0">
                  <c:v>var. 25/24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 x munici'!$P$7:$P$16</c:f>
              <c:numCache>
                <c:formatCode>0.0%</c:formatCode>
                <c:ptCount val="10"/>
                <c:pt idx="0">
                  <c:v>-0.14168501100660391</c:v>
                </c:pt>
                <c:pt idx="1">
                  <c:v>0.16091954022988508</c:v>
                </c:pt>
                <c:pt idx="2">
                  <c:v>0.59305993690851744</c:v>
                </c:pt>
                <c:pt idx="3">
                  <c:v>6.6301922107839584E-2</c:v>
                </c:pt>
                <c:pt idx="4">
                  <c:v>0.12607449856733521</c:v>
                </c:pt>
                <c:pt idx="5">
                  <c:v>8.0104551045510508E-2</c:v>
                </c:pt>
                <c:pt idx="6">
                  <c:v>0.21245674740484422</c:v>
                </c:pt>
                <c:pt idx="7">
                  <c:v>0.30802603036876364</c:v>
                </c:pt>
                <c:pt idx="8">
                  <c:v>0.79209979209979209</c:v>
                </c:pt>
                <c:pt idx="9">
                  <c:v>0.12063492063492065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447-4E81-8128-0A887DBCD851}"/>
            </c:ext>
          </c:extLst>
        </c:ser>
        <c:ser>
          <c:idx val="4"/>
          <c:order val="4"/>
          <c:tx>
            <c:strRef>
              <c:f>'distribución peninsula x munici'!$R$5</c:f>
              <c:strCache>
                <c:ptCount val="1"/>
                <c:pt idx="0">
                  <c:v>var. 25/20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 x munici'!$R$7:$R$16</c:f>
              <c:numCache>
                <c:formatCode>0.0%</c:formatCode>
                <c:ptCount val="10"/>
                <c:pt idx="0">
                  <c:v>-9.5338536173802946E-2</c:v>
                </c:pt>
                <c:pt idx="1">
                  <c:v>2.3835616438356189E-2</c:v>
                </c:pt>
                <c:pt idx="2">
                  <c:v>1.3271889400921659</c:v>
                </c:pt>
                <c:pt idx="3">
                  <c:v>-9.9519727643017863E-2</c:v>
                </c:pt>
                <c:pt idx="4">
                  <c:v>-0.27544247787610621</c:v>
                </c:pt>
                <c:pt idx="5">
                  <c:v>0.47988203075626701</c:v>
                </c:pt>
                <c:pt idx="6">
                  <c:v>0.45033112582781465</c:v>
                </c:pt>
                <c:pt idx="7">
                  <c:v>0.81626506024096379</c:v>
                </c:pt>
                <c:pt idx="8">
                  <c:v>8.9071383449147223E-2</c:v>
                </c:pt>
                <c:pt idx="9">
                  <c:v>-0.41133963312951638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447-4E81-8128-0A887DBCD851}"/>
            </c:ext>
          </c:extLst>
        </c:ser>
        <c:ser>
          <c:idx val="5"/>
          <c:order val="5"/>
          <c:tx>
            <c:strRef>
              <c:f>'distribución peninsula x munici'!$F$5</c:f>
              <c:strCache>
                <c:ptCount val="1"/>
                <c:pt idx="0">
                  <c:v>%/s total Tenerife 2022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 x munici'!$F$7:$F$16</c:f>
              <c:numCache>
                <c:formatCode>0.0%</c:formatCode>
                <c:ptCount val="10"/>
                <c:pt idx="0">
                  <c:v>0.19126919967663703</c:v>
                </c:pt>
                <c:pt idx="1">
                  <c:v>0.10521422797089733</c:v>
                </c:pt>
                <c:pt idx="2">
                  <c:v>5.0525464834276475E-3</c:v>
                </c:pt>
                <c:pt idx="3">
                  <c:v>0.37364591754244136</c:v>
                </c:pt>
                <c:pt idx="4">
                  <c:v>4.1632983023443815E-2</c:v>
                </c:pt>
                <c:pt idx="5">
                  <c:v>0.15832659660468876</c:v>
                </c:pt>
                <c:pt idx="6">
                  <c:v>4.1996766370250606E-2</c:v>
                </c:pt>
                <c:pt idx="7">
                  <c:v>2.0816491511721907E-2</c:v>
                </c:pt>
                <c:pt idx="8">
                  <c:v>3.217461600646726E-2</c:v>
                </c:pt>
                <c:pt idx="9">
                  <c:v>2.9870654810024252E-2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447-4E81-8128-0A887DBCD851}"/>
            </c:ext>
          </c:extLst>
        </c:ser>
        <c:ser>
          <c:idx val="6"/>
          <c:order val="6"/>
          <c:tx>
            <c:strRef>
              <c:f>'distribución peninsula x munici'!$T$5</c:f>
              <c:strCache>
                <c:ptCount val="1"/>
                <c:pt idx="0">
                  <c:v>%/s total Tenerife 2025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 x munici'!$T$7:$T$16</c:f>
              <c:numCache>
                <c:formatCode>0.0%</c:formatCode>
                <c:ptCount val="10"/>
                <c:pt idx="0">
                  <c:v>0.11446185049771823</c:v>
                </c:pt>
                <c:pt idx="1">
                  <c:v>9.9730458221024262E-2</c:v>
                </c:pt>
                <c:pt idx="2">
                  <c:v>1.3477088948787063E-2</c:v>
                </c:pt>
                <c:pt idx="3">
                  <c:v>0.39529235942462171</c:v>
                </c:pt>
                <c:pt idx="4">
                  <c:v>5.2440554028448667E-2</c:v>
                </c:pt>
                <c:pt idx="5">
                  <c:v>0.18747831656481012</c:v>
                </c:pt>
                <c:pt idx="6">
                  <c:v>4.6756158095593928E-2</c:v>
                </c:pt>
                <c:pt idx="7">
                  <c:v>1.6092444823997226E-2</c:v>
                </c:pt>
                <c:pt idx="8">
                  <c:v>4.6008913559819592E-2</c:v>
                </c:pt>
                <c:pt idx="9">
                  <c:v>2.8261855835179206E-2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447-4E81-8128-0A887DBCD8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canarias x munici'!$O$5</c:f>
          <c:strCache>
            <c:ptCount val="1"/>
            <c:pt idx="0">
              <c:v>acumulado enero 2025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3757176234101782"/>
          <c:y val="0.19060850703570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canarias x munici'!$O$5</c:f>
              <c:strCache>
                <c:ptCount val="1"/>
                <c:pt idx="0">
                  <c:v>acumulado enero 2025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1807-42E8-8833-ACFA717352E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1807-42E8-8833-ACFA717352E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1807-42E8-8833-ACFA717352E6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1807-42E8-8833-ACFA717352E6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1807-42E8-8833-ACFA717352E6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1807-42E8-8833-ACFA717352E6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1807-42E8-8833-ACFA717352E6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1807-42E8-8833-ACFA717352E6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1807-42E8-8833-ACFA717352E6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1807-42E8-8833-ACFA717352E6}"/>
              </c:ext>
            </c:extLst>
          </c:dPt>
          <c:dLbls>
            <c:dLbl>
              <c:idx val="0"/>
              <c:layout>
                <c:manualLayout>
                  <c:x val="-7.5339122360884497E-2"/>
                  <c:y val="4.59714145008051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807-42E8-8833-ACFA717352E6}"/>
                </c:ext>
              </c:extLst>
            </c:dLbl>
            <c:dLbl>
              <c:idx val="1"/>
              <c:layout>
                <c:manualLayout>
                  <c:x val="-9.3387190520987984E-2"/>
                  <c:y val="4.819605911875211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807-42E8-8833-ACFA717352E6}"/>
                </c:ext>
              </c:extLst>
            </c:dLbl>
            <c:dLbl>
              <c:idx val="2"/>
              <c:layout>
                <c:manualLayout>
                  <c:x val="-0.11098057931923191"/>
                  <c:y val="1.177616325717542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807-42E8-8833-ACFA717352E6}"/>
                </c:ext>
              </c:extLst>
            </c:dLbl>
            <c:dLbl>
              <c:idx val="3"/>
              <c:layout>
                <c:manualLayout>
                  <c:x val="-0.13331713361065792"/>
                  <c:y val="1.20034749697046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807-42E8-8833-ACFA717352E6}"/>
                </c:ext>
              </c:extLst>
            </c:dLbl>
            <c:dLbl>
              <c:idx val="4"/>
              <c:layout>
                <c:manualLayout>
                  <c:x val="1.1125366254599619E-2"/>
                  <c:y val="-4.838153839343518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807-42E8-8833-ACFA717352E6}"/>
                </c:ext>
              </c:extLst>
            </c:dLbl>
            <c:dLbl>
              <c:idx val="5"/>
              <c:layout>
                <c:manualLayout>
                  <c:x val="4.6608807014449298E-2"/>
                  <c:y val="-6.15330813795851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807-42E8-8833-ACFA717352E6}"/>
                </c:ext>
              </c:extLst>
            </c:dLbl>
            <c:dLbl>
              <c:idx val="6"/>
              <c:layout>
                <c:manualLayout>
                  <c:x val="9.1737743332696367E-2"/>
                  <c:y val="-0.1007623906463554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807-42E8-8833-ACFA717352E6}"/>
                </c:ext>
              </c:extLst>
            </c:dLbl>
            <c:dLbl>
              <c:idx val="7"/>
              <c:layout>
                <c:manualLayout>
                  <c:x val="0.12098099885836359"/>
                  <c:y val="-1.9219902501646183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807-42E8-8833-ACFA717352E6}"/>
                </c:ext>
              </c:extLst>
            </c:dLbl>
            <c:dLbl>
              <c:idx val="8"/>
              <c:layout>
                <c:manualLayout>
                  <c:x val="0.16659745802158807"/>
                  <c:y val="3.23181035961509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807-42E8-8833-ACFA717352E6}"/>
                </c:ext>
              </c:extLst>
            </c:dLbl>
            <c:dLbl>
              <c:idx val="9"/>
              <c:layout>
                <c:manualLayout>
                  <c:x val="-5.8337222491707218E-2"/>
                  <c:y val="1.835979216582467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008261552331535"/>
                      <c:h val="0.165144061841180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1807-42E8-8833-ACFA717352E6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canarias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canarias x munici'!$O$7:$O$16</c:f>
              <c:numCache>
                <c:formatCode>#,##0</c:formatCode>
                <c:ptCount val="10"/>
                <c:pt idx="0">
                  <c:v>2694</c:v>
                </c:pt>
                <c:pt idx="1">
                  <c:v>1783</c:v>
                </c:pt>
                <c:pt idx="2">
                  <c:v>397</c:v>
                </c:pt>
                <c:pt idx="3">
                  <c:v>3813</c:v>
                </c:pt>
                <c:pt idx="4">
                  <c:v>634</c:v>
                </c:pt>
                <c:pt idx="5">
                  <c:v>4891</c:v>
                </c:pt>
                <c:pt idx="6">
                  <c:v>900</c:v>
                </c:pt>
                <c:pt idx="7">
                  <c:v>248</c:v>
                </c:pt>
                <c:pt idx="8">
                  <c:v>407</c:v>
                </c:pt>
                <c:pt idx="9">
                  <c:v>2166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1807-42E8-8833-ACFA717352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D33-4EC9-A79B-E554DB840307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D33-4EC9-A79B-E554DB840307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D33-4EC9-A79B-E554DB840307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D33-4EC9-A79B-E554DB840307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D33-4EC9-A79B-E554DB840307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D33-4EC9-A79B-E554DB840307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D33-4EC9-A79B-E554DB840307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D33-4EC9-A79B-E554DB840307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D33-4EC9-A79B-E554DB840307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D33-4EC9-A79B-E554DB84030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4D33-4EC9-A79B-E554DB840307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D33-4EC9-A79B-E554DB840307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D33-4EC9-A79B-E554DB840307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D33-4EC9-A79B-E554DB840307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D33-4EC9-A79B-E554DB84030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4D33-4EC9-A79B-E554DB840307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4D33-4EC9-A79B-E554DB840307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D33-4EC9-A79B-E554DB840307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D33-4EC9-A79B-E554DB840307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D33-4EC9-A79B-E554DB840307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D33-4EC9-A79B-E554DB840307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D33-4EC9-A79B-E554DB840307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D33-4EC9-A79B-E554DB840307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D33-4EC9-A79B-E554DB840307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D33-4EC9-A79B-E554DB840307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D33-4EC9-A79B-E554DB840307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D33-4EC9-A79B-E554DB840307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D33-4EC9-A79B-E554DB840307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D33-4EC9-A79B-E554DB840307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D33-4EC9-A79B-E554DB840307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D33-4EC9-A79B-E554DB840307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4D33-4EC9-A79B-E554DB840307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4D33-4EC9-A79B-E554DB840307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4D33-4EC9-A79B-E554DB840307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4D33-4EC9-A79B-E554DB84030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4D33-4EC9-A79B-E554DB84030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4D33-4EC9-A79B-E554DB84030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4D33-4EC9-A79B-E554DB84030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4D33-4EC9-A79B-E554DB84030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4D33-4EC9-A79B-E554DB84030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4D33-4EC9-A79B-E554DB84030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4D33-4EC9-A79B-E554DB840307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4D33-4EC9-A79B-E554DB840307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4D33-4EC9-A79B-E554DB840307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4D33-4EC9-A79B-E554DB840307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4D33-4EC9-A79B-E554DB840307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4D33-4EC9-A79B-E554DB840307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4D33-4EC9-A79B-E554DB840307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4D33-4EC9-A79B-E554DB840307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4D33-4EC9-A79B-E554DB840307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4D33-4EC9-A79B-E554DB840307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4D33-4EC9-A79B-E554DB840307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4D33-4EC9-A79B-E554DB840307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4D33-4EC9-A79B-E554DB840307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4D33-4EC9-A79B-E554DB840307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4D33-4EC9-A79B-E554DB840307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4D33-4EC9-A79B-E554DB840307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4D33-4EC9-A79B-E554DB840307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4D33-4EC9-A79B-E554DB840307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4D33-4EC9-A79B-E554DB840307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4D33-4EC9-A79B-E554DB840307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4D33-4EC9-A79B-E554DB840307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4D33-4EC9-A79B-E554DB840307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4D33-4EC9-A79B-E554DB840307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4D33-4EC9-A79B-E554DB840307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4D33-4EC9-A79B-E554DB840307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4D33-4EC9-A79B-E554DB840307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4D33-4EC9-A79B-E554DB840307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4D33-4EC9-A79B-E554DB840307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4D33-4EC9-A79B-E554DB840307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4D33-4EC9-A79B-E554DB840307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4D33-4EC9-A79B-E554DB840307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4D33-4EC9-A79B-E554DB840307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4D33-4EC9-A79B-E554DB840307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4D33-4EC9-A79B-E554DB840307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4D33-4EC9-A79B-E554DB840307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4D33-4EC9-A79B-E554DB840307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4D33-4EC9-A79B-E554DB840307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4D33-4EC9-A79B-E554DB840307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4D33-4EC9-A79B-E554DB840307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4D33-4EC9-A79B-E554DB840307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4D33-4EC9-A79B-E554DB840307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4D33-4EC9-A79B-E554DB840307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4D33-4EC9-A79B-E554DB8403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canarias x munici'!$B$3</c:f>
          <c:strCache>
            <c:ptCount val="1"/>
            <c:pt idx="0">
              <c:v>Viajeros canarios entrados en los hoteles y apartamentos de Tenerife por municipio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727254388005181"/>
          <c:y val="0.16206612589429406"/>
          <c:w val="0.82272741511946601"/>
          <c:h val="0.40574969010543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canarias x munici'!$D$5</c:f>
              <c:strCache>
                <c:ptCount val="1"/>
                <c:pt idx="0">
                  <c:v>acumulado enero 2021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0">
                <a:spAutoFit/>
              </a:bodyPr>
              <a:lstStyle/>
              <a:p>
                <a:pPr algn="ctr" rtl="0">
                  <a:defRPr lang="en-US"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canarias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canarias x munici'!$D$7:$D$16</c:f>
              <c:numCache>
                <c:formatCode>#,##0</c:formatCode>
                <c:ptCount val="10"/>
                <c:pt idx="0">
                  <c:v>4283</c:v>
                </c:pt>
                <c:pt idx="1">
                  <c:v>1580</c:v>
                </c:pt>
                <c:pt idx="2">
                  <c:v>45</c:v>
                </c:pt>
                <c:pt idx="3">
                  <c:v>1101</c:v>
                </c:pt>
                <c:pt idx="4">
                  <c:v>842</c:v>
                </c:pt>
                <c:pt idx="5">
                  <c:v>1186</c:v>
                </c:pt>
                <c:pt idx="6">
                  <c:v>279</c:v>
                </c:pt>
                <c:pt idx="7">
                  <c:v>2893</c:v>
                </c:pt>
                <c:pt idx="8">
                  <c:v>562</c:v>
                </c:pt>
                <c:pt idx="9">
                  <c:v>1278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84-4D33-BE37-DC3FE5759E93}"/>
            </c:ext>
          </c:extLst>
        </c:ser>
        <c:ser>
          <c:idx val="1"/>
          <c:order val="1"/>
          <c:tx>
            <c:strRef>
              <c:f>'distribución canarias x munici'!$K$5</c:f>
              <c:strCache>
                <c:ptCount val="1"/>
                <c:pt idx="0">
                  <c:v>acumulado enero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canarias x munici'!$K$7:$K$16</c:f>
              <c:numCache>
                <c:formatCode>#,##0</c:formatCode>
                <c:ptCount val="10"/>
                <c:pt idx="0">
                  <c:v>2103</c:v>
                </c:pt>
                <c:pt idx="1">
                  <c:v>1184</c:v>
                </c:pt>
                <c:pt idx="2">
                  <c:v>279</c:v>
                </c:pt>
                <c:pt idx="3">
                  <c:v>3298</c:v>
                </c:pt>
                <c:pt idx="4">
                  <c:v>536</c:v>
                </c:pt>
                <c:pt idx="5">
                  <c:v>5396</c:v>
                </c:pt>
                <c:pt idx="6">
                  <c:v>732</c:v>
                </c:pt>
                <c:pt idx="7">
                  <c:v>571</c:v>
                </c:pt>
                <c:pt idx="8">
                  <c:v>1837</c:v>
                </c:pt>
                <c:pt idx="9">
                  <c:v>2803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784-4D33-BE37-DC3FE5759E93}"/>
            </c:ext>
          </c:extLst>
        </c:ser>
        <c:ser>
          <c:idx val="2"/>
          <c:order val="2"/>
          <c:tx>
            <c:strRef>
              <c:f>'distribución canarias x munici'!$O$5</c:f>
              <c:strCache>
                <c:ptCount val="1"/>
                <c:pt idx="0">
                  <c:v>acumulado enero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canarias x munici'!$O$7:$O$16</c:f>
              <c:numCache>
                <c:formatCode>#,##0</c:formatCode>
                <c:ptCount val="10"/>
                <c:pt idx="0">
                  <c:v>2694</c:v>
                </c:pt>
                <c:pt idx="1">
                  <c:v>1783</c:v>
                </c:pt>
                <c:pt idx="2">
                  <c:v>397</c:v>
                </c:pt>
                <c:pt idx="3">
                  <c:v>3813</c:v>
                </c:pt>
                <c:pt idx="4">
                  <c:v>634</c:v>
                </c:pt>
                <c:pt idx="5">
                  <c:v>4891</c:v>
                </c:pt>
                <c:pt idx="6">
                  <c:v>900</c:v>
                </c:pt>
                <c:pt idx="7">
                  <c:v>248</c:v>
                </c:pt>
                <c:pt idx="8">
                  <c:v>407</c:v>
                </c:pt>
                <c:pt idx="9">
                  <c:v>2166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784-4D33-BE37-DC3FE5759E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canarias x munici'!$P$5</c:f>
              <c:strCache>
                <c:ptCount val="1"/>
                <c:pt idx="0">
                  <c:v>var. 25/24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canarias x munici'!$P$7:$P$16</c:f>
              <c:numCache>
                <c:formatCode>0.0%</c:formatCode>
                <c:ptCount val="10"/>
                <c:pt idx="0">
                  <c:v>0.2810271041369472</c:v>
                </c:pt>
                <c:pt idx="1">
                  <c:v>0.50591216216216206</c:v>
                </c:pt>
                <c:pt idx="2">
                  <c:v>0.42293906810035842</c:v>
                </c:pt>
                <c:pt idx="3">
                  <c:v>0.15615524560339589</c:v>
                </c:pt>
                <c:pt idx="4">
                  <c:v>0.18283582089552231</c:v>
                </c:pt>
                <c:pt idx="5">
                  <c:v>-9.3587842846552971E-2</c:v>
                </c:pt>
                <c:pt idx="6">
                  <c:v>0.22950819672131151</c:v>
                </c:pt>
                <c:pt idx="7">
                  <c:v>-0.56567425569176888</c:v>
                </c:pt>
                <c:pt idx="8">
                  <c:v>-0.77844311377245512</c:v>
                </c:pt>
                <c:pt idx="9">
                  <c:v>-0.22725651088119869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784-4D33-BE37-DC3FE5759E93}"/>
            </c:ext>
          </c:extLst>
        </c:ser>
        <c:ser>
          <c:idx val="4"/>
          <c:order val="4"/>
          <c:tx>
            <c:strRef>
              <c:f>'distribución canarias x munici'!$R$5</c:f>
              <c:strCache>
                <c:ptCount val="1"/>
                <c:pt idx="0">
                  <c:v>var. 25/20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canarias x munici'!$R$7:$R$16</c:f>
              <c:numCache>
                <c:formatCode>0.0%</c:formatCode>
                <c:ptCount val="10"/>
                <c:pt idx="0">
                  <c:v>-0.33267277681446616</c:v>
                </c:pt>
                <c:pt idx="1">
                  <c:v>-7.2320499479708644E-2</c:v>
                </c:pt>
                <c:pt idx="2">
                  <c:v>0.90865384615384626</c:v>
                </c:pt>
                <c:pt idx="3">
                  <c:v>7.6206604572396364E-2</c:v>
                </c:pt>
                <c:pt idx="4">
                  <c:v>0.64675324675324686</c:v>
                </c:pt>
                <c:pt idx="5">
                  <c:v>-2.994843316144391E-2</c:v>
                </c:pt>
                <c:pt idx="6">
                  <c:v>-0.51377633711507298</c:v>
                </c:pt>
                <c:pt idx="7">
                  <c:v>-0.49898989898989898</c:v>
                </c:pt>
                <c:pt idx="8">
                  <c:v>-0.48481012658227851</c:v>
                </c:pt>
                <c:pt idx="9">
                  <c:v>2.5048543689320391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784-4D33-BE37-DC3FE5759E93}"/>
            </c:ext>
          </c:extLst>
        </c:ser>
        <c:ser>
          <c:idx val="5"/>
          <c:order val="5"/>
          <c:tx>
            <c:strRef>
              <c:f>'distribución canarias x munici'!$F$5</c:f>
              <c:strCache>
                <c:ptCount val="1"/>
                <c:pt idx="0">
                  <c:v>%/s total Tenerife 2022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canarias x munici'!$F$7:$F$16</c:f>
              <c:numCache>
                <c:formatCode>0.0%</c:formatCode>
                <c:ptCount val="10"/>
                <c:pt idx="0">
                  <c:v>0.24841474870831376</c:v>
                </c:pt>
                <c:pt idx="1">
                  <c:v>9.0770314701737909E-2</c:v>
                </c:pt>
                <c:pt idx="2">
                  <c:v>2.1136683889149835E-3</c:v>
                </c:pt>
                <c:pt idx="3">
                  <c:v>0.18482855800845469</c:v>
                </c:pt>
                <c:pt idx="4">
                  <c:v>5.2548144668858619E-2</c:v>
                </c:pt>
                <c:pt idx="5">
                  <c:v>0.15594175669328322</c:v>
                </c:pt>
                <c:pt idx="6">
                  <c:v>4.3095349929544384E-2</c:v>
                </c:pt>
                <c:pt idx="7">
                  <c:v>1.3445279473931423E-2</c:v>
                </c:pt>
                <c:pt idx="8">
                  <c:v>7.0984030061061534E-2</c:v>
                </c:pt>
                <c:pt idx="9">
                  <c:v>0.13785814936589949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784-4D33-BE37-DC3FE5759E93}"/>
            </c:ext>
          </c:extLst>
        </c:ser>
        <c:ser>
          <c:idx val="6"/>
          <c:order val="6"/>
          <c:tx>
            <c:strRef>
              <c:f>'distribución canarias x munici'!$T$5</c:f>
              <c:strCache>
                <c:ptCount val="1"/>
                <c:pt idx="0">
                  <c:v>%/s total Tenerife 2025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canarias x munici'!$T$7:$T$16</c:f>
              <c:numCache>
                <c:formatCode>0.0%</c:formatCode>
                <c:ptCount val="10"/>
                <c:pt idx="0">
                  <c:v>0.15022584062900798</c:v>
                </c:pt>
                <c:pt idx="1">
                  <c:v>9.9425639881782185E-2</c:v>
                </c:pt>
                <c:pt idx="2">
                  <c:v>2.2137957954608822E-2</c:v>
                </c:pt>
                <c:pt idx="3">
                  <c:v>0.21262476997713711</c:v>
                </c:pt>
                <c:pt idx="4">
                  <c:v>3.5353816985445825E-2</c:v>
                </c:pt>
                <c:pt idx="5">
                  <c:v>0.27273741147604974</c:v>
                </c:pt>
                <c:pt idx="6">
                  <c:v>5.0186806446216474E-2</c:v>
                </c:pt>
                <c:pt idx="7">
                  <c:v>1.3829253331846317E-2</c:v>
                </c:pt>
                <c:pt idx="8">
                  <c:v>2.2695589137344561E-2</c:v>
                </c:pt>
                <c:pt idx="9">
                  <c:v>0.12078291418056097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784-4D33-BE37-DC3FE5759E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'evolución anual viaj ent españo'!$B$8:$B$22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españo'!$C$8:$C$22</c:f>
              <c:numCache>
                <c:formatCode>#,##0</c:formatCode>
                <c:ptCount val="15"/>
                <c:pt idx="0">
                  <c:v>382237</c:v>
                </c:pt>
                <c:pt idx="1">
                  <c:v>341923</c:v>
                </c:pt>
                <c:pt idx="2">
                  <c:v>342343</c:v>
                </c:pt>
                <c:pt idx="3">
                  <c:v>181693</c:v>
                </c:pt>
                <c:pt idx="4">
                  <c:v>103133</c:v>
                </c:pt>
                <c:pt idx="5">
                  <c:v>356283</c:v>
                </c:pt>
                <c:pt idx="6">
                  <c:v>356304</c:v>
                </c:pt>
                <c:pt idx="7">
                  <c:v>329344</c:v>
                </c:pt>
                <c:pt idx="8">
                  <c:v>319165</c:v>
                </c:pt>
                <c:pt idx="9">
                  <c:v>291163</c:v>
                </c:pt>
                <c:pt idx="10">
                  <c:v>297758</c:v>
                </c:pt>
                <c:pt idx="11">
                  <c:v>330248</c:v>
                </c:pt>
                <c:pt idx="12">
                  <c:v>312861</c:v>
                </c:pt>
                <c:pt idx="13">
                  <c:v>335606</c:v>
                </c:pt>
                <c:pt idx="14">
                  <c:v>377427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93-43FD-9049-F180436273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'evolución anual viaj ent españo'!$D$7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'evolución anual viaj ent españo'!$B$8:$B$22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españo'!$D$8:$D$22</c:f>
              <c:numCache>
                <c:formatCode>0.0%</c:formatCode>
                <c:ptCount val="15"/>
                <c:pt idx="0">
                  <c:v>0.1179037385610211</c:v>
                </c:pt>
                <c:pt idx="1">
                  <c:v>-1.2268397484394011E-3</c:v>
                </c:pt>
                <c:pt idx="2">
                  <c:v>0.8841837605191174</c:v>
                </c:pt>
                <c:pt idx="3">
                  <c:v>0.76173484723609319</c:v>
                </c:pt>
                <c:pt idx="4">
                  <c:v>-0.71053067364987943</c:v>
                </c:pt>
                <c:pt idx="5">
                  <c:v>-5.8938434595146028E-5</c:v>
                </c:pt>
                <c:pt idx="6">
                  <c:v>8.1859696851923847E-2</c:v>
                </c:pt>
                <c:pt idx="7">
                  <c:v>3.1892594739398206E-2</c:v>
                </c:pt>
                <c:pt idx="8">
                  <c:v>9.6172934060989812E-2</c:v>
                </c:pt>
                <c:pt idx="9">
                  <c:v>-2.2148859140644461E-2</c:v>
                </c:pt>
                <c:pt idx="10">
                  <c:v>-9.8380610934812651E-2</c:v>
                </c:pt>
                <c:pt idx="11">
                  <c:v>5.55742006833706E-2</c:v>
                </c:pt>
                <c:pt idx="12">
                  <c:v>-6.7772924202785356E-2</c:v>
                </c:pt>
                <c:pt idx="13">
                  <c:v>-0.11080553325543752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93-43FD-9049-F180436273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'evolución anual viaj ent penins'!$B$8:$B$22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penins'!$C$8:$C$22</c:f>
              <c:numCache>
                <c:formatCode>#,##0</c:formatCode>
                <c:ptCount val="15"/>
                <c:pt idx="0">
                  <c:v>275953</c:v>
                </c:pt>
                <c:pt idx="1">
                  <c:v>249820</c:v>
                </c:pt>
                <c:pt idx="2">
                  <c:v>244952</c:v>
                </c:pt>
                <c:pt idx="3">
                  <c:v>114704</c:v>
                </c:pt>
                <c:pt idx="4">
                  <c:v>74813</c:v>
                </c:pt>
                <c:pt idx="5">
                  <c:v>284219</c:v>
                </c:pt>
                <c:pt idx="6">
                  <c:v>266656</c:v>
                </c:pt>
                <c:pt idx="7">
                  <c:v>241965</c:v>
                </c:pt>
                <c:pt idx="8">
                  <c:v>233787</c:v>
                </c:pt>
                <c:pt idx="9">
                  <c:v>202398</c:v>
                </c:pt>
                <c:pt idx="10">
                  <c:v>212513</c:v>
                </c:pt>
                <c:pt idx="11">
                  <c:v>237768</c:v>
                </c:pt>
                <c:pt idx="12">
                  <c:v>227454</c:v>
                </c:pt>
                <c:pt idx="13">
                  <c:v>238244</c:v>
                </c:pt>
                <c:pt idx="14">
                  <c:v>263304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0FD-4CCA-9BA2-BEFFD8D9B8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'evolución anual viaj ent penins'!$D$7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'evolución anual viaj ent penins'!$B$8:$B$22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penins'!$D$8:$D$22</c:f>
              <c:numCache>
                <c:formatCode>0.0%</c:formatCode>
                <c:ptCount val="15"/>
                <c:pt idx="0">
                  <c:v>0.1046073172684332</c:v>
                </c:pt>
                <c:pt idx="1">
                  <c:v>1.987328129592747E-2</c:v>
                </c:pt>
                <c:pt idx="2">
                  <c:v>1.1355140186915889</c:v>
                </c:pt>
                <c:pt idx="3">
                  <c:v>0.53320946894256349</c:v>
                </c:pt>
                <c:pt idx="4">
                  <c:v>-0.73677692202139899</c:v>
                </c:pt>
                <c:pt idx="5">
                  <c:v>6.5863884555382279E-2</c:v>
                </c:pt>
                <c:pt idx="6">
                  <c:v>0.10204368400388475</c:v>
                </c:pt>
                <c:pt idx="7">
                  <c:v>3.4980559226988728E-2</c:v>
                </c:pt>
                <c:pt idx="8">
                  <c:v>0.15508552456051938</c:v>
                </c:pt>
                <c:pt idx="9">
                  <c:v>-4.7597088178135016E-2</c:v>
                </c:pt>
                <c:pt idx="10">
                  <c:v>-0.1062169846236668</c:v>
                </c:pt>
                <c:pt idx="11">
                  <c:v>4.5345432483051562E-2</c:v>
                </c:pt>
                <c:pt idx="12">
                  <c:v>-4.5289702993569603E-2</c:v>
                </c:pt>
                <c:pt idx="13">
                  <c:v>-9.5175158751861E-2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0FD-4CCA-9BA2-BEFFD8D9B8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'evolución anual viaj ent canari'!$B$8:$B$22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canari'!$C$8:$C$22</c:f>
              <c:numCache>
                <c:formatCode>#,##0</c:formatCode>
                <c:ptCount val="15"/>
                <c:pt idx="0">
                  <c:v>106284</c:v>
                </c:pt>
                <c:pt idx="1">
                  <c:v>92103</c:v>
                </c:pt>
                <c:pt idx="2">
                  <c:v>97391</c:v>
                </c:pt>
                <c:pt idx="3">
                  <c:v>66989</c:v>
                </c:pt>
                <c:pt idx="4">
                  <c:v>28320</c:v>
                </c:pt>
                <c:pt idx="5">
                  <c:v>72064</c:v>
                </c:pt>
                <c:pt idx="6">
                  <c:v>89648</c:v>
                </c:pt>
                <c:pt idx="7">
                  <c:v>87379</c:v>
                </c:pt>
                <c:pt idx="8">
                  <c:v>85378</c:v>
                </c:pt>
                <c:pt idx="9">
                  <c:v>88765</c:v>
                </c:pt>
                <c:pt idx="10">
                  <c:v>85245</c:v>
                </c:pt>
                <c:pt idx="11">
                  <c:v>92480</c:v>
                </c:pt>
                <c:pt idx="12">
                  <c:v>85407</c:v>
                </c:pt>
                <c:pt idx="13">
                  <c:v>97362</c:v>
                </c:pt>
                <c:pt idx="14">
                  <c:v>114123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01D-4606-B841-116356AE08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'evolución anual viaj ent canari'!$D$7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'evolución anual viaj ent canari'!$B$8:$B$22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canari'!$D$8:$D$22</c:f>
              <c:numCache>
                <c:formatCode>0.0%</c:formatCode>
                <c:ptCount val="15"/>
                <c:pt idx="0">
                  <c:v>0.15396892609361257</c:v>
                </c:pt>
                <c:pt idx="1">
                  <c:v>-5.4296598248298134E-2</c:v>
                </c:pt>
                <c:pt idx="2">
                  <c:v>0.45383570436937415</c:v>
                </c:pt>
                <c:pt idx="3">
                  <c:v>1.3654307909604522</c:v>
                </c:pt>
                <c:pt idx="4">
                  <c:v>-0.6070159857904085</c:v>
                </c:pt>
                <c:pt idx="5">
                  <c:v>-0.19614492236301984</c:v>
                </c:pt>
                <c:pt idx="6">
                  <c:v>2.5967337689833947E-2</c:v>
                </c:pt>
                <c:pt idx="7">
                  <c:v>2.34369509709762E-2</c:v>
                </c:pt>
                <c:pt idx="8">
                  <c:v>-3.8156931222891877E-2</c:v>
                </c:pt>
                <c:pt idx="9">
                  <c:v>4.1292744442489315E-2</c:v>
                </c:pt>
                <c:pt idx="10">
                  <c:v>-7.823313148788924E-2</c:v>
                </c:pt>
                <c:pt idx="11">
                  <c:v>8.281522591825019E-2</c:v>
                </c:pt>
                <c:pt idx="12">
                  <c:v>-0.12278917852961113</c:v>
                </c:pt>
                <c:pt idx="13">
                  <c:v>-0.14686785310585948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01D-4606-B841-116356AE08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TF'!$I$183:$J$183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34D-4ECD-8E9B-671B8847D5FC}"/>
              </c:ext>
            </c:extLst>
          </c:dPt>
          <c:val>
            <c:numRef>
              <c:f>'Viajeros entr evol mensu TF'!$I$185:$I$197</c:f>
              <c:numCache>
                <c:formatCode>#,##0</c:formatCode>
                <c:ptCount val="13"/>
                <c:pt idx="0">
                  <c:v>577</c:v>
                </c:pt>
                <c:pt idx="1">
                  <c:v>464</c:v>
                </c:pt>
                <c:pt idx="2">
                  <c:v>655</c:v>
                </c:pt>
                <c:pt idx="3">
                  <c:v>328</c:v>
                </c:pt>
                <c:pt idx="4">
                  <c:v>353</c:v>
                </c:pt>
                <c:pt idx="5">
                  <c:v>397</c:v>
                </c:pt>
                <c:pt idx="6">
                  <c:v>799</c:v>
                </c:pt>
                <c:pt idx="7">
                  <c:v>830</c:v>
                </c:pt>
                <c:pt idx="8">
                  <c:v>664</c:v>
                </c:pt>
                <c:pt idx="9">
                  <c:v>701</c:v>
                </c:pt>
                <c:pt idx="10">
                  <c:v>587</c:v>
                </c:pt>
                <c:pt idx="11">
                  <c:v>613</c:v>
                </c:pt>
                <c:pt idx="12">
                  <c:v>6968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34D-4ECD-8E9B-671B8847D5FC}"/>
            </c:ext>
          </c:extLst>
        </c:ser>
        <c:ser>
          <c:idx val="0"/>
          <c:order val="2"/>
          <c:tx>
            <c:strRef>
              <c:f>'Viajeros entr evol mensu TF'!$K$183:$L$183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34D-4ECD-8E9B-671B8847D5FC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TF'!$K$185:$K$197</c:f>
              <c:numCache>
                <c:formatCode>#,##0</c:formatCode>
                <c:ptCount val="13"/>
                <c:pt idx="0">
                  <c:v>552</c:v>
                </c:pt>
                <c:pt idx="1">
                  <c:v>653</c:v>
                </c:pt>
                <c:pt idx="2">
                  <c:v>624</c:v>
                </c:pt>
                <c:pt idx="3">
                  <c:v>505</c:v>
                </c:pt>
                <c:pt idx="4">
                  <c:v>606</c:v>
                </c:pt>
                <c:pt idx="5">
                  <c:v>702</c:v>
                </c:pt>
                <c:pt idx="6">
                  <c:v>1214</c:v>
                </c:pt>
                <c:pt idx="7">
                  <c:v>796</c:v>
                </c:pt>
                <c:pt idx="8">
                  <c:v>820</c:v>
                </c:pt>
                <c:pt idx="9">
                  <c:v>870</c:v>
                </c:pt>
                <c:pt idx="10">
                  <c:v>724</c:v>
                </c:pt>
                <c:pt idx="11">
                  <c:v>830</c:v>
                </c:pt>
                <c:pt idx="12">
                  <c:v>8896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34D-4ECD-8E9B-671B8847D5FC}"/>
            </c:ext>
          </c:extLst>
        </c:ser>
        <c:ser>
          <c:idx val="1"/>
          <c:order val="3"/>
          <c:tx>
            <c:strRef>
              <c:f>'Viajeros entr evol mensu TF'!$M$183:$N$183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C34D-4ECD-8E9B-671B8847D5F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C34D-4ECD-8E9B-671B8847D5FC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TF'!$M$185:$M$197</c:f>
              <c:numCache>
                <c:formatCode>#,##0</c:formatCode>
                <c:ptCount val="13"/>
                <c:pt idx="0">
                  <c:v>792</c:v>
                </c:pt>
                <c:pt idx="12">
                  <c:v>792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34D-4ECD-8E9B-671B8847D5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TF'!$C$183:$D$183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01-C34D-4ECD-8E9B-671B8847D5FC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TF'!$C$185:$C$197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433</c:v>
                      </c:pt>
                      <c:pt idx="1">
                        <c:v>399</c:v>
                      </c:pt>
                      <c:pt idx="2">
                        <c:v>255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240</c:v>
                      </c:pt>
                      <c:pt idx="8">
                        <c:v>446</c:v>
                      </c:pt>
                      <c:pt idx="9">
                        <c:v>129</c:v>
                      </c:pt>
                      <c:pt idx="10">
                        <c:v>38</c:v>
                      </c:pt>
                      <c:pt idx="11">
                        <c:v>101</c:v>
                      </c:pt>
                      <c:pt idx="12">
                        <c:v>2082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2-C34D-4ECD-8E9B-671B8847D5FC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TF'!$N$184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34D-4ECD-8E9B-671B8847D5F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34D-4ECD-8E9B-671B8847D5F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34D-4ECD-8E9B-671B8847D5F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34D-4ECD-8E9B-671B8847D5F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34D-4ECD-8E9B-671B8847D5F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34D-4ECD-8E9B-671B8847D5F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34D-4ECD-8E9B-671B8847D5F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34D-4ECD-8E9B-671B8847D5F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34D-4ECD-8E9B-671B8847D5F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34D-4ECD-8E9B-671B8847D5F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34D-4ECD-8E9B-671B8847D5F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34D-4ECD-8E9B-671B8847D5F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34D-4ECD-8E9B-671B8847D5FC}"/>
              </c:ext>
            </c:extLst>
          </c:dPt>
          <c:cat>
            <c:strRef>
              <c:f>'Viajeros entr evol mensu TF'!$B$185:$B$196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TF'!$N$185:$N$197</c:f>
              <c:numCache>
                <c:formatCode>0.0%</c:formatCode>
                <c:ptCount val="13"/>
                <c:pt idx="0">
                  <c:v>0.43478260869565211</c:v>
                </c:pt>
                <c:pt idx="12">
                  <c:v>0.43478260869565211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C34D-4ECD-8E9B-671B8847D5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3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9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1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3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8.xml"/><Relationship Id="rId1" Type="http://schemas.openxmlformats.org/officeDocument/2006/relationships/chart" Target="../charts/chart67.xml"/><Relationship Id="rId6" Type="http://schemas.openxmlformats.org/officeDocument/2006/relationships/image" Target="../media/image6.png"/><Relationship Id="rId5" Type="http://schemas.openxmlformats.org/officeDocument/2006/relationships/chart" Target="../charts/chart69.xml"/><Relationship Id="rId4" Type="http://schemas.openxmlformats.org/officeDocument/2006/relationships/image" Target="../media/image5.jpeg"/></Relationships>
</file>

<file path=xl/drawings/_rels/drawing104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0.xml"/><Relationship Id="rId5" Type="http://schemas.openxmlformats.org/officeDocument/2006/relationships/chart" Target="../charts/chart71.xml"/><Relationship Id="rId4" Type="http://schemas.openxmlformats.org/officeDocument/2006/relationships/image" Target="../media/image6.png"/></Relationships>
</file>

<file path=xl/drawings/_rels/drawing107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2.xml"/><Relationship Id="rId5" Type="http://schemas.openxmlformats.org/officeDocument/2006/relationships/chart" Target="../charts/chart73.xml"/><Relationship Id="rId4" Type="http://schemas.openxmlformats.org/officeDocument/2006/relationships/image" Target="../media/image6.png"/></Relationships>
</file>

<file path=xl/drawings/_rels/drawing1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4.xml"/><Relationship Id="rId5" Type="http://schemas.openxmlformats.org/officeDocument/2006/relationships/chart" Target="../charts/chart75.xml"/><Relationship Id="rId4" Type="http://schemas.openxmlformats.org/officeDocument/2006/relationships/image" Target="../media/image6.png"/></Relationships>
</file>

<file path=xl/drawings/_rels/drawing1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6.xml"/><Relationship Id="rId6" Type="http://schemas.openxmlformats.org/officeDocument/2006/relationships/chart" Target="../charts/chart78.xml"/><Relationship Id="rId5" Type="http://schemas.openxmlformats.org/officeDocument/2006/relationships/image" Target="../media/image6.png"/><Relationship Id="rId4" Type="http://schemas.openxmlformats.org/officeDocument/2006/relationships/chart" Target="../charts/chart77.xml"/></Relationships>
</file>

<file path=xl/drawings/_rels/drawing1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9.xml"/><Relationship Id="rId6" Type="http://schemas.openxmlformats.org/officeDocument/2006/relationships/chart" Target="../charts/chart81.xml"/><Relationship Id="rId5" Type="http://schemas.openxmlformats.org/officeDocument/2006/relationships/image" Target="../media/image6.png"/><Relationship Id="rId4" Type="http://schemas.openxmlformats.org/officeDocument/2006/relationships/chart" Target="../charts/chart80.xml"/></Relationships>
</file>

<file path=xl/drawings/_rels/drawing1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2.xml"/><Relationship Id="rId6" Type="http://schemas.openxmlformats.org/officeDocument/2006/relationships/chart" Target="../charts/chart84.xml"/><Relationship Id="rId5" Type="http://schemas.openxmlformats.org/officeDocument/2006/relationships/image" Target="../media/image6.png"/><Relationship Id="rId4" Type="http://schemas.openxmlformats.org/officeDocument/2006/relationships/chart" Target="../charts/chart83.xml"/></Relationships>
</file>

<file path=xl/drawings/_rels/drawing1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85.xml"/><Relationship Id="rId4" Type="http://schemas.openxmlformats.org/officeDocument/2006/relationships/image" Target="../media/image2.png"/></Relationships>
</file>

<file path=xl/drawings/_rels/drawing1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86.xml"/><Relationship Id="rId4" Type="http://schemas.openxmlformats.org/officeDocument/2006/relationships/image" Target="../media/image2.png"/></Relationships>
</file>

<file path=xl/drawings/_rels/drawing1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87.xml"/><Relationship Id="rId4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image" Target="../media/image2.pn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8.xml"/><Relationship Id="rId3" Type="http://schemas.openxmlformats.org/officeDocument/2006/relationships/image" Target="../media/image3.png"/><Relationship Id="rId7" Type="http://schemas.openxmlformats.org/officeDocument/2006/relationships/chart" Target="../charts/chart1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14.xml"/><Relationship Id="rId6" Type="http://schemas.openxmlformats.org/officeDocument/2006/relationships/chart" Target="../charts/chart16.xml"/><Relationship Id="rId5" Type="http://schemas.openxmlformats.org/officeDocument/2006/relationships/chart" Target="../charts/chart15.xml"/><Relationship Id="rId4" Type="http://schemas.openxmlformats.org/officeDocument/2006/relationships/image" Target="../media/image2.pn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19.xml"/><Relationship Id="rId6" Type="http://schemas.openxmlformats.org/officeDocument/2006/relationships/chart" Target="../charts/chart21.xml"/><Relationship Id="rId5" Type="http://schemas.openxmlformats.org/officeDocument/2006/relationships/chart" Target="../charts/chart20.xml"/><Relationship Id="rId4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image" Target="../media/image2.png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2.xml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.xml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image" Target="../media/image2.png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4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5.xml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6.xml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4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1.xml"/><Relationship Id="rId13" Type="http://schemas.openxmlformats.org/officeDocument/2006/relationships/chart" Target="../charts/chart36.xml"/><Relationship Id="rId3" Type="http://schemas.openxmlformats.org/officeDocument/2006/relationships/image" Target="../media/image3.png"/><Relationship Id="rId7" Type="http://schemas.openxmlformats.org/officeDocument/2006/relationships/chart" Target="../charts/chart30.xml"/><Relationship Id="rId12" Type="http://schemas.openxmlformats.org/officeDocument/2006/relationships/chart" Target="../charts/chart35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27.xml"/><Relationship Id="rId6" Type="http://schemas.openxmlformats.org/officeDocument/2006/relationships/chart" Target="../charts/chart29.xml"/><Relationship Id="rId11" Type="http://schemas.openxmlformats.org/officeDocument/2006/relationships/chart" Target="../charts/chart34.xml"/><Relationship Id="rId5" Type="http://schemas.openxmlformats.org/officeDocument/2006/relationships/chart" Target="../charts/chart28.xml"/><Relationship Id="rId15" Type="http://schemas.openxmlformats.org/officeDocument/2006/relationships/chart" Target="../charts/chart38.xml"/><Relationship Id="rId10" Type="http://schemas.openxmlformats.org/officeDocument/2006/relationships/chart" Target="../charts/chart33.xml"/><Relationship Id="rId4" Type="http://schemas.openxmlformats.org/officeDocument/2006/relationships/image" Target="../media/image2.png"/><Relationship Id="rId9" Type="http://schemas.openxmlformats.org/officeDocument/2006/relationships/chart" Target="../charts/chart32.xml"/><Relationship Id="rId14" Type="http://schemas.openxmlformats.org/officeDocument/2006/relationships/chart" Target="../charts/chart37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6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3.xml"/><Relationship Id="rId3" Type="http://schemas.openxmlformats.org/officeDocument/2006/relationships/image" Target="../media/image3.png"/><Relationship Id="rId7" Type="http://schemas.openxmlformats.org/officeDocument/2006/relationships/chart" Target="../charts/chart42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39.xml"/><Relationship Id="rId6" Type="http://schemas.openxmlformats.org/officeDocument/2006/relationships/chart" Target="../charts/chart41.xml"/><Relationship Id="rId5" Type="http://schemas.openxmlformats.org/officeDocument/2006/relationships/chart" Target="../charts/chart40.xml"/><Relationship Id="rId4" Type="http://schemas.openxmlformats.org/officeDocument/2006/relationships/image" Target="../media/image2.png"/></Relationships>
</file>

<file path=xl/drawings/_rels/drawing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6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6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7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8.xml"/><Relationship Id="rId13" Type="http://schemas.openxmlformats.org/officeDocument/2006/relationships/chart" Target="../charts/chart53.xml"/><Relationship Id="rId3" Type="http://schemas.openxmlformats.org/officeDocument/2006/relationships/image" Target="../media/image3.png"/><Relationship Id="rId7" Type="http://schemas.openxmlformats.org/officeDocument/2006/relationships/chart" Target="../charts/chart47.xml"/><Relationship Id="rId12" Type="http://schemas.openxmlformats.org/officeDocument/2006/relationships/chart" Target="../charts/chart52.xml"/><Relationship Id="rId2" Type="http://schemas.openxmlformats.org/officeDocument/2006/relationships/hyperlink" Target="#'Men&#250; principal'!A1"/><Relationship Id="rId16" Type="http://schemas.openxmlformats.org/officeDocument/2006/relationships/chart" Target="../charts/chart56.xml"/><Relationship Id="rId1" Type="http://schemas.openxmlformats.org/officeDocument/2006/relationships/chart" Target="../charts/chart44.xml"/><Relationship Id="rId6" Type="http://schemas.openxmlformats.org/officeDocument/2006/relationships/chart" Target="../charts/chart46.xml"/><Relationship Id="rId11" Type="http://schemas.openxmlformats.org/officeDocument/2006/relationships/chart" Target="../charts/chart51.xml"/><Relationship Id="rId5" Type="http://schemas.openxmlformats.org/officeDocument/2006/relationships/chart" Target="../charts/chart45.xml"/><Relationship Id="rId15" Type="http://schemas.openxmlformats.org/officeDocument/2006/relationships/chart" Target="../charts/chart55.xml"/><Relationship Id="rId10" Type="http://schemas.openxmlformats.org/officeDocument/2006/relationships/chart" Target="../charts/chart50.xml"/><Relationship Id="rId4" Type="http://schemas.openxmlformats.org/officeDocument/2006/relationships/image" Target="../media/image2.png"/><Relationship Id="rId9" Type="http://schemas.openxmlformats.org/officeDocument/2006/relationships/chart" Target="../charts/chart49.xml"/><Relationship Id="rId14" Type="http://schemas.openxmlformats.org/officeDocument/2006/relationships/chart" Target="../charts/chart54.xml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.xml"/><Relationship Id="rId13" Type="http://schemas.openxmlformats.org/officeDocument/2006/relationships/chart" Target="../charts/chart10.xml"/><Relationship Id="rId3" Type="http://schemas.openxmlformats.org/officeDocument/2006/relationships/image" Target="../media/image3.png"/><Relationship Id="rId7" Type="http://schemas.openxmlformats.org/officeDocument/2006/relationships/chart" Target="../charts/chart4.xml"/><Relationship Id="rId12" Type="http://schemas.openxmlformats.org/officeDocument/2006/relationships/chart" Target="../charts/chart9.xml"/><Relationship Id="rId2" Type="http://schemas.openxmlformats.org/officeDocument/2006/relationships/hyperlink" Target="#'Men&#250; principal'!A1"/><Relationship Id="rId16" Type="http://schemas.openxmlformats.org/officeDocument/2006/relationships/chart" Target="../charts/chart13.xml"/><Relationship Id="rId1" Type="http://schemas.openxmlformats.org/officeDocument/2006/relationships/chart" Target="../charts/chart1.xml"/><Relationship Id="rId6" Type="http://schemas.openxmlformats.org/officeDocument/2006/relationships/chart" Target="../charts/chart3.xml"/><Relationship Id="rId11" Type="http://schemas.openxmlformats.org/officeDocument/2006/relationships/chart" Target="../charts/chart8.xml"/><Relationship Id="rId5" Type="http://schemas.openxmlformats.org/officeDocument/2006/relationships/chart" Target="../charts/chart2.xml"/><Relationship Id="rId15" Type="http://schemas.openxmlformats.org/officeDocument/2006/relationships/chart" Target="../charts/chart12.xml"/><Relationship Id="rId10" Type="http://schemas.openxmlformats.org/officeDocument/2006/relationships/chart" Target="../charts/chart7.xml"/><Relationship Id="rId4" Type="http://schemas.openxmlformats.org/officeDocument/2006/relationships/image" Target="../media/image2.png"/><Relationship Id="rId9" Type="http://schemas.openxmlformats.org/officeDocument/2006/relationships/chart" Target="../charts/chart6.xml"/><Relationship Id="rId14" Type="http://schemas.openxmlformats.org/officeDocument/2006/relationships/chart" Target="../charts/chart11.xml"/></Relationships>
</file>

<file path=xl/drawings/_rels/drawing8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1.xml"/><Relationship Id="rId3" Type="http://schemas.openxmlformats.org/officeDocument/2006/relationships/image" Target="../media/image3.png"/><Relationship Id="rId7" Type="http://schemas.openxmlformats.org/officeDocument/2006/relationships/chart" Target="../charts/chart60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57.xml"/><Relationship Id="rId6" Type="http://schemas.openxmlformats.org/officeDocument/2006/relationships/chart" Target="../charts/chart59.xml"/><Relationship Id="rId5" Type="http://schemas.openxmlformats.org/officeDocument/2006/relationships/chart" Target="../charts/chart58.xml"/><Relationship Id="rId4" Type="http://schemas.openxmlformats.org/officeDocument/2006/relationships/image" Target="../media/image2.png"/></Relationships>
</file>

<file path=xl/drawings/_rels/drawing9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9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6.xml"/><Relationship Id="rId3" Type="http://schemas.openxmlformats.org/officeDocument/2006/relationships/chart" Target="../charts/chart64.xml"/><Relationship Id="rId7" Type="http://schemas.openxmlformats.org/officeDocument/2006/relationships/chart" Target="../charts/chart65.xml"/><Relationship Id="rId2" Type="http://schemas.openxmlformats.org/officeDocument/2006/relationships/chart" Target="../charts/chart63.xml"/><Relationship Id="rId1" Type="http://schemas.openxmlformats.org/officeDocument/2006/relationships/chart" Target="../charts/chart62.xml"/><Relationship Id="rId6" Type="http://schemas.openxmlformats.org/officeDocument/2006/relationships/image" Target="../media/image2.png"/><Relationship Id="rId5" Type="http://schemas.openxmlformats.org/officeDocument/2006/relationships/image" Target="../media/image3.png"/><Relationship Id="rId4" Type="http://schemas.openxmlformats.org/officeDocument/2006/relationships/hyperlink" Target="#'Men&#250; principal'!A1"/></Relationships>
</file>

<file path=xl/drawings/_rels/drawing9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9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9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5934075</xdr:colOff>
      <xdr:row>1</xdr:row>
      <xdr:rowOff>171450</xdr:rowOff>
    </xdr:from>
    <xdr:to>
      <xdr:col>1</xdr:col>
      <xdr:colOff>9159636</xdr:colOff>
      <xdr:row>3</xdr:row>
      <xdr:rowOff>131340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51FA9DC9-8B56-4886-93F9-FD01DE7142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48475" y="361950"/>
          <a:ext cx="3225561" cy="874290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españoles entrados en los establecimientos alojativos de Puerto de la Cruz 
(hotel + apartamento)</a:t>
          </a:fld>
          <a:endParaRPr lang="es-ES" sz="1100"/>
        </a:p>
      </cdr:txBody>
    </cdr:sp>
  </cdr:relSizeAnchor>
</c:userShapes>
</file>

<file path=xl/drawings/drawing10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1060453</xdr:colOff>
      <xdr:row>14</xdr:row>
      <xdr:rowOff>38100</xdr:rowOff>
    </xdr:from>
    <xdr:to>
      <xdr:col>6</xdr:col>
      <xdr:colOff>705803</xdr:colOff>
      <xdr:row>35</xdr:row>
      <xdr:rowOff>120967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C4818187-8426-4885-BAF1-09E90C38BD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448944</xdr:colOff>
      <xdr:row>13</xdr:row>
      <xdr:rowOff>73025</xdr:rowOff>
    </xdr:from>
    <xdr:to>
      <xdr:col>14</xdr:col>
      <xdr:colOff>369570</xdr:colOff>
      <xdr:row>30</xdr:row>
      <xdr:rowOff>135890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BA542966-B495-4C5C-BA7B-869B0C6F58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659130</xdr:colOff>
      <xdr:row>1</xdr:row>
      <xdr:rowOff>152400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084D2497-207E-4E84-B826-7532064CED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16900" y="38100"/>
          <a:ext cx="49720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14</xdr:row>
      <xdr:rowOff>95250</xdr:rowOff>
    </xdr:from>
    <xdr:ext cx="9191626" cy="4545000"/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972015B1-DC67-452C-86E4-FA848782A9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597195</xdr:colOff>
      <xdr:row>1</xdr:row>
      <xdr:rowOff>102870</xdr:rowOff>
    </xdr:to>
    <xdr:pic>
      <xdr:nvPicPr>
        <xdr:cNvPr id="6" name="Imagen 5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D2916195-D368-40C9-88D5-4FB805F5AA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8295" cy="483870"/>
        </a:xfrm>
        <a:prstGeom prst="rect">
          <a:avLst/>
        </a:prstGeom>
      </xdr:spPr>
    </xdr:pic>
    <xdr:clientData/>
  </xdr:twoCellAnchor>
</xdr:wsDr>
</file>

<file path=xl/drawings/drawing101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31758F8E-4084-474F-8EDA-80184F875402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</a:t>
          </a:r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rPr>
            <a:t>Insular</a:t>
          </a:r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 de Tenerife. ELABORACIÓN: Turismo de Tenerife </a:t>
          </a:r>
        </a:p>
      </cdr:txBody>
    </cdr:sp>
  </cdr:relSizeAnchor>
  <cdr:relSizeAnchor xmlns:cdr="http://schemas.openxmlformats.org/drawingml/2006/chartDrawing">
    <cdr:from>
      <cdr:x>0.39564</cdr:x>
      <cdr:y>0.35377</cdr:y>
    </cdr:from>
    <cdr:to>
      <cdr:x>0.91656</cdr:x>
      <cdr:y>0.48035</cdr:y>
    </cdr:to>
    <cdr:sp macro="" textlink="">
      <cdr:nvSpPr>
        <cdr:cNvPr id="6" name="Cerrar llave 5">
          <a:extLst xmlns:a="http://schemas.openxmlformats.org/drawingml/2006/main">
            <a:ext uri="{FF2B5EF4-FFF2-40B4-BE49-F238E27FC236}">
              <a16:creationId xmlns:a16="http://schemas.microsoft.com/office/drawing/2014/main" id="{469DACD7-1EE4-4E55-BAAA-E095C61962BC}"/>
            </a:ext>
          </a:extLst>
        </cdr:cNvPr>
        <cdr:cNvSpPr/>
      </cdr:nvSpPr>
      <cdr:spPr>
        <a:xfrm xmlns:a="http://schemas.openxmlformats.org/drawingml/2006/main" rot="16200000">
          <a:off x="4003280" y="-193004"/>
          <a:ext cx="450922" cy="3357458"/>
        </a:xfrm>
        <a:prstGeom xmlns:a="http://schemas.openxmlformats.org/drawingml/2006/main" prst="rightBrace">
          <a:avLst>
            <a:gd name="adj1" fmla="val 8333"/>
            <a:gd name="adj2" fmla="val 46363"/>
          </a:avLst>
        </a:prstGeom>
        <a:ln xmlns:a="http://schemas.openxmlformats.org/drawingml/2006/main">
          <a:solidFill>
            <a:schemeClr val="bg1">
              <a:lumMod val="50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0.43619</cdr:x>
      <cdr:y>0.15305</cdr:y>
    </cdr:from>
    <cdr:to>
      <cdr:x>0.82762</cdr:x>
      <cdr:y>0.25178</cdr:y>
    </cdr:to>
    <cdr:sp macro="" textlink="">
      <cdr:nvSpPr>
        <cdr:cNvPr id="7" name="CuadroTexto 3">
          <a:extLst xmlns:a="http://schemas.openxmlformats.org/drawingml/2006/main">
            <a:ext uri="{FF2B5EF4-FFF2-40B4-BE49-F238E27FC236}">
              <a16:creationId xmlns:a16="http://schemas.microsoft.com/office/drawing/2014/main" id="{277374B0-BFCC-495F-8F00-B86CEDAE30F1}"/>
            </a:ext>
          </a:extLst>
        </cdr:cNvPr>
        <cdr:cNvSpPr txBox="1"/>
      </cdr:nvSpPr>
      <cdr:spPr>
        <a:xfrm xmlns:a="http://schemas.openxmlformats.org/drawingml/2006/main">
          <a:off x="2811353" y="545212"/>
          <a:ext cx="2522863" cy="351710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ES" sz="1600" b="1">
              <a:solidFill>
                <a:schemeClr val="tx1">
                  <a:lumMod val="65000"/>
                  <a:lumOff val="35000"/>
                </a:schemeClr>
              </a:solidFill>
            </a:rPr>
            <a:t>Total</a:t>
          </a:r>
          <a:r>
            <a:rPr lang="es-ES" sz="1600" b="1" baseline="0">
              <a:solidFill>
                <a:schemeClr val="tx1">
                  <a:lumMod val="65000"/>
                  <a:lumOff val="35000"/>
                </a:schemeClr>
              </a:solidFill>
            </a:rPr>
            <a:t> turismo canario</a:t>
          </a:r>
          <a:endParaRPr lang="es-ES" sz="1600" b="1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0.57735</cdr:x>
      <cdr:y>0.27208</cdr:y>
    </cdr:from>
    <cdr:to>
      <cdr:x>0.68978</cdr:x>
      <cdr:y>0.33541</cdr:y>
    </cdr:to>
    <cdr:sp macro="" textlink="'distribución españoles x Resid'!$O$9">
      <cdr:nvSpPr>
        <cdr:cNvPr id="8" name="CuadroTexto 3">
          <a:extLst xmlns:a="http://schemas.openxmlformats.org/drawingml/2006/main">
            <a:ext uri="{FF2B5EF4-FFF2-40B4-BE49-F238E27FC236}">
              <a16:creationId xmlns:a16="http://schemas.microsoft.com/office/drawing/2014/main" id="{4C9EE597-C83C-44F2-B4A3-633066BB0BF2}"/>
            </a:ext>
          </a:extLst>
        </cdr:cNvPr>
        <cdr:cNvSpPr txBox="1"/>
      </cdr:nvSpPr>
      <cdr:spPr>
        <a:xfrm xmlns:a="http://schemas.openxmlformats.org/drawingml/2006/main">
          <a:off x="3817377" y="1110490"/>
          <a:ext cx="743379" cy="2584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>
          <a:solidFill>
            <a:schemeClr val="accent3"/>
          </a:solidFill>
        </a:ln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8EB6A94-6C61-4F4A-B0DF-7DBBFCDFD143}" type="TxLink">
            <a:rPr lang="en-US" sz="1200" b="1" i="0" u="none" strike="noStrike">
              <a:solidFill>
                <a:schemeClr val="accent3"/>
              </a:solidFill>
              <a:latin typeface="Calibri"/>
              <a:ea typeface="Calibri"/>
              <a:cs typeface="Calibri"/>
            </a:rPr>
            <a:pPr algn="ctr"/>
            <a:t>15,6%</a:t>
          </a:fld>
          <a:endParaRPr lang="es-ES" sz="14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0.56188</cdr:x>
      <cdr:y>0.21162</cdr:y>
    </cdr:from>
    <cdr:to>
      <cdr:x>0.70176</cdr:x>
      <cdr:y>0.28983</cdr:y>
    </cdr:to>
    <cdr:sp macro="" textlink="'distribución españoles x Resid'!$N$9">
      <cdr:nvSpPr>
        <cdr:cNvPr id="9" name="CuadroTexto 3">
          <a:extLst xmlns:a="http://schemas.openxmlformats.org/drawingml/2006/main">
            <a:ext uri="{FF2B5EF4-FFF2-40B4-BE49-F238E27FC236}">
              <a16:creationId xmlns:a16="http://schemas.microsoft.com/office/drawing/2014/main" id="{B06674D6-B1FE-43AA-BD4E-1158A6AF831A}"/>
            </a:ext>
          </a:extLst>
        </cdr:cNvPr>
        <cdr:cNvSpPr txBox="1"/>
      </cdr:nvSpPr>
      <cdr:spPr>
        <a:xfrm xmlns:a="http://schemas.openxmlformats.org/drawingml/2006/main">
          <a:off x="3621442" y="753872"/>
          <a:ext cx="901561" cy="278611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DFE3520-A142-44BE-949C-98BD71D40043}" type="TxLink">
            <a:rPr lang="en-US" sz="14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 algn="ctr"/>
            <a:t>3.813</a:t>
          </a:fld>
          <a:endParaRPr lang="es-ES" sz="1600" b="1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0.70672</cdr:x>
      <cdr:y>0.26753</cdr:y>
    </cdr:from>
    <cdr:to>
      <cdr:x>0.82251</cdr:x>
      <cdr:y>0.33257</cdr:y>
    </cdr:to>
    <cdr:sp macro="" textlink="'distribución españoles x Resid'!$S$9">
      <cdr:nvSpPr>
        <cdr:cNvPr id="16" name="CuadroTexto 15">
          <a:extLst xmlns:a="http://schemas.openxmlformats.org/drawingml/2006/main">
            <a:ext uri="{FF2B5EF4-FFF2-40B4-BE49-F238E27FC236}">
              <a16:creationId xmlns:a16="http://schemas.microsoft.com/office/drawing/2014/main" id="{35529699-B5DE-4E82-9402-691AEDFDDCDC}"/>
            </a:ext>
          </a:extLst>
        </cdr:cNvPr>
        <cdr:cNvSpPr txBox="1"/>
      </cdr:nvSpPr>
      <cdr:spPr>
        <a:xfrm xmlns:a="http://schemas.openxmlformats.org/drawingml/2006/main">
          <a:off x="4672792" y="1091930"/>
          <a:ext cx="765596" cy="265458"/>
        </a:xfrm>
        <a:prstGeom xmlns:a="http://schemas.openxmlformats.org/drawingml/2006/main" prst="rect">
          <a:avLst/>
        </a:prstGeom>
        <a:ln xmlns:a="http://schemas.openxmlformats.org/drawingml/2006/main">
          <a:solidFill>
            <a:schemeClr val="bg1">
              <a:lumMod val="65000"/>
            </a:schemeClr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E3A6F43F-5657-4BB1-A66C-84C7CA060AD7}" type="TxLink">
            <a:rPr lang="en-US" sz="1100" b="1" i="0" u="none" strike="noStrike">
              <a:solidFill>
                <a:schemeClr val="bg1">
                  <a:lumMod val="65000"/>
                </a:schemeClr>
              </a:solidFill>
              <a:latin typeface="Calibri"/>
              <a:ea typeface="Calibri"/>
              <a:cs typeface="Calibri"/>
            </a:rPr>
            <a:pPr algn="ctr"/>
            <a:t>20,5%</a:t>
          </a:fld>
          <a:endParaRPr lang="es-ES" sz="1200">
            <a:solidFill>
              <a:schemeClr val="bg1">
                <a:lumMod val="6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0.17381</cdr:y>
    </cdr:to>
    <cdr:sp macro="" textlink="'distribución españoles x Resid'!$B$3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55D3B39E-6851-4C36-B8B6-6CD68DC2EBAC}"/>
            </a:ext>
          </a:extLst>
        </cdr:cNvPr>
        <cdr:cNvSpPr txBox="1"/>
      </cdr:nvSpPr>
      <cdr:spPr>
        <a:xfrm xmlns:a="http://schemas.openxmlformats.org/drawingml/2006/main">
          <a:off x="0" y="0"/>
          <a:ext cx="6611935" cy="6762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6CF2B8F0-D7E4-4DC8-B136-07E75A981FB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Viajeros españoles entrados en los hoteles y apartamentos de Puerto de la Cruz según lugar de residencia</a:t>
          </a:fld>
          <a:endParaRPr lang="es-ES" sz="1800">
            <a:solidFill>
              <a:schemeClr val="tx1">
                <a:lumMod val="50000"/>
                <a:lumOff val="50000"/>
              </a:schemeClr>
            </a:solidFill>
          </a:endParaRPr>
        </a:p>
      </cdr:txBody>
    </cdr:sp>
  </cdr:relSizeAnchor>
</c:userShapes>
</file>

<file path=xl/drawings/drawing102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0.0087</cdr:x>
      <cdr:y>0</cdr:y>
    </cdr:from>
    <cdr:to>
      <cdr:x>0.99216</cdr:x>
      <cdr:y>0.2219</cdr:y>
    </cdr:to>
    <cdr:sp macro="" textlink="'distribución españoles x Resid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57150" y="0"/>
          <a:ext cx="6460423" cy="73257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españoles entrados en hoteles y apartamentos de Puerto de la Cruz  por lugar de residencia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0.70361</cdr:x>
      <cdr:y>0.21422</cdr:y>
    </cdr:from>
    <cdr:to>
      <cdr:x>0.75287</cdr:x>
      <cdr:y>0.88569</cdr:y>
    </cdr:to>
    <cdr:sp macro="" textlink="">
      <cdr:nvSpPr>
        <cdr:cNvPr id="9" name="Cerrar llave 8">
          <a:extLst xmlns:a="http://schemas.openxmlformats.org/drawingml/2006/main">
            <a:ext uri="{FF2B5EF4-FFF2-40B4-BE49-F238E27FC236}">
              <a16:creationId xmlns:a16="http://schemas.microsoft.com/office/drawing/2014/main" id="{86FD90C6-C671-486D-8C54-9121492BC7EB}"/>
            </a:ext>
          </a:extLst>
        </cdr:cNvPr>
        <cdr:cNvSpPr/>
      </cdr:nvSpPr>
      <cdr:spPr>
        <a:xfrm xmlns:a="http://schemas.openxmlformats.org/drawingml/2006/main">
          <a:off x="5441950" y="708025"/>
          <a:ext cx="381000" cy="2219325"/>
        </a:xfrm>
        <a:prstGeom xmlns:a="http://schemas.openxmlformats.org/drawingml/2006/main" prst="rightBrace">
          <a:avLst>
            <a:gd name="adj1" fmla="val 8333"/>
            <a:gd name="adj2" fmla="val 29829"/>
          </a:avLst>
        </a:prstGeom>
        <a:ln xmlns:a="http://schemas.openxmlformats.org/drawingml/2006/main">
          <a:solidFill>
            <a:schemeClr val="bg1">
              <a:lumMod val="50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0.75237</cdr:x>
      <cdr:y>0.25456</cdr:y>
    </cdr:from>
    <cdr:to>
      <cdr:x>0.99397</cdr:x>
      <cdr:y>0.53122</cdr:y>
    </cdr:to>
    <cdr:grpSp>
      <cdr:nvGrpSpPr>
        <cdr:cNvPr id="19" name="Grupo 18">
          <a:extLst xmlns:a="http://schemas.openxmlformats.org/drawingml/2006/main">
            <a:ext uri="{FF2B5EF4-FFF2-40B4-BE49-F238E27FC236}">
              <a16:creationId xmlns:a16="http://schemas.microsoft.com/office/drawing/2014/main" id="{43E73BE4-588E-45DC-B07F-87A1D48D6B98}"/>
            </a:ext>
          </a:extLst>
        </cdr:cNvPr>
        <cdr:cNvGrpSpPr/>
      </cdr:nvGrpSpPr>
      <cdr:grpSpPr>
        <a:xfrm xmlns:a="http://schemas.openxmlformats.org/drawingml/2006/main">
          <a:off x="4942376" y="840395"/>
          <a:ext cx="1587088" cy="913356"/>
          <a:chOff x="-118136" y="-50384"/>
          <a:chExt cx="1768394" cy="546907"/>
        </a:xfrm>
      </cdr:grpSpPr>
      <cdr:sp macro="" textlink="">
        <cdr:nvSpPr>
          <cdr:cNvPr id="23" name="CuadroTexto 3">
            <a:extLst xmlns:a="http://schemas.openxmlformats.org/drawingml/2006/main">
              <a:ext uri="{FF2B5EF4-FFF2-40B4-BE49-F238E27FC236}">
                <a16:creationId xmlns:a16="http://schemas.microsoft.com/office/drawing/2014/main" id="{C5AD8BF3-D5DB-43D7-800F-DEA9B011B08C}"/>
              </a:ext>
            </a:extLst>
          </cdr:cNvPr>
          <cdr:cNvSpPr txBox="1"/>
        </cdr:nvSpPr>
        <cdr:spPr>
          <a:xfrm xmlns:a="http://schemas.openxmlformats.org/drawingml/2006/main">
            <a:off x="-118136" y="-50384"/>
            <a:ext cx="1768394" cy="546907"/>
          </a:xfrm>
          <a:prstGeom xmlns:a="http://schemas.openxmlformats.org/drawingml/2006/main" prst="rect">
            <a:avLst/>
          </a:prstGeom>
          <a:ln xmlns:a="http://schemas.openxmlformats.org/drawingml/2006/main">
            <a:solidFill>
              <a:schemeClr val="bg1">
                <a:lumMod val="50000"/>
              </a:schemeClr>
            </a:solidFill>
          </a:ln>
        </cdr:spPr>
        <cdr:txBody>
          <a:bodyPr xmlns:a="http://schemas.openxmlformats.org/drawingml/2006/main" wrap="square" rtlCol="0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/>
            <a:r>
              <a:rPr lang="es-ES" sz="1400" b="1">
                <a:solidFill>
                  <a:schemeClr val="tx1">
                    <a:lumMod val="65000"/>
                    <a:lumOff val="35000"/>
                  </a:schemeClr>
                </a:solidFill>
              </a:rPr>
              <a:t>Total</a:t>
            </a:r>
            <a:r>
              <a:rPr lang="es-ES" sz="1400" b="1" baseline="0">
                <a:solidFill>
                  <a:schemeClr val="tx1">
                    <a:lumMod val="65000"/>
                    <a:lumOff val="35000"/>
                  </a:schemeClr>
                </a:solidFill>
              </a:rPr>
              <a:t> turismo canario</a:t>
            </a:r>
            <a:endParaRPr lang="es-ES" sz="1400" b="1">
              <a:solidFill>
                <a:schemeClr val="tx1">
                  <a:lumMod val="65000"/>
                  <a:lumOff val="35000"/>
                </a:schemeClr>
              </a:solidFill>
            </a:endParaRPr>
          </a:p>
        </cdr:txBody>
      </cdr:sp>
      <cdr:sp macro="" textlink="'distribución españoles x Resid'!$N$9">
        <cdr:nvSpPr>
          <cdr:cNvPr id="24" name="CuadroTexto 4">
            <a:extLst xmlns:a="http://schemas.openxmlformats.org/drawingml/2006/main">
              <a:ext uri="{FF2B5EF4-FFF2-40B4-BE49-F238E27FC236}">
                <a16:creationId xmlns:a16="http://schemas.microsoft.com/office/drawing/2014/main" id="{7BF59A4D-C9D0-46F6-A505-3100DBB18C12}"/>
              </a:ext>
            </a:extLst>
          </cdr:cNvPr>
          <cdr:cNvSpPr txBox="1"/>
        </cdr:nvSpPr>
        <cdr:spPr>
          <a:xfrm xmlns:a="http://schemas.openxmlformats.org/drawingml/2006/main">
            <a:off x="269366" y="246761"/>
            <a:ext cx="958037" cy="179899"/>
          </a:xfrm>
          <a:prstGeom xmlns:a="http://schemas.openxmlformats.org/drawingml/2006/main" prst="rect">
            <a:avLst/>
          </a:prstGeom>
          <a:ln xmlns:a="http://schemas.openxmlformats.org/drawingml/2006/main">
            <a:noFill/>
          </a:ln>
        </cdr:spPr>
        <cdr:txBody>
          <a:bodyPr xmlns:a="http://schemas.openxmlformats.org/drawingml/2006/main" wrap="square" rtlCol="0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ctr"/>
            <a:fld id="{412286F5-1A05-47E0-97D1-52FF465F2855}" type="TxLink">
              <a:rPr lang="en-US" sz="1600" b="1" i="0" u="none" strike="noStrike">
                <a:solidFill>
                  <a:srgbClr val="7B8279"/>
                </a:solidFill>
                <a:latin typeface="Calibri"/>
                <a:ea typeface="Calibri"/>
                <a:cs typeface="Calibri"/>
              </a:rPr>
              <a:pPr marL="0" indent="0" algn="ctr"/>
              <a:t>3.813</a:t>
            </a:fld>
            <a:endParaRPr lang="es-ES" sz="2000" b="1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endParaRPr>
          </a:p>
        </cdr:txBody>
      </cdr:sp>
    </cdr:grpSp>
  </cdr:relSizeAnchor>
  <cdr:relSizeAnchor xmlns:cdr="http://schemas.openxmlformats.org/drawingml/2006/chartDrawing">
    <cdr:from>
      <cdr:x>0.73929</cdr:x>
      <cdr:y>0.56868</cdr:y>
    </cdr:from>
    <cdr:to>
      <cdr:x>0.99304</cdr:x>
      <cdr:y>0.84945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4D63E92D-ACB2-45A8-BCA5-E07887F3BD29}"/>
            </a:ext>
          </a:extLst>
        </cdr:cNvPr>
        <cdr:cNvGrpSpPr/>
      </cdr:nvGrpSpPr>
      <cdr:grpSpPr>
        <a:xfrm xmlns:a="http://schemas.openxmlformats.org/drawingml/2006/main">
          <a:off x="4856452" y="1877420"/>
          <a:ext cx="1666903" cy="926924"/>
          <a:chOff x="4210084" y="1879587"/>
          <a:chExt cx="1581328" cy="927994"/>
        </a:xfrm>
      </cdr:grpSpPr>
      <cdr:sp macro="" textlink="">
        <cdr:nvSpPr>
          <cdr:cNvPr id="21" name="4 CuadroTexto">
            <a:extLst xmlns:a="http://schemas.openxmlformats.org/drawingml/2006/main">
              <a:ext uri="{FF2B5EF4-FFF2-40B4-BE49-F238E27FC236}">
                <a16:creationId xmlns:a16="http://schemas.microsoft.com/office/drawing/2014/main" id="{5DDA589D-22D4-4B16-B090-802F84D0510E}"/>
              </a:ext>
            </a:extLst>
          </cdr:cNvPr>
          <cdr:cNvSpPr txBox="1"/>
        </cdr:nvSpPr>
        <cdr:spPr>
          <a:xfrm xmlns:a="http://schemas.openxmlformats.org/drawingml/2006/main">
            <a:off x="4210084" y="1879587"/>
            <a:ext cx="1581328" cy="927994"/>
          </a:xfrm>
          <a:prstGeom xmlns:a="http://schemas.openxmlformats.org/drawingml/2006/main" prst="rect">
            <a:avLst/>
          </a:prstGeom>
          <a:ln xmlns:a="http://schemas.openxmlformats.org/drawingml/2006/main" w="3175">
            <a:solidFill>
              <a:schemeClr val="accent1"/>
            </a:solidFill>
          </a:ln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ctr">
              <a:lnSpc>
                <a:spcPct val="100000"/>
              </a:lnSpc>
            </a:pPr>
            <a:r>
              <a:rPr lang="es-ES" sz="1400" b="1" i="0" u="none" strike="noStrike" dirty="0">
                <a:solidFill>
                  <a:schemeClr val="accent2"/>
                </a:solidFill>
                <a:latin typeface="Calibri"/>
                <a:ea typeface="+mn-ea"/>
                <a:cs typeface="+mn-cs"/>
              </a:rPr>
              <a:t>Turismo Canario</a:t>
            </a:r>
          </a:p>
          <a:p xmlns:a="http://schemas.openxmlformats.org/drawingml/2006/main">
            <a:pPr marL="0" indent="0" algn="ctr">
              <a:lnSpc>
                <a:spcPct val="100000"/>
              </a:lnSpc>
            </a:pPr>
            <a:r>
              <a:rPr lang="es-ES" sz="1400" b="1" i="0" u="none" strike="noStrike" dirty="0">
                <a:solidFill>
                  <a:schemeClr val="accent2"/>
                </a:solidFill>
                <a:latin typeface="Calibri"/>
                <a:ea typeface="+mn-ea"/>
                <a:cs typeface="+mn-cs"/>
              </a:rPr>
              <a:t> </a:t>
            </a:r>
          </a:p>
        </cdr:txBody>
      </cdr:sp>
      <cdr:sp macro="" textlink="'distribución españoles x Resid'!$S$9">
        <cdr:nvSpPr>
          <cdr:cNvPr id="22" name="CuadroTexto 1">
            <a:extLst xmlns:a="http://schemas.openxmlformats.org/drawingml/2006/main">
              <a:ext uri="{FF2B5EF4-FFF2-40B4-BE49-F238E27FC236}">
                <a16:creationId xmlns:a16="http://schemas.microsoft.com/office/drawing/2014/main" id="{7A1FB039-8E15-44CE-9502-D48144CFC5DB}"/>
              </a:ext>
            </a:extLst>
          </cdr:cNvPr>
          <cdr:cNvSpPr txBox="1"/>
        </cdr:nvSpPr>
        <cdr:spPr>
          <a:xfrm xmlns:a="http://schemas.openxmlformats.org/drawingml/2006/main">
            <a:off x="4562251" y="2317629"/>
            <a:ext cx="731698" cy="333174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r"/>
            <a:fld id="{6252F33D-EF1C-47C4-96A5-DEAC3CCFC160}" type="TxLink">
              <a:rPr lang="en-US" sz="1400" b="1" i="0" u="none" strike="noStrike">
                <a:solidFill>
                  <a:schemeClr val="accent6"/>
                </a:solidFill>
                <a:latin typeface="Calibri"/>
                <a:ea typeface="Calibri"/>
                <a:cs typeface="Calibri"/>
              </a:rPr>
              <a:pPr marL="0" indent="0" algn="r"/>
              <a:t>20,5%</a:t>
            </a:fld>
            <a:endParaRPr lang="es-ES" sz="1800" b="1" i="0" u="none" strike="noStrike">
              <a:solidFill>
                <a:schemeClr val="accent6"/>
              </a:solidFill>
              <a:latin typeface="Calibri"/>
              <a:ea typeface="+mn-ea"/>
              <a:cs typeface="+mn-cs"/>
            </a:endParaRPr>
          </a:p>
        </cdr:txBody>
      </cdr:sp>
    </cdr:grpSp>
  </cdr:relSizeAnchor>
  <cdr:relSizeAnchor xmlns:cdr="http://schemas.openxmlformats.org/drawingml/2006/chartDrawing">
    <cdr:from>
      <cdr:x>0.76539</cdr:x>
      <cdr:y>0.77333</cdr:y>
    </cdr:from>
    <cdr:to>
      <cdr:x>0.97535</cdr:x>
      <cdr:y>0.84538</cdr:y>
    </cdr:to>
    <cdr:sp macro="" textlink="">
      <cdr:nvSpPr>
        <cdr:cNvPr id="26" name="CuadroTexto 1">
          <a:extLst xmlns:a="http://schemas.openxmlformats.org/drawingml/2006/main">
            <a:ext uri="{FF2B5EF4-FFF2-40B4-BE49-F238E27FC236}">
              <a16:creationId xmlns:a16="http://schemas.microsoft.com/office/drawing/2014/main" id="{0D6E40F3-67BA-46DA-9F8A-37F48AFBB0E0}"/>
            </a:ext>
          </a:extLst>
        </cdr:cNvPr>
        <cdr:cNvSpPr txBox="1"/>
      </cdr:nvSpPr>
      <cdr:spPr>
        <a:xfrm xmlns:a="http://schemas.openxmlformats.org/drawingml/2006/main">
          <a:off x="5027931" y="2553033"/>
          <a:ext cx="1379220" cy="23786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en-US" sz="1400" b="1" i="0" u="none" strike="noStrike">
              <a:solidFill>
                <a:schemeClr val="accent2"/>
              </a:solidFill>
              <a:latin typeface="Calibri"/>
            </a:rPr>
            <a:t>del total España</a:t>
          </a:r>
          <a:endParaRPr lang="es-ES" sz="1600" b="1">
            <a:solidFill>
              <a:schemeClr val="accent2"/>
            </a:solidFill>
          </a:endParaRPr>
        </a:p>
      </cdr:txBody>
    </cdr:sp>
  </cdr:relSizeAnchor>
</c:userShapes>
</file>

<file path=xl/drawings/drawing103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04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608964</xdr:colOff>
      <xdr:row>24</xdr:row>
      <xdr:rowOff>95885</xdr:rowOff>
    </xdr:from>
    <xdr:to>
      <xdr:col>25</xdr:col>
      <xdr:colOff>3809</xdr:colOff>
      <xdr:row>132</xdr:row>
      <xdr:rowOff>62865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89644981-7D57-45AB-BD94-597ECBDC40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A7172688-2DA4-4E93-B9C8-661EE1E15A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2155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A2F3D348-E007-4ED4-8A08-21DE0C89A2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16</xdr:row>
      <xdr:rowOff>142873</xdr:rowOff>
    </xdr:from>
    <xdr:to>
      <xdr:col>12</xdr:col>
      <xdr:colOff>238125</xdr:colOff>
      <xdr:row>123</xdr:row>
      <xdr:rowOff>180974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04D2FD33-CB30-4414-AFB0-C19942C511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españoles x cate'!$B$3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F71BC7C3-6684-4714-A6D1-8223AD0694D0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Viajeros españoles entrados en los hoteles y apartamentos de Puerto de la Cruz por tipología y categoría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0.041</cdr:x>
      <cdr:y>0.26031</cdr:y>
    </cdr:from>
    <cdr:to>
      <cdr:x>0.24854</cdr:x>
      <cdr:y>0.41201</cdr:y>
    </cdr:to>
    <cdr:sp macro="" textlink="'distribución españoles x cate'!$AA$19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485A1103-5FB5-B2C6-21B1-F6862E0BCB8F}"/>
            </a:ext>
          </a:extLst>
        </cdr:cNvPr>
        <cdr:cNvSpPr txBox="1"/>
      </cdr:nvSpPr>
      <cdr:spPr>
        <a:xfrm xmlns:a="http://schemas.openxmlformats.org/drawingml/2006/main">
          <a:off x="347469" y="1319893"/>
          <a:ext cx="1758710" cy="769191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1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D24D9A57-6BDE-4FF9-BFFC-01600462B1D2}" type="TxLink">
            <a:rPr lang="en-US" sz="1400" b="0" i="0" u="none" strike="noStrike">
              <a:solidFill>
                <a:schemeClr val="accent6">
                  <a:lumMod val="75000"/>
                </a:schemeClr>
              </a:solidFill>
              <a:latin typeface="Calibri"/>
              <a:ea typeface="Calibri"/>
              <a:cs typeface="Calibri"/>
            </a:rPr>
            <a:pPr algn="ctr"/>
            <a:t>Hoteles: 
16,231 viajeros 
cuota: 87.1%</a:t>
          </a:fld>
          <a:endParaRPr lang="es-ES" sz="140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0.77039</cdr:x>
      <cdr:y>0.19841</cdr:y>
    </cdr:from>
    <cdr:to>
      <cdr:x>0.98376</cdr:x>
      <cdr:y>0.34296</cdr:y>
    </cdr:to>
    <cdr:sp macro="" textlink="'distribución españoles x cate'!$AA$20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21E849B-B2E6-1154-D44C-15561EF878B3}"/>
            </a:ext>
          </a:extLst>
        </cdr:cNvPr>
        <cdr:cNvSpPr txBox="1"/>
      </cdr:nvSpPr>
      <cdr:spPr>
        <a:xfrm xmlns:a="http://schemas.openxmlformats.org/drawingml/2006/main">
          <a:off x="6528359" y="1005667"/>
          <a:ext cx="1808114" cy="732662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4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B227F2D-33F7-4897-8363-626781F97EAE}" type="TxLink">
            <a:rPr lang="en-US" sz="1400" b="0" i="0" u="none" strike="noStrike">
              <a:solidFill>
                <a:schemeClr val="accent4"/>
              </a:solidFill>
              <a:latin typeface="Calibri"/>
              <a:ea typeface="+mn-ea"/>
              <a:cs typeface="Calibri"/>
            </a:rPr>
            <a:pPr marL="0" indent="0" algn="ctr"/>
            <a:t>Apartamentos: 
2,394 viajeros
cuota: 12.9%</a:t>
          </a:fld>
          <a:endParaRPr lang="es-ES" sz="1400" b="0" i="0" u="none" strike="noStrike">
            <a:solidFill>
              <a:schemeClr val="accent4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07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608964</xdr:colOff>
      <xdr:row>24</xdr:row>
      <xdr:rowOff>95885</xdr:rowOff>
    </xdr:from>
    <xdr:to>
      <xdr:col>25</xdr:col>
      <xdr:colOff>3809</xdr:colOff>
      <xdr:row>132</xdr:row>
      <xdr:rowOff>62865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DBD78EFC-47BA-4E34-A226-55A78B3AEA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20A2326A-8A8A-461D-BFAB-905B07F294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2155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16B55F0E-9925-427A-A65F-39BA6B2C2A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16</xdr:row>
      <xdr:rowOff>142873</xdr:rowOff>
    </xdr:from>
    <xdr:to>
      <xdr:col>12</xdr:col>
      <xdr:colOff>238125</xdr:colOff>
      <xdr:row>123</xdr:row>
      <xdr:rowOff>180974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1346F152-7292-4780-98B6-5450517FF7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peninsulare x cate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peninsulares entrados en hoteles y apartamentos de Tenerife por lugar categoría del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0.041</cdr:x>
      <cdr:y>0.26031</cdr:y>
    </cdr:from>
    <cdr:to>
      <cdr:x>0.24854</cdr:x>
      <cdr:y>0.41201</cdr:y>
    </cdr:to>
    <cdr:sp macro="" textlink="'distribución peninsulare x cate'!$AA$19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485A1103-5FB5-B2C6-21B1-F6862E0BCB8F}"/>
            </a:ext>
          </a:extLst>
        </cdr:cNvPr>
        <cdr:cNvSpPr txBox="1"/>
      </cdr:nvSpPr>
      <cdr:spPr>
        <a:xfrm xmlns:a="http://schemas.openxmlformats.org/drawingml/2006/main">
          <a:off x="347469" y="1319893"/>
          <a:ext cx="1758710" cy="769191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1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D24D9A57-6BDE-4FF9-BFFC-01600462B1D2}" type="TxLink">
            <a:rPr lang="en-US" sz="1400" b="0" i="0" u="none" strike="noStrike">
              <a:solidFill>
                <a:schemeClr val="accent6">
                  <a:lumMod val="75000"/>
                </a:schemeClr>
              </a:solidFill>
              <a:latin typeface="Calibri"/>
              <a:ea typeface="Calibri"/>
              <a:cs typeface="Calibri"/>
            </a:rPr>
            <a:pPr algn="ctr"/>
            <a:t>Hoteles: 
13,221 viajeros 
cuota: 89.3%</a:t>
          </a:fld>
          <a:endParaRPr lang="es-ES" sz="140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0.77039</cdr:x>
      <cdr:y>0.19841</cdr:y>
    </cdr:from>
    <cdr:to>
      <cdr:x>0.98376</cdr:x>
      <cdr:y>0.34296</cdr:y>
    </cdr:to>
    <cdr:sp macro="" textlink="'distribución peninsulare x cate'!$AA$20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21E849B-B2E6-1154-D44C-15561EF878B3}"/>
            </a:ext>
          </a:extLst>
        </cdr:cNvPr>
        <cdr:cNvSpPr txBox="1"/>
      </cdr:nvSpPr>
      <cdr:spPr>
        <a:xfrm xmlns:a="http://schemas.openxmlformats.org/drawingml/2006/main">
          <a:off x="6528359" y="1005667"/>
          <a:ext cx="1808114" cy="732662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4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B227F2D-33F7-4897-8363-626781F97EAE}" type="TxLink">
            <a:rPr lang="en-US" sz="1400" b="0" i="0" u="none" strike="noStrike">
              <a:solidFill>
                <a:schemeClr val="accent4"/>
              </a:solidFill>
              <a:latin typeface="Calibri"/>
              <a:ea typeface="+mn-ea"/>
              <a:cs typeface="Calibri"/>
            </a:rPr>
            <a:pPr marL="0" indent="0" algn="ctr"/>
            <a:t>Apartamentos: 
1,591 viajeros
cuota: 10.7%</a:t>
          </a:fld>
          <a:endParaRPr lang="es-ES" sz="1400" b="0" i="0" u="none" strike="noStrike">
            <a:solidFill>
              <a:schemeClr val="accent4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peninsulares entrados en los establecimientos alojativos de Puerto de la Cruz 
(hotel + apartamento)</a:t>
          </a:fld>
          <a:endParaRPr lang="es-ES" sz="1100"/>
        </a:p>
      </cdr:txBody>
    </cdr:sp>
  </cdr:relSizeAnchor>
</c:userShapes>
</file>

<file path=xl/drawings/drawing110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608964</xdr:colOff>
      <xdr:row>24</xdr:row>
      <xdr:rowOff>95885</xdr:rowOff>
    </xdr:from>
    <xdr:to>
      <xdr:col>25</xdr:col>
      <xdr:colOff>3809</xdr:colOff>
      <xdr:row>132</xdr:row>
      <xdr:rowOff>62865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9BF7F18B-C7CF-43D6-8161-F98EAAEB14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E69956F9-9744-4FBD-B82E-7199B3FAB4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2155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BE08591D-4057-4632-94E3-96783E3F78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16</xdr:row>
      <xdr:rowOff>142873</xdr:rowOff>
    </xdr:from>
    <xdr:to>
      <xdr:col>12</xdr:col>
      <xdr:colOff>238125</xdr:colOff>
      <xdr:row>123</xdr:row>
      <xdr:rowOff>180974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C2739C3F-8034-4DF0-8F55-300D0EA56A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canarios x cate'!$B$3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6DD7FDF9-C129-4B73-A2D8-1D48F8148B42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Viajeros canarios entrados en los hoteles y apartamentos de Puerto de la Cruz por tipología y categoría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0.041</cdr:x>
      <cdr:y>0.26031</cdr:y>
    </cdr:from>
    <cdr:to>
      <cdr:x>0.24854</cdr:x>
      <cdr:y>0.41201</cdr:y>
    </cdr:to>
    <cdr:sp macro="" textlink="'distribución canarios x cate'!$AA$19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485A1103-5FB5-B2C6-21B1-F6862E0BCB8F}"/>
            </a:ext>
          </a:extLst>
        </cdr:cNvPr>
        <cdr:cNvSpPr txBox="1"/>
      </cdr:nvSpPr>
      <cdr:spPr>
        <a:xfrm xmlns:a="http://schemas.openxmlformats.org/drawingml/2006/main">
          <a:off x="347469" y="1319893"/>
          <a:ext cx="1758710" cy="769191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1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D24D9A57-6BDE-4FF9-BFFC-01600462B1D2}" type="TxLink">
            <a:rPr lang="en-US" sz="1400" b="0" i="0" u="none" strike="noStrike">
              <a:solidFill>
                <a:schemeClr val="accent6">
                  <a:lumMod val="75000"/>
                </a:schemeClr>
              </a:solidFill>
              <a:latin typeface="Calibri"/>
              <a:ea typeface="Calibri"/>
              <a:cs typeface="Calibri"/>
            </a:rPr>
            <a:pPr algn="ctr"/>
            <a:t>Hoteles: 
3,010 viajeros 
cuota: 78.9%</a:t>
          </a:fld>
          <a:endParaRPr lang="es-ES" sz="140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0.77039</cdr:x>
      <cdr:y>0.19841</cdr:y>
    </cdr:from>
    <cdr:to>
      <cdr:x>0.98376</cdr:x>
      <cdr:y>0.34296</cdr:y>
    </cdr:to>
    <cdr:sp macro="" textlink="'distribución canarios x cate'!$AA$20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21E849B-B2E6-1154-D44C-15561EF878B3}"/>
            </a:ext>
          </a:extLst>
        </cdr:cNvPr>
        <cdr:cNvSpPr txBox="1"/>
      </cdr:nvSpPr>
      <cdr:spPr>
        <a:xfrm xmlns:a="http://schemas.openxmlformats.org/drawingml/2006/main">
          <a:off x="6528359" y="1005667"/>
          <a:ext cx="1808114" cy="732662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4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B227F2D-33F7-4897-8363-626781F97EAE}" type="TxLink">
            <a:rPr lang="en-US" sz="1400" b="0" i="0" u="none" strike="noStrike">
              <a:solidFill>
                <a:schemeClr val="accent4"/>
              </a:solidFill>
              <a:latin typeface="Calibri"/>
              <a:ea typeface="+mn-ea"/>
              <a:cs typeface="Calibri"/>
            </a:rPr>
            <a:pPr marL="0" indent="0" algn="ctr"/>
            <a:t>Apartamentos: 
803 viajeros
cuota: 21.1%</a:t>
          </a:fld>
          <a:endParaRPr lang="es-ES" sz="1400" b="0" i="0" u="none" strike="noStrike">
            <a:solidFill>
              <a:schemeClr val="accent4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3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818515</xdr:colOff>
      <xdr:row>21</xdr:row>
      <xdr:rowOff>73025</xdr:rowOff>
    </xdr:from>
    <xdr:to>
      <xdr:col>21</xdr:col>
      <xdr:colOff>59056</xdr:colOff>
      <xdr:row>125</xdr:row>
      <xdr:rowOff>15240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BFCF6E8F-4513-4437-954C-C60ED7BBD5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8AE68DC8-A898-4BA2-B4B2-731E4E9290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5030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19</xdr:row>
      <xdr:rowOff>95250</xdr:rowOff>
    </xdr:from>
    <xdr:ext cx="9191626" cy="4545000"/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E50F50BC-8F88-4775-AD75-7B4BFCF572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EE540E73-D270-4FF2-BE4D-22B4DE48AA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20</xdr:row>
      <xdr:rowOff>142873</xdr:rowOff>
    </xdr:from>
    <xdr:to>
      <xdr:col>12</xdr:col>
      <xdr:colOff>76200</xdr:colOff>
      <xdr:row>127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DD4302C2-0EB4-43A7-A66A-41FD7EFD15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españoles x mun al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españoles entrados en hoteles y apartamentos de Tenerife por municipio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</c:userShapes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7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818515</xdr:colOff>
      <xdr:row>21</xdr:row>
      <xdr:rowOff>73025</xdr:rowOff>
    </xdr:from>
    <xdr:to>
      <xdr:col>21</xdr:col>
      <xdr:colOff>59056</xdr:colOff>
      <xdr:row>125</xdr:row>
      <xdr:rowOff>15240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FCDFA3B9-ED6C-4B21-BA4E-32DAFAE43D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77D421BE-AA51-42E4-82BF-92CD4BD6C3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5030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19</xdr:row>
      <xdr:rowOff>95250</xdr:rowOff>
    </xdr:from>
    <xdr:ext cx="9191626" cy="4545000"/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0257A275-8D27-48BC-8C41-A803C4F57A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A39C0BA5-952B-4D3B-A5EC-1FB722C8C9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20</xdr:row>
      <xdr:rowOff>142873</xdr:rowOff>
    </xdr:from>
    <xdr:to>
      <xdr:col>12</xdr:col>
      <xdr:colOff>76200</xdr:colOff>
      <xdr:row>127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4904A775-2A1B-4D4F-B485-68FC987862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peninsula x munici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peninsulares entrados en hoteles y apartamentos de Tenerife por municipio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70:$N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canarios entrados en los establecimientos alojativos de Puerto de la Cruz 
(hotel + apartamento)</a:t>
          </a:fld>
          <a:endParaRPr lang="es-ES" sz="1100"/>
        </a:p>
      </cdr:txBody>
    </cdr: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1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818515</xdr:colOff>
      <xdr:row>21</xdr:row>
      <xdr:rowOff>73025</xdr:rowOff>
    </xdr:from>
    <xdr:to>
      <xdr:col>21</xdr:col>
      <xdr:colOff>59056</xdr:colOff>
      <xdr:row>125</xdr:row>
      <xdr:rowOff>15240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1851258B-A16F-4ED6-9135-DAF95386B5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11B466E2-5882-4E49-B8EE-343992DE8E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5030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19</xdr:row>
      <xdr:rowOff>95250</xdr:rowOff>
    </xdr:from>
    <xdr:ext cx="9191626" cy="4545000"/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DAF91AC9-AB84-481D-BDBA-891197CD81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7E92B850-225E-480A-BD6D-57EE07016A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20</xdr:row>
      <xdr:rowOff>142873</xdr:rowOff>
    </xdr:from>
    <xdr:to>
      <xdr:col>12</xdr:col>
      <xdr:colOff>76200</xdr:colOff>
      <xdr:row>127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27078656-0E59-4CE8-B69D-79AE6F366A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canarias x munici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canarios entrados en hoteles y apartamentos de Tenerife por municipio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</c:userShapes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457199</xdr:colOff>
      <xdr:row>2</xdr:row>
      <xdr:rowOff>114299</xdr:rowOff>
    </xdr:from>
    <xdr:to>
      <xdr:col>15</xdr:col>
      <xdr:colOff>355199</xdr:colOff>
      <xdr:row>24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B3B8D04A-B675-42DF-A612-38E806076B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8123BC3D-F32F-410F-8F21-0323F91559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F9D54818-3C99-460C-9812-1B60C9079A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volución anual viaj ent españo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españoles entrados en los establecimientos alojativos de Puerto de la Cruz
(hotel + apartamento)</a:t>
          </a:fld>
          <a:endParaRPr lang="es-ES" sz="1100"/>
        </a:p>
      </cdr:txBody>
    </cdr:sp>
  </cdr:relSizeAnchor>
</c:userShapes>
</file>

<file path=xl/drawings/drawing127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457199</xdr:colOff>
      <xdr:row>2</xdr:row>
      <xdr:rowOff>114299</xdr:rowOff>
    </xdr:from>
    <xdr:to>
      <xdr:col>15</xdr:col>
      <xdr:colOff>355199</xdr:colOff>
      <xdr:row>24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E91BA161-7A77-465E-B270-5507634ACF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691BEB4-C5B3-4EE5-8A9B-E85AC60ED9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41BB653D-44E5-4CE1-81DA-D48DE7A2DB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volución anual viaj ent penins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peninsulares entrados en los establecimientos alojativos de Puerto de la Cruz
(hotel + apartamento)</a:t>
          </a:fld>
          <a:endParaRPr lang="es-ES" sz="1100"/>
        </a:p>
      </cdr:txBody>
    </cdr:sp>
  </cdr:relSizeAnchor>
</c:userShapes>
</file>

<file path=xl/drawings/drawing12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457199</xdr:colOff>
      <xdr:row>2</xdr:row>
      <xdr:rowOff>114299</xdr:rowOff>
    </xdr:from>
    <xdr:to>
      <xdr:col>15</xdr:col>
      <xdr:colOff>355199</xdr:colOff>
      <xdr:row>24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6B5F098A-20D2-49EA-9F64-AD8FDE74F1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866A2AFA-192D-4E9E-8009-BB2274EF03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B5F7CBB3-AC72-4B56-8AF9-2F0555ACBA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92:$N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extranjeros entrados en los establecimientos alojativos de Puerto de la Cruz 
(hotel + apartamento)</a:t>
          </a:fld>
          <a:endParaRPr lang="es-ES" sz="1100"/>
        </a:p>
      </cdr:txBody>
    </cdr:sp>
  </cdr:relSizeAnchor>
</c:userShapes>
</file>

<file path=xl/drawings/drawing13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volución anual viaj ent canari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canarios entrados en los establecimientos alojativos de Puerto de la Cruz
(hotel + apartamento)</a:t>
          </a:fld>
          <a:endParaRPr lang="es-ES" sz="1100"/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114:$N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británicos entrados en los establecimientos alojativos de Puerto de la Cruz 
(hotel + apartamento)</a:t>
          </a:fld>
          <a:endParaRPr lang="es-ES" sz="1100"/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0.00108</cdr:x>
      <cdr:y>0.96197</cdr:y>
    </cdr:from>
    <cdr:to>
      <cdr:x>0.51654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9525" y="4315662"/>
          <a:ext cx="4565049" cy="1706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0.9957</cdr:x>
      <cdr:y>0.12237</cdr:y>
    </cdr:to>
    <cdr:sp macro="" textlink="'Viajeros entr evol mensu TF'!$B$136:$N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9479"/>
          <a:ext cx="8829676" cy="5901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alemanes entrados en los establecimientos alojativos de Puerto de la Cruz 
(hotel + apartamento)</a:t>
          </a:fld>
          <a:endParaRPr lang="es-ES" sz="1100"/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158:$N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franceses entrados en los establecimientos alojativos de Puerto de la Cruz 
(hotel + apartamento)</a:t>
          </a:fld>
          <a:endParaRPr lang="es-ES" sz="1100"/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180:$N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belgas entrados en los establecimientos alojativos de Puerto de la Cruz 
(hotel + apartamento)</a:t>
          </a:fld>
          <a:endParaRPr lang="es-ES" sz="1100"/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02:$N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holandeses entrados en los establecimientos alojativos de Puerto de la Cruz 
(hotel + apartamento)</a:t>
          </a:fld>
          <a:endParaRPr lang="es-ES" sz="1100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24:$N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F6DB970-8AF5-4ACF-8E05-A57BF76B1B5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belgas entrados en los establecimientos alojativos de Puerto de la Cruz 
(hotel + apartamento)</a:t>
          </a:fld>
          <a:endParaRPr lang="es-ES" sz="1100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361950</xdr:colOff>
      <xdr:row>2</xdr:row>
      <xdr:rowOff>133631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272DDFB-A28C-4339-A5E3-9C43D0CB7D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1</xdr:col>
      <xdr:colOff>0</xdr:colOff>
      <xdr:row>5</xdr:row>
      <xdr:rowOff>284480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45E8BE4-6B93-4EBE-B02A-00BFCCF06B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71500"/>
          <a:ext cx="762000" cy="6559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46:$N$24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2BDA80-C0F4-4A01-9A5D-806E76A2736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daneses entrados en los establecimientos alojativos de Puerto de la Cruz 
(hotel + apartamento)</a:t>
          </a:fld>
          <a:endParaRPr lang="es-ES" sz="1100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68:$N$26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EDF55F-EC40-4CCB-8271-796B623DE44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suecos entrados en los establecimientos alojativos de Puerto de la Cruz 
(hotel + apartamento)</a:t>
          </a:fld>
          <a:endParaRPr lang="es-ES" sz="1100"/>
        </a:p>
      </cdr:txBody>
    </cdr:sp>
  </cdr:relSizeAnchor>
</c:userShapes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4</xdr:row>
      <xdr:rowOff>95250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3485CF0-3F56-479E-A6AA-CFEE670E8F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0DFF766-AF40-4BF9-889F-95638D684B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428624</xdr:colOff>
      <xdr:row>2</xdr:row>
      <xdr:rowOff>114299</xdr:rowOff>
    </xdr:from>
    <xdr:to>
      <xdr:col>25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B1A4798A-E7E9-41FB-9FBE-54747C89C1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D433FA6B-5213-4647-AD7D-107668C486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104775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BAFA5766-FFAA-403D-84C4-E209C966C1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>
    <xdr:from>
      <xdr:col>14</xdr:col>
      <xdr:colOff>323850</xdr:colOff>
      <xdr:row>25</xdr:row>
      <xdr:rowOff>76200</xdr:rowOff>
    </xdr:from>
    <xdr:to>
      <xdr:col>25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06F448B6-193E-4792-83F2-2888008335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676275</xdr:colOff>
      <xdr:row>46</xdr:row>
      <xdr:rowOff>142875</xdr:rowOff>
    </xdr:from>
    <xdr:to>
      <xdr:col>25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FFDFC12D-B9D4-46AA-A4F2-0DFE91E8FC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0</xdr:colOff>
      <xdr:row>69</xdr:row>
      <xdr:rowOff>0</xdr:rowOff>
    </xdr:from>
    <xdr:to>
      <xdr:col>25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9DC3E4F0-749F-42C5-AFC9-F17DD4B9CC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38100</xdr:colOff>
      <xdr:row>91</xdr:row>
      <xdr:rowOff>0</xdr:rowOff>
    </xdr:from>
    <xdr:to>
      <xdr:col>25</xdr:col>
      <xdr:colOff>698100</xdr:colOff>
      <xdr:row>111</xdr:row>
      <xdr:rowOff>85726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52E293FD-25F9-497F-829D-30885E8CEB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establecimientos alojativos de Puerto de la Cruz 
(hotel + apartamento)</a:t>
          </a:fld>
          <a:endParaRPr lang="es-ES" sz="1100"/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hoteles de Puerto de la Cruz</a:t>
          </a:fld>
          <a:endParaRPr lang="es-ES" sz="1100"/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hoteles de 4, 5 estrellas Puerto de la Cruz</a:t>
          </a:fld>
          <a:endParaRPr lang="es-ES" sz="1100"/>
        </a:p>
      </cdr:txBody>
    </cdr:sp>
  </cdr:relSizeAnchor>
  <cdr:relSizeAnchor xmlns:cdr="http://schemas.openxmlformats.org/drawingml/2006/chartDrawing">
    <cdr:from>
      <cdr:x>0.01304</cdr:x>
      <cdr:y>0.91106</cdr:y>
    </cdr:from>
    <cdr:to>
      <cdr:x>0.5285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3D3C7B1-03F3-939E-B177-216861D69B8A}"/>
            </a:ext>
          </a:extLst>
        </cdr:cNvPr>
        <cdr:cNvSpPr txBox="1"/>
      </cdr:nvSpPr>
      <cdr:spPr>
        <a:xfrm xmlns:a="http://schemas.openxmlformats.org/drawingml/2006/main">
          <a:off x="107950" y="4000501"/>
          <a:ext cx="4268009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2020 no se publicó la desagregación por categorías en las Islas</a:t>
          </a:r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70:$N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hoteles de 1, 2, 3 estrellas Puerto de la Cruz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0.91106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1E746101-EB15-832B-6A67-4574788CA446}"/>
            </a:ext>
          </a:extLst>
        </cdr:cNvPr>
        <cdr:cNvSpPr txBox="1"/>
      </cdr:nvSpPr>
      <cdr:spPr>
        <a:xfrm xmlns:a="http://schemas.openxmlformats.org/drawingml/2006/main">
          <a:off x="0" y="4000488"/>
          <a:ext cx="4268009" cy="39053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2020 no se publicó la desagregación por categorías en las Islas</a:t>
          </a: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92:$N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apartamentos de Puerto de la Cruz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1E746101-EB15-832B-6A67-4574788CA446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428624</xdr:colOff>
      <xdr:row>2</xdr:row>
      <xdr:rowOff>114299</xdr:rowOff>
    </xdr:from>
    <xdr:to>
      <xdr:col>15</xdr:col>
      <xdr:colOff>326624</xdr:colOff>
      <xdr:row>24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374D83F4-5AB7-4055-B67B-E15C1185ED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4A4E1E10-5DB7-40D8-9DEF-5D6A19365E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43749215-5D92-4F84-B8F2-A4D4BE776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>
    <xdr:from>
      <xdr:col>4</xdr:col>
      <xdr:colOff>323850</xdr:colOff>
      <xdr:row>26</xdr:row>
      <xdr:rowOff>76200</xdr:rowOff>
    </xdr:from>
    <xdr:to>
      <xdr:col>15</xdr:col>
      <xdr:colOff>221850</xdr:colOff>
      <xdr:row>47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476276AA-5C27-41ED-BD69-EC2736E1FE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</xdr:col>
      <xdr:colOff>676275</xdr:colOff>
      <xdr:row>48</xdr:row>
      <xdr:rowOff>142875</xdr:rowOff>
    </xdr:from>
    <xdr:to>
      <xdr:col>15</xdr:col>
      <xdr:colOff>574275</xdr:colOff>
      <xdr:row>70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56C80145-6AA3-41AC-B9E2-BDE0B6282D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358140</xdr:colOff>
      <xdr:row>2</xdr:row>
      <xdr:rowOff>129821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EA9DE90-E879-4D19-92ED-585EAFD4CE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2140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57150</xdr:rowOff>
    </xdr:from>
    <xdr:to>
      <xdr:col>1</xdr:col>
      <xdr:colOff>0</xdr:colOff>
      <xdr:row>5</xdr:row>
      <xdr:rowOff>364172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1F78686-6A8F-4372-88E3-AD1069ADED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8650"/>
          <a:ext cx="762000" cy="6784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establecimientos alojativos de Puerto de la Cruz 
(hotel + apartamento)</a:t>
          </a:fld>
          <a:endParaRPr lang="es-ES" sz="1100"/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27:$D$27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hoteles de Puerto de la Cruz</a:t>
          </a:fld>
          <a:endParaRPr lang="es-ES" sz="1100"/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50:$D$5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hoteles de 4, 5 estrellas de Puerto de la Cruz</a:t>
          </a:fld>
          <a:endParaRPr lang="es-ES" sz="1100"/>
        </a:p>
      </cdr:txBody>
    </cdr:sp>
  </cdr:relSizeAnchor>
</c:userShapes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0</xdr:col>
      <xdr:colOff>762000</xdr:colOff>
      <xdr:row>2</xdr:row>
      <xdr:rowOff>361950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BE87DD2-9B88-446A-BD04-AB31416F71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29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847725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57DC3076-0AD7-4756-987A-CFC18F48B0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5715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FF534E6-425D-4C6D-81FD-6D1C183DEE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CC76A556-0039-43B7-A395-4500D0D321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12</xdr:col>
      <xdr:colOff>34925</xdr:colOff>
      <xdr:row>2</xdr:row>
      <xdr:rowOff>504825</xdr:rowOff>
    </xdr:from>
    <xdr:to>
      <xdr:col>35</xdr:col>
      <xdr:colOff>228600</xdr:colOff>
      <xdr:row>28</xdr:row>
      <xdr:rowOff>161925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50DB2BC8-D073-4460-894D-367BDC4613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0.94907</cdr:x>
      <cdr:y>0.0919</cdr:y>
    </cdr:to>
    <cdr:sp macro="" textlink="'viaj entrados lugar resid años '!$N$3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50902" y="53158"/>
          <a:ext cx="9534423" cy="4589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893662F-1A51-4D1E-BD6E-6B892393596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establecimientos alojativos de Puerto de la Cruz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0</xdr:rowOff>
    </xdr:from>
    <xdr:to>
      <xdr:col>0</xdr:col>
      <xdr:colOff>762000</xdr:colOff>
      <xdr:row>5</xdr:row>
      <xdr:rowOff>438150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22D49D3-BDA6-47C6-A2D4-9064AD89AD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620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514350</xdr:colOff>
      <xdr:row>3</xdr:row>
      <xdr:rowOff>38100</xdr:rowOff>
    </xdr:from>
    <xdr:to>
      <xdr:col>31</xdr:col>
      <xdr:colOff>186690</xdr:colOff>
      <xdr:row>26</xdr:row>
      <xdr:rowOff>15240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D6413E83-B4C5-42DF-88DE-E2465BF027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7E52821F-2692-4A10-A87B-4AD742666C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cia'!$M$6:$T$6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E6B25C01-D8B5-45F5-AEF0-E4EBE0EDCB7F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establecimientos alojativos de Puerto de la Cruz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8F5BFFE-D185-4E4D-A502-98BD7835C9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21045349-E3F2-4D9F-A7B0-9B73BB5AEB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23</xdr:col>
      <xdr:colOff>561975</xdr:colOff>
      <xdr:row>3</xdr:row>
      <xdr:rowOff>257175</xdr:rowOff>
    </xdr:from>
    <xdr:to>
      <xdr:col>36</xdr:col>
      <xdr:colOff>434340</xdr:colOff>
      <xdr:row>27</xdr:row>
      <xdr:rowOff>43815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05BF9807-140C-4F63-86DD-33754E2BF1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0768"/>
          <a:ext cx="8033258" cy="1998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 hot'!$N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80BF2DB-21EF-4E40-A211-5A420E4ABD3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hoteles de Puerto de la Cruz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638175</xdr:colOff>
      <xdr:row>1</xdr:row>
      <xdr:rowOff>180975</xdr:rowOff>
    </xdr:from>
    <xdr:to>
      <xdr:col>11</xdr:col>
      <xdr:colOff>28575</xdr:colOff>
      <xdr:row>24</xdr:row>
      <xdr:rowOff>171450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6A7FEDC6-3581-4452-A16E-CE3E7BE0F0F5}"/>
            </a:ext>
          </a:extLst>
        </xdr:cNvPr>
        <xdr:cNvGrpSpPr/>
      </xdr:nvGrpSpPr>
      <xdr:grpSpPr>
        <a:xfrm>
          <a:off x="638175" y="37147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5ACFE6BE-E447-8ADF-256B-257280227A6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79E45505-1347-D4F1-4B6E-BDC9C566AA29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marL="0" indent="0" algn="ctr" rtl="0">
              <a:defRPr sz="1000"/>
            </a:pPr>
            <a:r>
              <a:rPr lang="es-ES" sz="48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Estimación oferta hoteles y apartamentos en funcionamiento</a:t>
            </a:r>
          </a:p>
        </xdr:txBody>
      </xdr:sp>
    </xdr:grp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D0DE5A3-D375-423B-B560-B0079CF965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AD7E034D-9927-4568-81A1-91E2CE51BC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12</xdr:col>
      <xdr:colOff>476250</xdr:colOff>
      <xdr:row>2</xdr:row>
      <xdr:rowOff>161925</xdr:rowOff>
    </xdr:from>
    <xdr:to>
      <xdr:col>35</xdr:col>
      <xdr:colOff>148590</xdr:colOff>
      <xdr:row>25</xdr:row>
      <xdr:rowOff>139065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6C099A68-6822-478D-BB61-C2B8F9048D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 apt'!$N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80BF2DB-21EF-4E40-A211-5A420E4ABD3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apartamentos de Puerto de la Cruz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9525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DD49AC9-9AE9-462C-9902-64D03F48E1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858520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1A4C5DBA-29ED-4B33-B44F-60E21962D7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6745" cy="514631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F76A6E5-2BDB-4DA6-AAAF-0CFE0ECF1F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2E93E241-BE48-433F-B620-06C64F410E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695325</xdr:colOff>
      <xdr:row>2</xdr:row>
      <xdr:rowOff>28575</xdr:rowOff>
    </xdr:from>
    <xdr:to>
      <xdr:col>11</xdr:col>
      <xdr:colOff>85725</xdr:colOff>
      <xdr:row>25</xdr:row>
      <xdr:rowOff>19050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DAE402DB-96F4-4C0F-A39D-E74C0D2D1F6B}"/>
            </a:ext>
          </a:extLst>
        </xdr:cNvPr>
        <xdr:cNvGrpSpPr/>
      </xdr:nvGrpSpPr>
      <xdr:grpSpPr>
        <a:xfrm>
          <a:off x="695325" y="40957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C6902653-457F-D8B4-BCCE-78B7DBC8631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C76AAA5D-10E7-E29C-21A0-2AE423084D67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765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Viajeros alojados en hoteles y apartamentos</a:t>
            </a:r>
          </a:p>
        </xdr:txBody>
      </xdr:sp>
    </xdr:grp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E5F8F76-42B8-45E4-94AC-2603D729BB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AEBF746F-BA86-4934-95F7-FAB8A5479B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24</xdr:col>
      <xdr:colOff>190499</xdr:colOff>
      <xdr:row>1</xdr:row>
      <xdr:rowOff>28575</xdr:rowOff>
    </xdr:from>
    <xdr:to>
      <xdr:col>37</xdr:col>
      <xdr:colOff>28575</xdr:colOff>
      <xdr:row>24</xdr:row>
      <xdr:rowOff>5715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CCC5EA85-1502-4126-831B-E815DA16B1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alojados lugar residen acu'!$O$4:$X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187FA05-E7EC-492D-8F75-A46E8AF659B7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alojados en los establecimientos alojativos de Puerto de la Cruz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2</xdr:row>
      <xdr:rowOff>57150</xdr:rowOff>
    </xdr:from>
    <xdr:to>
      <xdr:col>11</xdr:col>
      <xdr:colOff>190500</xdr:colOff>
      <xdr:row>25</xdr:row>
      <xdr:rowOff>47625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869489D9-EFF9-4DBC-AA88-D7DBE6ACF228}"/>
            </a:ext>
          </a:extLst>
        </xdr:cNvPr>
        <xdr:cNvGrpSpPr/>
      </xdr:nvGrpSpPr>
      <xdr:grpSpPr>
        <a:xfrm>
          <a:off x="800100" y="43815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CB7E0BD9-CE1F-0703-E0F6-E3F3865050C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6D163C33-8D98-7AF9-120F-E0D29F6F8C37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765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Pernoctaciones en hoteles y apartamentos</a:t>
            </a:r>
          </a:p>
        </xdr:txBody>
      </xdr:sp>
    </xdr:grp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428624</xdr:colOff>
      <xdr:row>2</xdr:row>
      <xdr:rowOff>114299</xdr:rowOff>
    </xdr:from>
    <xdr:to>
      <xdr:col>25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3B05BAF0-ADD6-4191-A84D-BEEB554A8F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849630</xdr:colOff>
      <xdr:row>4</xdr:row>
      <xdr:rowOff>91440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28E51FC-FC9B-4A59-919B-4BCFAC280E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3905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102870</xdr:colOff>
      <xdr:row>2</xdr:row>
      <xdr:rowOff>129821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6290F056-B36F-4119-8A4E-767F3D6B63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4045" cy="510821"/>
        </a:xfrm>
        <a:prstGeom prst="rect">
          <a:avLst/>
        </a:prstGeom>
      </xdr:spPr>
    </xdr:pic>
    <xdr:clientData/>
  </xdr:twoCellAnchor>
  <xdr:twoCellAnchor>
    <xdr:from>
      <xdr:col>14</xdr:col>
      <xdr:colOff>323850</xdr:colOff>
      <xdr:row>25</xdr:row>
      <xdr:rowOff>76200</xdr:rowOff>
    </xdr:from>
    <xdr:to>
      <xdr:col>25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D391C9B8-EB50-42EF-A5A3-8131D7713F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676275</xdr:colOff>
      <xdr:row>46</xdr:row>
      <xdr:rowOff>142875</xdr:rowOff>
    </xdr:from>
    <xdr:to>
      <xdr:col>25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27FB4C0A-3EB5-4F43-9E2A-658D4C0935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0</xdr:colOff>
      <xdr:row>69</xdr:row>
      <xdr:rowOff>0</xdr:rowOff>
    </xdr:from>
    <xdr:to>
      <xdr:col>25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D050B6E2-8B77-436E-9837-99DCFC9DC2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57150</xdr:colOff>
      <xdr:row>90</xdr:row>
      <xdr:rowOff>76200</xdr:rowOff>
    </xdr:from>
    <xdr:to>
      <xdr:col>25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BB78B041-0753-4111-BD1A-D04C04FC9B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15</xdr:col>
      <xdr:colOff>76200</xdr:colOff>
      <xdr:row>112</xdr:row>
      <xdr:rowOff>180975</xdr:rowOff>
    </xdr:from>
    <xdr:to>
      <xdr:col>25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401C7AD6-14EC-49A2-838F-F96B8D620E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15</xdr:col>
      <xdr:colOff>38100</xdr:colOff>
      <xdr:row>135</xdr:row>
      <xdr:rowOff>0</xdr:rowOff>
    </xdr:from>
    <xdr:to>
      <xdr:col>25</xdr:col>
      <xdr:colOff>698100</xdr:colOff>
      <xdr:row>155</xdr:row>
      <xdr:rowOff>104776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348A4311-E962-4CE3-BB90-9530039E76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15</xdr:col>
      <xdr:colOff>38100</xdr:colOff>
      <xdr:row>156</xdr:row>
      <xdr:rowOff>171450</xdr:rowOff>
    </xdr:from>
    <xdr:to>
      <xdr:col>25</xdr:col>
      <xdr:colOff>698100</xdr:colOff>
      <xdr:row>177</xdr:row>
      <xdr:rowOff>85726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DF1DB5BB-DFE4-48FA-9FCE-9A1B921573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14</xdr:col>
      <xdr:colOff>752475</xdr:colOff>
      <xdr:row>179</xdr:row>
      <xdr:rowOff>104775</xdr:rowOff>
    </xdr:from>
    <xdr:to>
      <xdr:col>25</xdr:col>
      <xdr:colOff>650475</xdr:colOff>
      <xdr:row>200</xdr:row>
      <xdr:rowOff>19051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C00D86F7-AA62-4B93-B4BA-358ABF63A2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14</xdr:col>
      <xdr:colOff>609600</xdr:colOff>
      <xdr:row>201</xdr:row>
      <xdr:rowOff>0</xdr:rowOff>
    </xdr:from>
    <xdr:to>
      <xdr:col>25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4F6F5DE7-55EC-4C40-B499-DF2B6755B2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15</xdr:col>
      <xdr:colOff>19050</xdr:colOff>
      <xdr:row>223</xdr:row>
      <xdr:rowOff>0</xdr:rowOff>
    </xdr:from>
    <xdr:to>
      <xdr:col>25</xdr:col>
      <xdr:colOff>679050</xdr:colOff>
      <xdr:row>243</xdr:row>
      <xdr:rowOff>66676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9143FDBD-C3C2-4225-9232-D58634D024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15</xdr:col>
      <xdr:colOff>0</xdr:colOff>
      <xdr:row>249</xdr:row>
      <xdr:rowOff>0</xdr:rowOff>
    </xdr:from>
    <xdr:to>
      <xdr:col>25</xdr:col>
      <xdr:colOff>660000</xdr:colOff>
      <xdr:row>269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8F8B7EA4-B889-4502-80E0-8DA9F62E43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</xdr:wsDr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establecimientos alojativos de Puerto de la Cruz (hotel + apartamento)</a:t>
          </a:fld>
          <a:endParaRPr lang="es-ES" sz="1100"/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190500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B2D2477-D449-4512-BE4B-E862EFB326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D965022-BF85-4E3B-A0AF-A264DB4680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42625F48-03DB-4BED-90CA-7D2EDBF71D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españoles en los establecimientos alojativos de Puerto de la Cruz (hotel + apartamento)</a:t>
          </a:fld>
          <a:endParaRPr lang="es-ES" sz="1100"/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Península en los establecimientos alojativos de Puerto de la Cruz (hotel + apartamento)</a:t>
          </a:fld>
          <a:endParaRPr lang="es-ES" sz="1100"/>
        </a:p>
      </cdr:txBody>
    </cdr: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70:$N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Canarias en los establecimientos alojativos de Puerto de la Cruz (hotel + apartamento)</a:t>
          </a:fld>
          <a:endParaRPr lang="es-ES" sz="1100"/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92:$N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Total residentes en el extranjero en los establecimientos alojativos de Puerto de la Cruz (hotel + apartamento)</a:t>
          </a:fld>
          <a:endParaRPr lang="es-ES" sz="1100"/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14:$N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Reino Unido en los establecimientos alojativos de Puerto de la Cruz (hotel + apartamento)</a:t>
          </a:fld>
          <a:endParaRPr lang="es-ES" sz="1100"/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36:$N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Alemania en los establecimientos alojativos de Puerto de la Cruz (hotel + apartamento)</a:t>
          </a:fld>
          <a:endParaRPr lang="es-ES" sz="1100"/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58:$N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Francia en los establecimientos alojativos de Puerto de la Cruz (hotel + apartamento)</a:t>
          </a:fld>
          <a:endParaRPr lang="es-ES" sz="1100"/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80:$N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Bélgica en los establecimientos alojativos de Puerto de la Cruz (hotel + apartamento)</a:t>
          </a:fld>
          <a:endParaRPr lang="es-ES" sz="1100"/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02:$N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Países Bajos en los establecimientos alojativos de Puerto de la Cruz (hotel + apartamento)</a:t>
          </a:fld>
          <a:endParaRPr lang="es-ES" sz="1100"/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24:$N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99087FA-C4E9-4D1C-A811-CCBF4BDBA11C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Dinamarca en los establecimientos alojativos de Puerto de la Cruz (hotel + apartamento)</a:t>
          </a:fld>
          <a:endParaRPr lang="es-ES" sz="1100"/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190500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1E629F8-D6DB-4EB0-801A-BBA8DDCBDB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59F5ABB7-291D-492A-980E-F366A16D87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265E1AA1-4C02-4C44-AF31-EF54AD7896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50:$N$25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2BE389B-CCFC-40C6-BAAE-B88837C1348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Suecia en los establecimientos alojativos de Puerto de la Cruz (hotel + apartamento)</a:t>
          </a:fld>
          <a:endParaRPr lang="es-ES" sz="1100"/>
        </a:p>
      </cdr:txBody>
    </cdr:sp>
  </cdr:relSizeAnchor>
</c:userShapes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428624</xdr:colOff>
      <xdr:row>2</xdr:row>
      <xdr:rowOff>114299</xdr:rowOff>
    </xdr:from>
    <xdr:to>
      <xdr:col>25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B48B06B4-F00B-4D59-BE07-9CE73CBDD5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853440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F5EDB4F6-B36E-4BF8-B8CA-82DDEAEA51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7715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93345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271D5A34-18F5-41E5-9674-69AB663E21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4520" cy="514631"/>
        </a:xfrm>
        <a:prstGeom prst="rect">
          <a:avLst/>
        </a:prstGeom>
      </xdr:spPr>
    </xdr:pic>
    <xdr:clientData/>
  </xdr:twoCellAnchor>
  <xdr:twoCellAnchor>
    <xdr:from>
      <xdr:col>14</xdr:col>
      <xdr:colOff>323850</xdr:colOff>
      <xdr:row>25</xdr:row>
      <xdr:rowOff>76200</xdr:rowOff>
    </xdr:from>
    <xdr:to>
      <xdr:col>25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B84B71AB-C746-4E1E-9989-FF80C08543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676275</xdr:colOff>
      <xdr:row>46</xdr:row>
      <xdr:rowOff>142875</xdr:rowOff>
    </xdr:from>
    <xdr:to>
      <xdr:col>25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1F025CF1-BF33-4D58-9E0A-BA6460C9D9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0</xdr:colOff>
      <xdr:row>69</xdr:row>
      <xdr:rowOff>0</xdr:rowOff>
    </xdr:from>
    <xdr:to>
      <xdr:col>25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6EC604C7-C8B1-438C-9897-662CF50390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38100</xdr:colOff>
      <xdr:row>91</xdr:row>
      <xdr:rowOff>0</xdr:rowOff>
    </xdr:from>
    <xdr:to>
      <xdr:col>25</xdr:col>
      <xdr:colOff>698100</xdr:colOff>
      <xdr:row>111</xdr:row>
      <xdr:rowOff>85726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E1B5B7E9-CA0B-4416-91DB-5D83F8AA16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establecimientos alojativos de Puerto de la Cruz (hotel + apartamento)</a:t>
          </a:fld>
          <a:endParaRPr lang="es-ES" sz="1100"/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hoteles de Puerto de la Cruz</a:t>
          </a:fld>
          <a:endParaRPr lang="es-ES" sz="1100"/>
        </a:p>
      </cdr:txBody>
    </cdr: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hoteles de 4 y 5 estrellas de Puerto de la Cruz</a:t>
          </a:fld>
          <a:endParaRPr lang="es-ES" sz="1100"/>
        </a:p>
      </cdr:txBody>
    </cdr:sp>
  </cdr:relSizeAnchor>
  <cdr:relSizeAnchor xmlns:cdr="http://schemas.openxmlformats.org/drawingml/2006/chartDrawing">
    <cdr:from>
      <cdr:x>0.01304</cdr:x>
      <cdr:y>0.91106</cdr:y>
    </cdr:from>
    <cdr:to>
      <cdr:x>0.5285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3D3C7B1-03F3-939E-B177-216861D69B8A}"/>
            </a:ext>
          </a:extLst>
        </cdr:cNvPr>
        <cdr:cNvSpPr txBox="1"/>
      </cdr:nvSpPr>
      <cdr:spPr>
        <a:xfrm xmlns:a="http://schemas.openxmlformats.org/drawingml/2006/main">
          <a:off x="107950" y="4000501"/>
          <a:ext cx="4268009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2022 no se publicó la desagregación por categorías en las Islas</a:t>
          </a:r>
        </a:p>
      </cdr:txBody>
    </cdr: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70:$N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hoteles de 1, 2, 3 estrellas de Puerto de la Cruz</a:t>
          </a:fld>
          <a:endParaRPr lang="es-ES" sz="1100"/>
        </a:p>
      </cdr:txBody>
    </cdr: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92:$N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apartamentos de Puerto de la Cruz</a:t>
          </a:fld>
          <a:endParaRPr lang="es-ES" sz="1100"/>
        </a:p>
      </cdr:txBody>
    </cdr:sp>
  </cdr:relSizeAnchor>
</c:userShapes>
</file>

<file path=xl/drawings/drawing6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D370230-0B3E-4641-A17B-95CD5B8D2F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F41BF203-E1EA-4057-883F-08B855BB76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DBDCDDD-3658-4C33-A6C8-A96B50A182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F498910F-5A52-4752-8C91-540DD0FE76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3</xdr:row>
      <xdr:rowOff>0</xdr:rowOff>
    </xdr:from>
    <xdr:to>
      <xdr:col>11</xdr:col>
      <xdr:colOff>161925</xdr:colOff>
      <xdr:row>25</xdr:row>
      <xdr:rowOff>180975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DD633756-89EE-4AE3-9EBA-688A611BF4D5}"/>
            </a:ext>
          </a:extLst>
        </xdr:cNvPr>
        <xdr:cNvGrpSpPr/>
      </xdr:nvGrpSpPr>
      <xdr:grpSpPr>
        <a:xfrm>
          <a:off x="771525" y="57150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62009CE8-BB14-F974-5E77-FDCD6E7FAC8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C4204224-A155-D419-2B75-FEDD74F88639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384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Estancia media en hoteles y apartamentos</a:t>
            </a:r>
          </a:p>
        </xdr:txBody>
      </xdr:sp>
    </xdr:grp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</xdr:row>
      <xdr:rowOff>161925</xdr:rowOff>
    </xdr:from>
    <xdr:to>
      <xdr:col>11</xdr:col>
      <xdr:colOff>180975</xdr:colOff>
      <xdr:row>24</xdr:row>
      <xdr:rowOff>152400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AF81DF69-958A-4DE7-BA11-B858DA56F2EE}"/>
            </a:ext>
          </a:extLst>
        </xdr:cNvPr>
        <xdr:cNvGrpSpPr/>
      </xdr:nvGrpSpPr>
      <xdr:grpSpPr>
        <a:xfrm>
          <a:off x="790575" y="35242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C4D8ED8C-16B1-1000-4029-28E861C6D5E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8AF6FCCD-2593-8E18-E242-0A6EB0CD151E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575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Viajeros entrados en hoteles y apartamentos</a:t>
            </a:r>
          </a:p>
        </xdr:txBody>
      </xdr:sp>
    </xdr:grpSp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428624</xdr:colOff>
      <xdr:row>2</xdr:row>
      <xdr:rowOff>114299</xdr:rowOff>
    </xdr:from>
    <xdr:to>
      <xdr:col>25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E38D6A3A-4B70-433B-AA41-4728C3BE18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857250</xdr:colOff>
      <xdr:row>4</xdr:row>
      <xdr:rowOff>91440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5E2A935-407A-4822-A5B0-14484EBE27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71525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97155</xdr:colOff>
      <xdr:row>2</xdr:row>
      <xdr:rowOff>129821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5568DEEE-96F8-4708-9B8D-8EA8EA7707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8330" cy="510821"/>
        </a:xfrm>
        <a:prstGeom prst="rect">
          <a:avLst/>
        </a:prstGeom>
      </xdr:spPr>
    </xdr:pic>
    <xdr:clientData/>
  </xdr:twoCellAnchor>
  <xdr:twoCellAnchor>
    <xdr:from>
      <xdr:col>14</xdr:col>
      <xdr:colOff>323850</xdr:colOff>
      <xdr:row>25</xdr:row>
      <xdr:rowOff>76200</xdr:rowOff>
    </xdr:from>
    <xdr:to>
      <xdr:col>25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E20DBEBE-1065-49DC-ACFC-8703EC4485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676275</xdr:colOff>
      <xdr:row>46</xdr:row>
      <xdr:rowOff>142875</xdr:rowOff>
    </xdr:from>
    <xdr:to>
      <xdr:col>26</xdr:col>
      <xdr:colOff>9525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B5DA72FC-58D5-4A4D-9CF2-F67168AD85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0</xdr:colOff>
      <xdr:row>69</xdr:row>
      <xdr:rowOff>0</xdr:rowOff>
    </xdr:from>
    <xdr:to>
      <xdr:col>25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AFABC759-517B-4529-BF35-B2808E171E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57150</xdr:colOff>
      <xdr:row>90</xdr:row>
      <xdr:rowOff>76200</xdr:rowOff>
    </xdr:from>
    <xdr:to>
      <xdr:col>25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027542E2-2E71-4730-B995-067D1913C4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15</xdr:col>
      <xdr:colOff>76200</xdr:colOff>
      <xdr:row>112</xdr:row>
      <xdr:rowOff>180975</xdr:rowOff>
    </xdr:from>
    <xdr:to>
      <xdr:col>25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04E6E18F-6865-4FEC-BADE-A69C843E84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15</xdr:col>
      <xdr:colOff>285749</xdr:colOff>
      <xdr:row>134</xdr:row>
      <xdr:rowOff>66676</xdr:rowOff>
    </xdr:from>
    <xdr:to>
      <xdr:col>26</xdr:col>
      <xdr:colOff>28575</xdr:colOff>
      <xdr:row>154</xdr:row>
      <xdr:rowOff>9526</xdr:rowOff>
    </xdr:to>
    <xdr:graphicFrame macro="">
      <xdr:nvGraphicFramePr>
        <xdr:cNvPr id="10" name="Gráfico 40">
          <a:extLst>
            <a:ext uri="{FF2B5EF4-FFF2-40B4-BE49-F238E27FC236}">
              <a16:creationId xmlns:a16="http://schemas.microsoft.com/office/drawing/2014/main" id="{76D9F046-33CB-422B-9FD0-7B3450308B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15</xdr:col>
      <xdr:colOff>0</xdr:colOff>
      <xdr:row>157</xdr:row>
      <xdr:rowOff>323850</xdr:rowOff>
    </xdr:from>
    <xdr:to>
      <xdr:col>25</xdr:col>
      <xdr:colOff>664762</xdr:colOff>
      <xdr:row>179</xdr:row>
      <xdr:rowOff>57151</xdr:rowOff>
    </xdr:to>
    <xdr:graphicFrame macro="">
      <xdr:nvGraphicFramePr>
        <xdr:cNvPr id="11" name="Gráfico 41">
          <a:extLst>
            <a:ext uri="{FF2B5EF4-FFF2-40B4-BE49-F238E27FC236}">
              <a16:creationId xmlns:a16="http://schemas.microsoft.com/office/drawing/2014/main" id="{B4AC8903-A872-471F-AFCB-D1FFFD88A9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14</xdr:col>
      <xdr:colOff>752475</xdr:colOff>
      <xdr:row>179</xdr:row>
      <xdr:rowOff>104775</xdr:rowOff>
    </xdr:from>
    <xdr:to>
      <xdr:col>25</xdr:col>
      <xdr:colOff>650475</xdr:colOff>
      <xdr:row>200</xdr:row>
      <xdr:rowOff>19051</xdr:rowOff>
    </xdr:to>
    <xdr:graphicFrame macro="">
      <xdr:nvGraphicFramePr>
        <xdr:cNvPr id="12" name="Gráfico 43">
          <a:extLst>
            <a:ext uri="{FF2B5EF4-FFF2-40B4-BE49-F238E27FC236}">
              <a16:creationId xmlns:a16="http://schemas.microsoft.com/office/drawing/2014/main" id="{B36A3FEA-AFB9-4B72-853E-B471F00F1D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14</xdr:col>
      <xdr:colOff>609600</xdr:colOff>
      <xdr:row>201</xdr:row>
      <xdr:rowOff>0</xdr:rowOff>
    </xdr:from>
    <xdr:to>
      <xdr:col>25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372D7977-DF2D-47FD-AAFB-058C205455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15</xdr:col>
      <xdr:colOff>0</xdr:colOff>
      <xdr:row>223</xdr:row>
      <xdr:rowOff>0</xdr:rowOff>
    </xdr:from>
    <xdr:to>
      <xdr:col>25</xdr:col>
      <xdr:colOff>660000</xdr:colOff>
      <xdr:row>243</xdr:row>
      <xdr:rowOff>104776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BC0C8DAF-9525-4431-BFF2-22ABBB3637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15</xdr:col>
      <xdr:colOff>0</xdr:colOff>
      <xdr:row>245</xdr:row>
      <xdr:rowOff>0</xdr:rowOff>
    </xdr:from>
    <xdr:to>
      <xdr:col>25</xdr:col>
      <xdr:colOff>660000</xdr:colOff>
      <xdr:row>265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ADD23A61-E0D3-4C58-8D39-A2A73029DE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15</xdr:col>
      <xdr:colOff>0</xdr:colOff>
      <xdr:row>267</xdr:row>
      <xdr:rowOff>0</xdr:rowOff>
    </xdr:from>
    <xdr:to>
      <xdr:col>25</xdr:col>
      <xdr:colOff>660000</xdr:colOff>
      <xdr:row>287</xdr:row>
      <xdr:rowOff>104776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EA26A4AE-1910-4626-81EF-9D5B52EBE5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</xdr:wsDr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0.00373</cdr:x>
      <cdr:y>0.00391</cdr:y>
    </cdr:from>
    <cdr:to>
      <cdr:x>0.97796</cdr:x>
      <cdr:y>0.1721</cdr:y>
    </cdr:to>
    <cdr:sp macro="" textlink="'EM evol menusual lugar resd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32657" y="16690"/>
          <a:ext cx="8533252" cy="71793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establecimientos alojativos de Puerto de la Cruz
(hotel + apartamento)</a:t>
          </a:fld>
          <a:endParaRPr lang="es-ES" sz="1100"/>
        </a:p>
      </cdr:txBody>
    </cdr: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0.99276</cdr:x>
      <cdr:y>0.1721</cdr:y>
    </cdr:to>
    <cdr:sp macro="" textlink="'EM evol menusual lugar resd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2007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españoles entrados en los establecimientos alojativos de Puerto de la Cruz (hotel + apartamento)</a:t>
          </a:fld>
          <a:endParaRPr lang="es-ES" sz="1100"/>
        </a:p>
      </cdr:txBody>
    </cdr: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0.99736</cdr:x>
      <cdr:y>0.1721</cdr:y>
    </cdr:to>
    <cdr:sp macro="" textlink="'EM evol menusual lugar resd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5817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peninsulares entrados en los establecimientos alojativos de Puerto de la Cruz (hotel + apartamento)</a:t>
          </a:fld>
          <a:endParaRPr lang="es-ES" sz="1100"/>
        </a:p>
      </cdr:txBody>
    </cdr: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70:$N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canarios entrados en los establecimientos alojativos de Puerto de la Cruz (hotel + apartamento)</a:t>
          </a:fld>
          <a:endParaRPr lang="es-ES" sz="1100"/>
        </a:p>
      </cdr:txBody>
    </cdr: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0.99046</cdr:x>
      <cdr:y>0.1721</cdr:y>
    </cdr:to>
    <cdr:sp macro="" textlink="'EM evol menusual lugar resd'!$B$92:$N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0102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extranjeros entrados en los establecimientos alojativos de Puerto de la Cruz (hotel + apartamento)</a:t>
          </a:fld>
          <a:endParaRPr lang="es-ES" sz="1100"/>
        </a:p>
      </cdr:txBody>
    </cdr: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0.99046</cdr:x>
      <cdr:y>0.1721</cdr:y>
    </cdr:to>
    <cdr:sp macro="" textlink="'EM evol menusual lugar resd'!$B$114:$N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0102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británicos entrados en los establecimientos alojativos de Puerto de la Cruz (hotel + apartamento)</a:t>
          </a:fld>
          <a:endParaRPr lang="es-ES" sz="1100"/>
        </a:p>
      </cdr:txBody>
    </cdr: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0.00108</cdr:x>
      <cdr:y>0.96197</cdr:y>
    </cdr:from>
    <cdr:to>
      <cdr:x>0.51654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9525" y="4315662"/>
          <a:ext cx="4565049" cy="1706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0.9957</cdr:x>
      <cdr:y>0.14865</cdr:y>
    </cdr:to>
    <cdr:sp macro="" textlink="'EM evol menusual lugar resd'!$B$136:$N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6536"/>
          <a:ext cx="7729496" cy="6121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alemanes entrados en los establecimientos alojativos de Puerto de la Cruz (hotel + apartamento)</a:t>
          </a:fld>
          <a:endParaRPr lang="es-ES" sz="1100"/>
        </a:p>
      </cdr:txBody>
    </cdr: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158:$N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franceses entrados en los establecimientos alojativos de Puerto de la Cruz (hotel + apartamento)</a:t>
          </a:fld>
          <a:endParaRPr lang="es-ES" sz="1100"/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180:$N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belgas entrados en los establecimientos alojativos de Puerto de la Cruz (hotel + apartamento)</a:t>
          </a:fld>
          <a:endParaRPr lang="es-ES" sz="1100"/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428624</xdr:colOff>
      <xdr:row>2</xdr:row>
      <xdr:rowOff>114299</xdr:rowOff>
    </xdr:from>
    <xdr:to>
      <xdr:col>25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C3D689A8-C900-4E39-98E6-24EC5A92BC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857250</xdr:colOff>
      <xdr:row>4</xdr:row>
      <xdr:rowOff>91440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69DA81B-F5AC-4786-B504-F968CF6AE1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71525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97155</xdr:colOff>
      <xdr:row>2</xdr:row>
      <xdr:rowOff>129821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D80E8347-C4F1-412B-B24F-C07070106A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8330" cy="510821"/>
        </a:xfrm>
        <a:prstGeom prst="rect">
          <a:avLst/>
        </a:prstGeom>
      </xdr:spPr>
    </xdr:pic>
    <xdr:clientData/>
  </xdr:twoCellAnchor>
  <xdr:twoCellAnchor>
    <xdr:from>
      <xdr:col>14</xdr:col>
      <xdr:colOff>323850</xdr:colOff>
      <xdr:row>25</xdr:row>
      <xdr:rowOff>76200</xdr:rowOff>
    </xdr:from>
    <xdr:to>
      <xdr:col>25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EE56E963-CD53-447A-83D4-3D9C986129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676275</xdr:colOff>
      <xdr:row>46</xdr:row>
      <xdr:rowOff>142875</xdr:rowOff>
    </xdr:from>
    <xdr:to>
      <xdr:col>25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81C709B8-7CD7-4FA5-B7C3-19A0FA21D6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0</xdr:colOff>
      <xdr:row>69</xdr:row>
      <xdr:rowOff>0</xdr:rowOff>
    </xdr:from>
    <xdr:to>
      <xdr:col>25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EC895F57-9943-4EEE-9568-CAB9007230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57150</xdr:colOff>
      <xdr:row>90</xdr:row>
      <xdr:rowOff>76200</xdr:rowOff>
    </xdr:from>
    <xdr:to>
      <xdr:col>25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191ACE5D-D183-4D8E-93F0-E9C05ADB39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15</xdr:col>
      <xdr:colOff>76200</xdr:colOff>
      <xdr:row>112</xdr:row>
      <xdr:rowOff>180975</xdr:rowOff>
    </xdr:from>
    <xdr:to>
      <xdr:col>25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F4168C89-4055-4C66-92DD-5551290E6A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15</xdr:col>
      <xdr:colOff>619124</xdr:colOff>
      <xdr:row>134</xdr:row>
      <xdr:rowOff>95251</xdr:rowOff>
    </xdr:from>
    <xdr:to>
      <xdr:col>26</xdr:col>
      <xdr:colOff>0</xdr:colOff>
      <xdr:row>154</xdr:row>
      <xdr:rowOff>38101</xdr:rowOff>
    </xdr:to>
    <xdr:graphicFrame macro="">
      <xdr:nvGraphicFramePr>
        <xdr:cNvPr id="10" name="Gráfico 40">
          <a:extLst>
            <a:ext uri="{FF2B5EF4-FFF2-40B4-BE49-F238E27FC236}">
              <a16:creationId xmlns:a16="http://schemas.microsoft.com/office/drawing/2014/main" id="{0A0E481E-9C9C-4A9A-983E-4801D2CE23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15</xdr:col>
      <xdr:colOff>0</xdr:colOff>
      <xdr:row>157</xdr:row>
      <xdr:rowOff>323850</xdr:rowOff>
    </xdr:from>
    <xdr:to>
      <xdr:col>25</xdr:col>
      <xdr:colOff>664762</xdr:colOff>
      <xdr:row>179</xdr:row>
      <xdr:rowOff>57151</xdr:rowOff>
    </xdr:to>
    <xdr:graphicFrame macro="">
      <xdr:nvGraphicFramePr>
        <xdr:cNvPr id="11" name="Gráfico 41">
          <a:extLst>
            <a:ext uri="{FF2B5EF4-FFF2-40B4-BE49-F238E27FC236}">
              <a16:creationId xmlns:a16="http://schemas.microsoft.com/office/drawing/2014/main" id="{6F8820AB-916F-4150-B15E-06CE0B23D4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14</xdr:col>
      <xdr:colOff>752475</xdr:colOff>
      <xdr:row>179</xdr:row>
      <xdr:rowOff>104775</xdr:rowOff>
    </xdr:from>
    <xdr:to>
      <xdr:col>25</xdr:col>
      <xdr:colOff>650475</xdr:colOff>
      <xdr:row>200</xdr:row>
      <xdr:rowOff>19051</xdr:rowOff>
    </xdr:to>
    <xdr:graphicFrame macro="">
      <xdr:nvGraphicFramePr>
        <xdr:cNvPr id="12" name="Gráfico 43">
          <a:extLst>
            <a:ext uri="{FF2B5EF4-FFF2-40B4-BE49-F238E27FC236}">
              <a16:creationId xmlns:a16="http://schemas.microsoft.com/office/drawing/2014/main" id="{09280F4A-D6CC-4365-8D26-01AD9BA26C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14</xdr:col>
      <xdr:colOff>609600</xdr:colOff>
      <xdr:row>201</xdr:row>
      <xdr:rowOff>0</xdr:rowOff>
    </xdr:from>
    <xdr:to>
      <xdr:col>25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28D24E32-0784-47B6-BD4A-3B1D2C4651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15</xdr:col>
      <xdr:colOff>0</xdr:colOff>
      <xdr:row>223</xdr:row>
      <xdr:rowOff>0</xdr:rowOff>
    </xdr:from>
    <xdr:to>
      <xdr:col>25</xdr:col>
      <xdr:colOff>660000</xdr:colOff>
      <xdr:row>243</xdr:row>
      <xdr:rowOff>104776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F5C9FF76-D92C-4630-BEDE-834EF5F6DE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15</xdr:col>
      <xdr:colOff>0</xdr:colOff>
      <xdr:row>245</xdr:row>
      <xdr:rowOff>0</xdr:rowOff>
    </xdr:from>
    <xdr:to>
      <xdr:col>25</xdr:col>
      <xdr:colOff>660000</xdr:colOff>
      <xdr:row>265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3C6A4372-AFDB-4D5B-9C6B-3641D5F799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15</xdr:col>
      <xdr:colOff>0</xdr:colOff>
      <xdr:row>267</xdr:row>
      <xdr:rowOff>0</xdr:rowOff>
    </xdr:from>
    <xdr:to>
      <xdr:col>25</xdr:col>
      <xdr:colOff>660000</xdr:colOff>
      <xdr:row>287</xdr:row>
      <xdr:rowOff>104776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32491C7B-0BCC-4D48-9A07-3C1BD35E14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0.99391</cdr:x>
      <cdr:y>0.1721</cdr:y>
    </cdr:to>
    <cdr:sp macro="" textlink="'EM evol menusual lugar resd'!$B$202:$N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29600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holandeses entrados en los establecimientos alojativos de Puerto de la Cruz (hotel + apartamento)</a:t>
          </a:fld>
          <a:endParaRPr lang="es-ES" sz="1100"/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224:$N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F6DB970-8AF5-4ACF-8E05-A57BF76B1B5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belgas entrados en los establecimientos alojativos de Puerto de la Cruz (hotel + apartamento)</a:t>
          </a:fld>
          <a:endParaRPr lang="es-ES" sz="1100"/>
        </a:p>
      </cdr:txBody>
    </cdr: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246:$N$24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2BDA80-C0F4-4A01-9A5D-806E76A2736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daneses entrados en los establecimientos alojativos de Puerto de la Cruz (hotel + apartamento)</a:t>
          </a:fld>
          <a:endParaRPr lang="es-ES" sz="1100"/>
        </a:p>
      </cdr:txBody>
    </cdr: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268:$N$26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EDF55F-EC40-4CCB-8271-796B623DE44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suecos entrados en los establecimientos alojativos de Puerto de la Cruz (hotel + apartamento)</a:t>
          </a:fld>
          <a:endParaRPr lang="es-ES" sz="1100"/>
        </a:p>
      </cdr:txBody>
    </cdr:sp>
  </cdr:relSizeAnchor>
</c:userShapes>
</file>

<file path=xl/drawings/drawing84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409574</xdr:colOff>
      <xdr:row>2</xdr:row>
      <xdr:rowOff>142874</xdr:rowOff>
    </xdr:from>
    <xdr:to>
      <xdr:col>25</xdr:col>
      <xdr:colOff>307574</xdr:colOff>
      <xdr:row>23</xdr:row>
      <xdr:rowOff>57150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7D4506A2-B7AE-43D4-8CA6-023B45446E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853440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D5C5D898-E521-4333-A78C-63D8FF5011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7715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93345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2816064F-7F76-4A03-AF03-DA0C48151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4520" cy="514631"/>
        </a:xfrm>
        <a:prstGeom prst="rect">
          <a:avLst/>
        </a:prstGeom>
      </xdr:spPr>
    </xdr:pic>
    <xdr:clientData/>
  </xdr:twoCellAnchor>
  <xdr:twoCellAnchor>
    <xdr:from>
      <xdr:col>14</xdr:col>
      <xdr:colOff>342900</xdr:colOff>
      <xdr:row>25</xdr:row>
      <xdr:rowOff>114300</xdr:rowOff>
    </xdr:from>
    <xdr:to>
      <xdr:col>25</xdr:col>
      <xdr:colOff>240900</xdr:colOff>
      <xdr:row>46</xdr:row>
      <xdr:rowOff>28576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41DDA106-F1BA-431D-8B37-7E8CA6E935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676275</xdr:colOff>
      <xdr:row>46</xdr:row>
      <xdr:rowOff>142875</xdr:rowOff>
    </xdr:from>
    <xdr:to>
      <xdr:col>25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D231DB60-A040-4B36-801C-781CD4987E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0</xdr:colOff>
      <xdr:row>69</xdr:row>
      <xdr:rowOff>0</xdr:rowOff>
    </xdr:from>
    <xdr:to>
      <xdr:col>25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2E2420D4-73CD-4B07-A609-0C963B0C70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38100</xdr:colOff>
      <xdr:row>91</xdr:row>
      <xdr:rowOff>0</xdr:rowOff>
    </xdr:from>
    <xdr:to>
      <xdr:col>25</xdr:col>
      <xdr:colOff>698100</xdr:colOff>
      <xdr:row>111</xdr:row>
      <xdr:rowOff>85726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ED291823-0F28-4F65-84E0-02C715D5A9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establecimientos alojativos de Puerto de la Cruz
(hotel + apartamento)</a:t>
          </a:fld>
          <a:endParaRPr lang="es-ES" sz="1100"/>
        </a:p>
      </cdr:txBody>
    </cdr:sp>
  </cdr:relSizeAnchor>
</c:userShapes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hoteles de Puerto de la Cruz</a:t>
          </a:fld>
          <a:endParaRPr lang="es-ES" sz="1100"/>
        </a:p>
      </cdr:txBody>
    </cdr:sp>
  </cdr:relSizeAnchor>
</c:userShapes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hoteles de 4, 5 estrellas de Puerto de la Cruz</a:t>
          </a:fld>
          <a:endParaRPr lang="es-ES" sz="1100"/>
        </a:p>
      </cdr:txBody>
    </cdr:sp>
  </cdr:relSizeAnchor>
  <cdr:relSizeAnchor xmlns:cdr="http://schemas.openxmlformats.org/drawingml/2006/chartDrawing">
    <cdr:from>
      <cdr:x>0.01304</cdr:x>
      <cdr:y>0.91106</cdr:y>
    </cdr:from>
    <cdr:to>
      <cdr:x>0.5285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3D3C7B1-03F3-939E-B177-216861D69B8A}"/>
            </a:ext>
          </a:extLst>
        </cdr:cNvPr>
        <cdr:cNvSpPr txBox="1"/>
      </cdr:nvSpPr>
      <cdr:spPr>
        <a:xfrm xmlns:a="http://schemas.openxmlformats.org/drawingml/2006/main">
          <a:off x="107950" y="4000501"/>
          <a:ext cx="4268009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2022 no se publicó la desagregación por categorías en las Islas</a:t>
          </a:r>
        </a:p>
      </cdr:txBody>
    </cdr:sp>
  </cdr:relSizeAnchor>
</c:userShapes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70:$N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hoteles de 1, 2, 3 Estrellas de Puerto de la Cruz</a:t>
          </a:fld>
          <a:endParaRPr lang="es-ES" sz="1100"/>
        </a:p>
      </cdr:txBody>
    </cdr:sp>
  </cdr:relSizeAnchor>
</c:userShapes>
</file>

<file path=xl/drawings/drawing8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92:$N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apartamentos de Puerto de la Cruz</a:t>
          </a:fld>
          <a:endParaRPr lang="es-ES" sz="1100"/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0.00373</cdr:x>
      <cdr:y>0.00391</cdr:y>
    </cdr:from>
    <cdr:to>
      <cdr:x>0.97796</cdr:x>
      <cdr:y>0.1721</cdr:y>
    </cdr:to>
    <cdr:sp macro="" textlink="'Viajeros entr evol mensu TF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32657" y="16690"/>
          <a:ext cx="8533252" cy="71793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 entrados en los establecimientos alojativos de Puerto de la Cruz 
(hotel + apartamento)</a:t>
          </a:fld>
          <a:endParaRPr lang="es-ES" sz="1100"/>
        </a:p>
      </cdr:txBody>
    </cdr:sp>
  </cdr:relSizeAnchor>
</c:userShapes>
</file>

<file path=xl/drawings/drawing9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457200</xdr:colOff>
      <xdr:row>1</xdr:row>
      <xdr:rowOff>123825</xdr:rowOff>
    </xdr:from>
    <xdr:to>
      <xdr:col>10</xdr:col>
      <xdr:colOff>609600</xdr:colOff>
      <xdr:row>24</xdr:row>
      <xdr:rowOff>114300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ABFCDA24-0937-41AA-BBB5-D1AA1A506F0C}"/>
            </a:ext>
          </a:extLst>
        </xdr:cNvPr>
        <xdr:cNvGrpSpPr/>
      </xdr:nvGrpSpPr>
      <xdr:grpSpPr>
        <a:xfrm>
          <a:off x="457200" y="31432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74A9241C-5013-D5A8-1B94-844EF3DF545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A0EF5661-13D3-8834-E62E-22E1485812C9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384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Tasa de ocupación por plaza en hoteles y apartamentos</a:t>
            </a:r>
          </a:p>
        </xdr:txBody>
      </xdr:sp>
    </xdr:grpSp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704849</xdr:colOff>
      <xdr:row>3</xdr:row>
      <xdr:rowOff>104774</xdr:rowOff>
    </xdr:from>
    <xdr:to>
      <xdr:col>25</xdr:col>
      <xdr:colOff>621899</xdr:colOff>
      <xdr:row>22</xdr:row>
      <xdr:rowOff>167099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8E84718C-F14F-4069-912B-B006A5D2CE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228599</xdr:colOff>
      <xdr:row>91</xdr:row>
      <xdr:rowOff>419099</xdr:rowOff>
    </xdr:from>
    <xdr:to>
      <xdr:col>26</xdr:col>
      <xdr:colOff>126599</xdr:colOff>
      <xdr:row>112</xdr:row>
      <xdr:rowOff>100424</xdr:rowOff>
    </xdr:to>
    <xdr:graphicFrame macro="">
      <xdr:nvGraphicFramePr>
        <xdr:cNvPr id="3" name="Gráfico 8">
          <a:extLst>
            <a:ext uri="{FF2B5EF4-FFF2-40B4-BE49-F238E27FC236}">
              <a16:creationId xmlns:a16="http://schemas.microsoft.com/office/drawing/2014/main" id="{6FD213A1-23F2-4E83-9467-DA0D4690D2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15</xdr:col>
      <xdr:colOff>228599</xdr:colOff>
      <xdr:row>69</xdr:row>
      <xdr:rowOff>419099</xdr:rowOff>
    </xdr:from>
    <xdr:to>
      <xdr:col>26</xdr:col>
      <xdr:colOff>126599</xdr:colOff>
      <xdr:row>90</xdr:row>
      <xdr:rowOff>100424</xdr:rowOff>
    </xdr:to>
    <xdr:graphicFrame macro="">
      <xdr:nvGraphicFramePr>
        <xdr:cNvPr id="4" name="Gráfico 11">
          <a:extLst>
            <a:ext uri="{FF2B5EF4-FFF2-40B4-BE49-F238E27FC236}">
              <a16:creationId xmlns:a16="http://schemas.microsoft.com/office/drawing/2014/main" id="{4839121A-E8C0-4C72-B3C7-6A2EA6C0B5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19050</xdr:rowOff>
    </xdr:from>
    <xdr:to>
      <xdr:col>0</xdr:col>
      <xdr:colOff>857250</xdr:colOff>
      <xdr:row>4</xdr:row>
      <xdr:rowOff>59055</xdr:rowOff>
    </xdr:to>
    <xdr:pic>
      <xdr:nvPicPr>
        <xdr:cNvPr id="5" name="Imagen 4" descr="Iconos Png Gratis Resume Volver Icono Descarga Gratuita - Pump ...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AC26C771-6FB5-4D1B-93AA-5E25E7D9E9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85800"/>
          <a:ext cx="771525" cy="6591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97155</xdr:colOff>
      <xdr:row>2</xdr:row>
      <xdr:rowOff>34571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70C4614E-0AD3-4020-AD24-BE94971496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8330" cy="510821"/>
        </a:xfrm>
        <a:prstGeom prst="rect">
          <a:avLst/>
        </a:prstGeom>
      </xdr:spPr>
    </xdr:pic>
    <xdr:clientData/>
  </xdr:twoCellAnchor>
  <xdr:twoCellAnchor>
    <xdr:from>
      <xdr:col>14</xdr:col>
      <xdr:colOff>904875</xdr:colOff>
      <xdr:row>24</xdr:row>
      <xdr:rowOff>180975</xdr:rowOff>
    </xdr:from>
    <xdr:to>
      <xdr:col>26</xdr:col>
      <xdr:colOff>59925</xdr:colOff>
      <xdr:row>46</xdr:row>
      <xdr:rowOff>14700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FACA10E4-1E7F-41E9-A500-1ECCF06DC6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14</xdr:col>
      <xdr:colOff>838200</xdr:colOff>
      <xdr:row>47</xdr:row>
      <xdr:rowOff>114300</xdr:rowOff>
    </xdr:from>
    <xdr:to>
      <xdr:col>25</xdr:col>
      <xdr:colOff>755250</xdr:colOff>
      <xdr:row>68</xdr:row>
      <xdr:rowOff>138525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DDDD410F-A46A-4D63-83B8-1B2610A12F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0.00447</cdr:x>
      <cdr:y>0.00849</cdr:y>
    </cdr:from>
    <cdr:to>
      <cdr:x>0.9787</cdr:x>
      <cdr:y>0.17668</cdr:y>
    </cdr:to>
    <cdr:sp macro="" textlink="'tasa de ocupación evol mens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38100" y="35308"/>
          <a:ext cx="8307892" cy="69934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66CFC90-4DF6-4210-BB46-D250B73FFBF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Tasa de ocupación por plaza en los establecimientos alojativos de Puerto de la Cruz
(hotel + apartamento)</a:t>
          </a:fld>
          <a:endParaRPr lang="es-ES" sz="1100"/>
        </a:p>
      </cdr:txBody>
    </cdr:sp>
  </cdr:relSizeAnchor>
</c:userShapes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#REF!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D22729FC-E7B2-4A0C-AAE8-8BF44637D087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Tasa de ocupación en los apartamentos de Tenerife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#REF!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5FA83AF-8EEE-4570-A963-F3AE91B89BED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Tasa de ocupación en los hoteles de 4 estrellas de Tenerife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tasa de ocupación evol mens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277B92F-191F-48A0-813B-24B2E6B2EF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Tasa de ocupación por plaza en los hoteles de Puerto de la Cruz</a:t>
          </a:fld>
          <a:endParaRPr lang="es-ES" sz="1100"/>
        </a:p>
      </cdr:txBody>
    </cdr:sp>
  </cdr:relSizeAnchor>
</c:userShapes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tasa de ocupación evol mens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50D8823-FBC2-4B03-A811-E1EE0E7E4A1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Tasa de ocupación por plaza en los hoteles de 4, 5 Estrellas de Puerto de la Cruz</a:t>
          </a:fld>
          <a:endParaRPr lang="es-ES" sz="1100"/>
        </a:p>
      </cdr:txBody>
    </cdr:sp>
  </cdr:relSizeAnchor>
</c:userShapes>
</file>

<file path=xl/drawings/drawing9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342900</xdr:colOff>
      <xdr:row>2</xdr:row>
      <xdr:rowOff>0</xdr:rowOff>
    </xdr:from>
    <xdr:to>
      <xdr:col>10</xdr:col>
      <xdr:colOff>495300</xdr:colOff>
      <xdr:row>24</xdr:row>
      <xdr:rowOff>180975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D20CA49D-FFF4-45E4-9610-CF8477BED8D1}"/>
            </a:ext>
          </a:extLst>
        </xdr:cNvPr>
        <xdr:cNvGrpSpPr/>
      </xdr:nvGrpSpPr>
      <xdr:grpSpPr>
        <a:xfrm>
          <a:off x="342900" y="38100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A689D1CC-1D4E-E4A3-41B6-A573CDF0925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99F14DC0-85BA-B69B-5FE6-D0BDAE2DE185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Indicadores de rentabilidad alojativa</a:t>
            </a:r>
          </a:p>
        </xdr:txBody>
      </xdr:sp>
    </xdr:grpSp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1</xdr:row>
      <xdr:rowOff>66676</xdr:rowOff>
    </xdr:from>
    <xdr:to>
      <xdr:col>0</xdr:col>
      <xdr:colOff>838200</xdr:colOff>
      <xdr:row>4</xdr:row>
      <xdr:rowOff>257176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A798AE2-0CC7-4332-8661-7BA64E4705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609601"/>
          <a:ext cx="762000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847725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2C3B6DB9-CE1E-497E-8A2F-7DFF1D871C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342900</xdr:colOff>
      <xdr:row>2</xdr:row>
      <xdr:rowOff>0</xdr:rowOff>
    </xdr:from>
    <xdr:to>
      <xdr:col>10</xdr:col>
      <xdr:colOff>495300</xdr:colOff>
      <xdr:row>24</xdr:row>
      <xdr:rowOff>180975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CFF66D67-F5E8-4C97-9D93-6240A9E2052E}"/>
            </a:ext>
          </a:extLst>
        </xdr:cNvPr>
        <xdr:cNvGrpSpPr/>
      </xdr:nvGrpSpPr>
      <xdr:grpSpPr>
        <a:xfrm>
          <a:off x="342900" y="38100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114D9E80-7041-5195-0CC0-6F4472F8B0E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3CAC806F-8F36-123B-63E4-DE7EBDAA0B1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Viajeros españoles</a:t>
            </a:r>
          </a:p>
        </xdr:txBody>
      </xdr:sp>
    </xdr:grpSp>
    <xdr:clientData/>
  </xdr:twoCellAnchor>
</xdr:wsDr>
</file>

<file path=xl/theme/theme1.xml><?xml version="1.0" encoding="utf-8"?>
<a:theme xmlns:a="http://schemas.openxmlformats.org/drawingml/2006/main" name="Tema de Office">
  <a:themeElements>
    <a:clrScheme name="Tenerife azul">
      <a:dk1>
        <a:srgbClr val="373A36"/>
      </a:dk1>
      <a:lt1>
        <a:sysClr val="window" lastClr="FFFFFF"/>
      </a:lt1>
      <a:dk2>
        <a:srgbClr val="1F497D"/>
      </a:dk2>
      <a:lt2>
        <a:srgbClr val="EEECE1"/>
      </a:lt2>
      <a:accent1>
        <a:srgbClr val="1226AA"/>
      </a:accent1>
      <a:accent2>
        <a:srgbClr val="0071CE"/>
      </a:accent2>
      <a:accent3>
        <a:srgbClr val="1ECAD3"/>
      </a:accent3>
      <a:accent4>
        <a:srgbClr val="3CB4E5"/>
      </a:accent4>
      <a:accent5>
        <a:srgbClr val="F32735"/>
      </a:accent5>
      <a:accent6>
        <a:srgbClr val="0047BA"/>
      </a:accent6>
      <a:hlink>
        <a:srgbClr val="000B8C"/>
      </a:hlink>
      <a:folHlink>
        <a:srgbClr val="009ADE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theme/themeOverride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7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8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9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0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15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4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16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7.xm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17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18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19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20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9.xml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21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22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0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23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7.xml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24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9.xml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25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26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27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10.xml"/><Relationship Id="rId1" Type="http://schemas.openxmlformats.org/officeDocument/2006/relationships/printerSettings" Target="../printerSettings/printerSettings28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29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1.xml"/><Relationship Id="rId1" Type="http://schemas.openxmlformats.org/officeDocument/2006/relationships/printerSettings" Target="../printerSettings/printerSettings31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5.xml"/><Relationship Id="rId1" Type="http://schemas.openxmlformats.org/officeDocument/2006/relationships/printerSettings" Target="../printerSettings/printerSettings32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7.xml"/><Relationship Id="rId1" Type="http://schemas.openxmlformats.org/officeDocument/2006/relationships/printerSettings" Target="../printerSettings/printerSettings33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9.xml"/><Relationship Id="rId1" Type="http://schemas.openxmlformats.org/officeDocument/2006/relationships/printerSettings" Target="../printerSettings/printerSettings3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099009-C429-47D5-953A-6BDD7E4586B7}">
  <sheetPr codeName="Hoja1"/>
  <dimension ref="B1:M54"/>
  <sheetViews>
    <sheetView showGridLines="0" tabSelected="1" workbookViewId="0"/>
  </sheetViews>
  <sheetFormatPr baseColWidth="10" defaultRowHeight="15" x14ac:dyDescent="0.25"/>
  <cols>
    <col min="1" max="1" width="13.7109375" customWidth="1"/>
    <col min="2" max="2" width="147.7109375" customWidth="1"/>
  </cols>
  <sheetData>
    <row r="1" spans="2:13" x14ac:dyDescent="0.25">
      <c r="B1" s="1" t="s">
        <v>0</v>
      </c>
    </row>
    <row r="2" spans="2:13" ht="36" x14ac:dyDescent="0.55000000000000004">
      <c r="B2" s="2" t="s">
        <v>1</v>
      </c>
      <c r="M2" t="e">
        <f>#REF!/#REF!</f>
        <v>#REF!</v>
      </c>
    </row>
    <row r="3" spans="2:13" ht="36" x14ac:dyDescent="0.55000000000000004">
      <c r="B3" s="2" t="s">
        <v>48</v>
      </c>
    </row>
    <row r="4" spans="2:13" ht="24" x14ac:dyDescent="0.4">
      <c r="B4" s="3" t="s">
        <v>209</v>
      </c>
    </row>
    <row r="5" spans="2:13" x14ac:dyDescent="0.25">
      <c r="B5" s="4"/>
    </row>
    <row r="6" spans="2:13" ht="21.75" thickBot="1" x14ac:dyDescent="0.4">
      <c r="B6" s="5" t="s">
        <v>2</v>
      </c>
    </row>
    <row r="7" spans="2:13" ht="15.75" thickTop="1" x14ac:dyDescent="0.25"/>
    <row r="8" spans="2:13" ht="15.75" x14ac:dyDescent="0.25">
      <c r="B8" s="6" t="s">
        <v>210</v>
      </c>
    </row>
    <row r="9" spans="2:13" ht="15.75" x14ac:dyDescent="0.25">
      <c r="B9" s="6" t="s">
        <v>3</v>
      </c>
    </row>
    <row r="10" spans="2:13" ht="15.75" x14ac:dyDescent="0.25">
      <c r="B10" s="6"/>
    </row>
    <row r="11" spans="2:13" ht="19.5" thickBot="1" x14ac:dyDescent="0.35">
      <c r="B11" s="7" t="s">
        <v>4</v>
      </c>
    </row>
    <row r="12" spans="2:13" ht="18.75" x14ac:dyDescent="0.3">
      <c r="B12" s="8"/>
    </row>
    <row r="13" spans="2:13" ht="15.75" x14ac:dyDescent="0.25">
      <c r="B13" s="6" t="s">
        <v>5</v>
      </c>
    </row>
    <row r="14" spans="2:13" ht="15.75" x14ac:dyDescent="0.25">
      <c r="B14" s="6" t="s">
        <v>6</v>
      </c>
    </row>
    <row r="15" spans="2:13" x14ac:dyDescent="0.25">
      <c r="B15" s="9"/>
    </row>
    <row r="16" spans="2:13" ht="19.5" thickBot="1" x14ac:dyDescent="0.35">
      <c r="B16" s="7" t="s">
        <v>7</v>
      </c>
    </row>
    <row r="17" spans="2:2" ht="15.75" x14ac:dyDescent="0.25">
      <c r="B17" s="6"/>
    </row>
    <row r="18" spans="2:2" ht="15.75" x14ac:dyDescent="0.25">
      <c r="B18" s="10" t="s">
        <v>8</v>
      </c>
    </row>
    <row r="19" spans="2:2" ht="15.75" x14ac:dyDescent="0.25">
      <c r="B19" s="6" t="s">
        <v>211</v>
      </c>
    </row>
    <row r="20" spans="2:2" ht="15.75" x14ac:dyDescent="0.25">
      <c r="B20" s="6" t="s">
        <v>212</v>
      </c>
    </row>
    <row r="21" spans="2:2" ht="15.75" x14ac:dyDescent="0.25">
      <c r="B21" s="6" t="s">
        <v>213</v>
      </c>
    </row>
    <row r="22" spans="2:2" ht="15.75" x14ac:dyDescent="0.25">
      <c r="B22" s="6" t="s">
        <v>9</v>
      </c>
    </row>
    <row r="23" spans="2:2" ht="15.75" x14ac:dyDescent="0.25">
      <c r="B23" s="6" t="s">
        <v>10</v>
      </c>
    </row>
    <row r="24" spans="2:2" ht="15.75" x14ac:dyDescent="0.25">
      <c r="B24" s="6" t="s">
        <v>11</v>
      </c>
    </row>
    <row r="25" spans="2:2" ht="15.75" x14ac:dyDescent="0.25">
      <c r="B25" s="6" t="s">
        <v>12</v>
      </c>
    </row>
    <row r="26" spans="2:2" ht="15.75" x14ac:dyDescent="0.25">
      <c r="B26" s="6" t="s">
        <v>13</v>
      </c>
    </row>
    <row r="27" spans="2:2" ht="15.75" x14ac:dyDescent="0.25">
      <c r="B27" s="6" t="s">
        <v>14</v>
      </c>
    </row>
    <row r="28" spans="2:2" ht="15.75" x14ac:dyDescent="0.25">
      <c r="B28" s="6" t="s">
        <v>15</v>
      </c>
    </row>
    <row r="29" spans="2:2" ht="15.75" x14ac:dyDescent="0.25">
      <c r="B29" s="6" t="s">
        <v>16</v>
      </c>
    </row>
    <row r="30" spans="2:2" ht="15.75" x14ac:dyDescent="0.25">
      <c r="B30" s="6" t="s">
        <v>17</v>
      </c>
    </row>
    <row r="31" spans="2:2" ht="15.75" x14ac:dyDescent="0.25">
      <c r="B31" s="10" t="s">
        <v>18</v>
      </c>
    </row>
    <row r="32" spans="2:2" ht="15.75" x14ac:dyDescent="0.25">
      <c r="B32" s="6" t="s">
        <v>19</v>
      </c>
    </row>
    <row r="33" spans="2:2" ht="15.75" x14ac:dyDescent="0.25">
      <c r="B33" s="6" t="s">
        <v>20</v>
      </c>
    </row>
    <row r="34" spans="2:2" ht="15.75" x14ac:dyDescent="0.25">
      <c r="B34" s="10" t="s">
        <v>21</v>
      </c>
    </row>
    <row r="35" spans="2:2" ht="15.75" x14ac:dyDescent="0.25">
      <c r="B35" s="6" t="s">
        <v>214</v>
      </c>
    </row>
    <row r="36" spans="2:2" ht="15.75" x14ac:dyDescent="0.25">
      <c r="B36" s="6" t="s">
        <v>215</v>
      </c>
    </row>
    <row r="37" spans="2:2" ht="15.75" x14ac:dyDescent="0.25">
      <c r="B37" s="6" t="str">
        <f>CONCATENATE("Pernoctaciones en los establecimientos alojativos de Tenerife según lugar de residencia y municipio de alojamiento (hotel + apartamento) - mes")</f>
        <v>Pernoctaciones en los establecimientos alojativos de Tenerife según lugar de residencia y municipio de alojamiento (hotel + apartamento) - mes</v>
      </c>
    </row>
    <row r="38" spans="2:2" ht="15.75" x14ac:dyDescent="0.25">
      <c r="B38" s="6" t="str">
        <f>CONCATENATE("Pernoctaciones en los establecimientos alojativos de Tenerife según lugar de residencia y municipio de alojamiento (hotel + apartamento) - acumulado")</f>
        <v>Pernoctaciones en los establecimientos alojativos de Tenerife según lugar de residencia y municipio de alojamiento (hotel + apartamento) - acumulado</v>
      </c>
    </row>
    <row r="39" spans="2:2" ht="15.75" x14ac:dyDescent="0.25">
      <c r="B39" s="6" t="str">
        <f>CONCATENATE("Pernoctaciones en los establecimientos alojativos de Tenerife según lugar de residencia y municipio de alojamiento (hotel + apartamento) - año")</f>
        <v>Pernoctaciones en los establecimientos alojativos de Tenerife según lugar de residencia y municipio de alojamiento (hotel + apartamento) - año</v>
      </c>
    </row>
    <row r="40" spans="2:2" ht="15.75" x14ac:dyDescent="0.25">
      <c r="B40" s="10" t="s">
        <v>22</v>
      </c>
    </row>
    <row r="41" spans="2:2" ht="15.75" x14ac:dyDescent="0.25">
      <c r="B41" s="6" t="s">
        <v>216</v>
      </c>
    </row>
    <row r="42" spans="2:2" ht="15.75" x14ac:dyDescent="0.25">
      <c r="B42" s="6" t="s">
        <v>217</v>
      </c>
    </row>
    <row r="43" spans="2:2" ht="15.75" x14ac:dyDescent="0.25">
      <c r="B43" s="10" t="s">
        <v>23</v>
      </c>
    </row>
    <row r="44" spans="2:2" ht="15.75" x14ac:dyDescent="0.25">
      <c r="B44" s="6" t="s">
        <v>218</v>
      </c>
    </row>
    <row r="45" spans="2:2" ht="15.75" x14ac:dyDescent="0.25">
      <c r="B45" s="10" t="s">
        <v>24</v>
      </c>
    </row>
    <row r="46" spans="2:2" ht="31.5" x14ac:dyDescent="0.25">
      <c r="B46" s="11" t="s">
        <v>25</v>
      </c>
    </row>
    <row r="47" spans="2:2" ht="15.75" x14ac:dyDescent="0.25">
      <c r="B47" s="10" t="s">
        <v>26</v>
      </c>
    </row>
    <row r="48" spans="2:2" ht="15.75" x14ac:dyDescent="0.25">
      <c r="B48" s="6" t="s">
        <v>219</v>
      </c>
    </row>
    <row r="49" spans="2:2" ht="15.75" x14ac:dyDescent="0.25">
      <c r="B49" s="6" t="s">
        <v>220</v>
      </c>
    </row>
    <row r="50" spans="2:2" ht="15.75" x14ac:dyDescent="0.25">
      <c r="B50" s="6" t="s">
        <v>221</v>
      </c>
    </row>
    <row r="51" spans="2:2" ht="15.75" x14ac:dyDescent="0.25">
      <c r="B51" s="6" t="s">
        <v>222</v>
      </c>
    </row>
    <row r="52" spans="2:2" ht="15.75" x14ac:dyDescent="0.25">
      <c r="B52" s="6" t="s">
        <v>27</v>
      </c>
    </row>
    <row r="53" spans="2:2" ht="15.75" x14ac:dyDescent="0.25">
      <c r="B53" s="6" t="s">
        <v>28</v>
      </c>
    </row>
    <row r="54" spans="2:2" ht="15.75" x14ac:dyDescent="0.25">
      <c r="B54" s="6" t="s">
        <v>29</v>
      </c>
    </row>
  </sheetData>
  <hyperlinks>
    <hyperlink ref="B13" location="'Plazas aloj islas cat y tipolog'!A1" tooltip="Plazas alojativas Canarias e islas" display="Plazas alojativas Canarias e islas" xr:uid="{6D75430D-4808-45F3-8CF8-C1A092B08ECC}"/>
    <hyperlink ref="B19" location="'Viajeros entr evol mensu TF'!A1" tooltip="Evolución mensual de viajeros entrentrados en Tenerife según lugar de residencia" display="Evolución mensual de viajeros entrados en Tenerife según lugar de residencia" xr:uid="{D5C37A48-5FD5-4549-8BA4-B7EFB8801BFC}"/>
    <hyperlink ref="B14" location="'Establecim aloj islas cat y tip'!A1" tooltip="Establecimientos alojativos Canarias e islas" display="Establecimientos alojativos Canarias e islas" xr:uid="{478096FE-94B7-4791-9ABB-06262CB0757A}"/>
    <hyperlink ref="B32" location="'viaj aloj lugar residen mes'!A1" tooltip="Viajeros alojados en los establecimientos alojativos de Tenerife según lugar de residencia y municipio de alojamiento" display="Viajeros alojados en los establecimientos alojativos de Tenerife según lugar de residencia y municipio de alojamiento - mes" xr:uid="{302E9E2A-A993-4486-B355-8F4E2177E8E8}"/>
    <hyperlink ref="B23" location="'Viajeros entr ti-cat ultimo mes'!A1" tooltip="Viajeros entrados en los establecimientos alojativos de Tenerife por municipio y categoría " display="Viajeros entrados en los establecimientos alojativos de Tenerife por municipio y categoría " xr:uid="{CB3F425F-090E-422D-A2B8-EA76F5AF5A43}"/>
    <hyperlink ref="B37" location="'Pernoctaciones lugar reside'!A1" tooltip="Pernoctaciones registradas en establecimientos alojativos de Canarias e islas según tipología y categoría" display="'Pernoctaciones lugar reside'!A1" xr:uid="{475E28FE-0A0E-425B-9E12-92F27CA1F0EB}"/>
    <hyperlink ref="B8" location="'Resumen indicadores (aloj)'!A1" tooltip="Resumen indicadores Tenerife" display="'Resumen indicadores (aloj)'!A1" xr:uid="{FD0CF9AD-0052-45B7-A60B-C57C0E0EE421}"/>
    <hyperlink ref="B9" location="'Resumen indicadores municipios '!A1" tooltip="Resumen indicadores municipios Tenerife" display="Resumen indicadores municipios Tenerife" xr:uid="{BC0F2786-A1FA-438C-83CE-56DDF8257927}"/>
    <hyperlink ref="B20" location="'Viajeros entr evol mensu TF cat'!A1" tooltip="Evolución mensual de viajeros entrentrados en Tenerife según lugar de residencia" display="'Viajeros entr evol mensu TF cat'!A1" xr:uid="{DD98D8D7-678B-4DCA-82CF-8A843C5761DD}"/>
    <hyperlink ref="B21" location="'Viajeros entr evol anual TF cat'!A1" tooltip="Evolución mensual de viajeros entrentrados en Tenerife según lugar de residencia" display="'Viajeros entr evol anual TF cat'!A1" xr:uid="{F944DE73-053E-40DD-8B38-331C40E035AD}"/>
    <hyperlink ref="B33" location="'viaj aloj lugar residen mes'!A1" tooltip="Viajeros alojados en los establecimientos alojativos de Tenerife según lugar de residencia y municipio de alojamiento" display="Viajeros alojados en los establecimientos alojativos de Tenerife según lugar de residencia y municipio de alojamiento - acumulado" xr:uid="{82E730EE-F059-405E-9AA4-9CF114F8BEDB}"/>
    <hyperlink ref="B24" location="'viaj entrados lugar resid años '!A1" tooltip="Viajeros entrados en los establecimientos alojativos de Tenerife según lugar de residencia y municipio de alojamiento" display="Viajeros entrados en los establecimientos alojativos de Tenerife según lugar de residencia y municipio de alojamiento - año" xr:uid="{89F73743-E85C-4488-BE80-C55B2F57B182}"/>
    <hyperlink ref="B25" location="'viaj entrados lugar residencia'!A1" tooltip="Viajeros entrados en los establecimientos alojativos de Tenerife según lugar de residencia y municipio de alojamiento" display="Viajeros entrados en los establecimientos alojativos de Tenerife según lugar de residencia y municipio de alojamiento - mes" xr:uid="{62082B26-A743-4ACE-981E-B6CE1B430085}"/>
    <hyperlink ref="B26" location="'viaj entrados lugar residen acu'!A1" tooltip="Viajeros entrados en los establecimientos alojativos de Tenerife según lugar de residencia y municipio de alojamiento" display="Viajeros entrados en los establecimientos alojativos de Tenerife según lugar de residencia y municipio de alojamiento - acumulado" xr:uid="{A7C00638-9328-4A39-A500-B3FF99E7D693}"/>
    <hyperlink ref="B27:B28" location="'viaj entrados lugar residen acu'!A1" tooltip="Viajeros entrados en los establecimientos alojativos de según lugar de residencia y municipio de alojamiento" display="Viajeros entrados en los establecimientos alojativos de según lugar de residencia y municipio de alojamiento - acumulado" xr:uid="{08B5603A-6D4E-42EC-AEC7-7784D95C544C}"/>
    <hyperlink ref="B27" location="'viaj entrados lugar residen hot'!A1" tooltip="Viajeros entrados en los hoteles de Tenerife según lugar de residencia y municipio de alojamiento - acumulado" display="Viajeros entrados en los hoteles de Tenerife según lugar de residencia y municipio de alojamiento - acumulado" xr:uid="{291BC6ED-73E8-48D1-A418-CF80B2E2AA59}"/>
    <hyperlink ref="B29" location="'viaj entrados lugar residen cat'!A1" tooltip="Viajeros entrados en los establecimientos hoteleros de Tenerife según lugar de residencia, categoría y municipio del alojamiento" display="Viajeros entrados en los establecimientos hoteleros de Tenerife según lugar de residencia, categoría y municipio del alojamiento - acumulado" xr:uid="{5E27BA98-D6E2-4BD3-BE6D-16A7BC242608}"/>
    <hyperlink ref="B28" location="'viaj entrados lugar residen apt'!A1" tooltip="Viajeros entrados en los apartamentos de Tenerife según lugar de residencia y municipio de alojamiento" display="Viajeros entrados en los apartamentos de Tenerife según lugar de residencia y municipio de alojamiento - acumulado" xr:uid="{A903DD73-2986-4EC9-B75B-1CC27ED35064}"/>
    <hyperlink ref="B30" location="'viaj entr lugar res año categor'!A1" tooltip="Viajeros entrados en los establecimientos hoteleros de Tenerife según lugar de residencia, categoría y municipio del alojamiento" display="Viajeros entrados en los establecimientos hoteleros de Tenerife según lugar de residencia, categoría y municipio del alojamiento - año" xr:uid="{4E9A6D3C-719A-480B-A73C-D1EB70F680A3}"/>
    <hyperlink ref="B48" location="'distribución españoles x Resid'!A1" tooltip="=CONCATENAR(&quot;Viajeros españoles entrados en los hoteles y apartamentos de &quot;;Actualizaciones!$B$3;&quot; según lugar de residencia&quot;)" display="=CONCATENAR(&quot;Viajeros españoles entrados en los hoteles y apartamentos de &quot;;Actualizaciones!$B$3;&quot; según lugar de residencia - acumulado&quot;)" xr:uid="{199151AC-F158-48BA-A40F-0620F23EF81C}"/>
    <hyperlink ref="B22" location="'distribución españoles x mun al'!A1" tooltip="Viajeros peninsulares entrados en los hoteles y apartamentos de Tenerife por municipio de alojamiento" display="Viajeros peninsulares entrados en los hoteles y apartamentos de Tenerife por municipio de alojamiento - acumulado" xr:uid="{6ACDC474-2539-45E2-A092-8070BB6B2C51}"/>
    <hyperlink ref="B51" location="'distribución canarias x munici'!A1" tooltip="=CONCATENAR(&quot;Viajeros canarios entrados en los hoteles y apartamentos de &quot;;Actualizaciones!$B$3;&quot; por tipología y categoría de alojamiento&quot;)" display="'distribución canarias x munici'!A1" xr:uid="{9291FA20-321E-40EA-B73C-89AFE2A6E625}"/>
    <hyperlink ref="B35" location="'Pernoctaciones evol mensu TF'!A1" tooltip="Evolución mensual de pernoctaciones en Tenerife según lugar de residencia" display="'Pernoctaciones evol mensu TF'!A1" xr:uid="{6FF29BBE-399B-42E2-ADC3-2F612C8B5A7B}"/>
    <hyperlink ref="B36" location="'Pernocta evol mensu TF cat'!A1" tooltip="Evolución mensual de pernoctaciones en Tenerife según lugar de residencia" display="'Pernocta evol mensu TF cat'!A1" xr:uid="{C6A9F998-F79C-4F7B-B157-82816E1DAE13}"/>
    <hyperlink ref="B38" location="'Pernoctaciones lugar residen ac'!A1" tooltip="Pernoctaciones registradas en establecimientos alojativos de Canarias e islas según tipología y categoría" display="'Pernoctaciones lugar residen ac'!A1" xr:uid="{CCC93DC2-E460-488A-ACEA-116C3330F2D0}"/>
    <hyperlink ref="B39" location="'Pernoctaciones lugar reside año'!A1" tooltip="Pernoctaciones registradas en establecimientos alojativos de Canarias e islas según tipología y categoría" display="'Pernoctaciones lugar reside año'!A1" xr:uid="{2C727527-2CA0-460E-B3D9-AC12F50D0467}"/>
    <hyperlink ref="B46" location="'ADR RevPAR ingresos totales ult'!A1" tooltip="Pernoctaciones registradas en establecimientos alojativos de Canarias e islas según tipología y categoría" display="Tarifa media diaria ADR por habitación en los establecimientos alojativos Tenerife por municipio  (hotel + apartamento) " xr:uid="{5671FB46-9B6B-46AC-9413-D8F44DFB0D10}"/>
    <hyperlink ref="B41" location="'EM evol menusual lugar resd'!A1" tooltip="Evolución mensual de estancia media en Tenerife según lugar de residencia" display="'EM evol menusual lugar resd'!A1" xr:uid="{D09B3909-EEBA-41A4-B3FC-2BDFE16175C1}"/>
    <hyperlink ref="B42" location="'EM evol mensu TF cat '!A1" tooltip="Evolución mensual de estancia media en Tenerife según lugar de residencia" display="'EM evol mensu TF cat '!A1" xr:uid="{8380AE1A-769F-4393-B6AC-C0BE2077F940}"/>
    <hyperlink ref="B44" location="'tasa de ocupación evol mens'!A1" tooltip="Evolución mensual de estancia media en Tenerife según lugar de residencia" display="'tasa de ocupación evol mens'!A1" xr:uid="{FCCA5496-F196-47EE-B0DA-16631C05A1D0}"/>
    <hyperlink ref="B50" location="'distribución peninsula x munici'!A1" tooltip="=CONCATENAR(&quot;Viajeros peninsulares entrados en los hoteles y apartamentos de &quot;;Actualizaciones!$B$3;&quot; por tipología y categoría de alojamiento&quot;)" display="'distribución peninsula x munici'!A1" xr:uid="{1A4AB6DC-DF46-4631-AC77-93F29900760C}"/>
    <hyperlink ref="B49" location="'distribución españoles x mun al'!A1" tooltip="=CONCATENAR(&quot;Viajeros españoles entrados en los hoteles y apartamentos de &quot;;Actualizaciones!$B$3;&quot; por tipología y categoría de alojamiento&quot;)" display="'distribución españoles x mun al'!A1" xr:uid="{369EBD00-932C-42FB-9A92-429D31ACEC1F}"/>
    <hyperlink ref="B52" location="'evolución anual viaj ent españo'!A1" tooltip="Viajeros españoles entrados en los hoteles y apartamentos de Tenerife por municipio de alojamiento" display="Viajeros españoles entrados en los hoteles y apartamentos de Tenerife por municipio de alojamiento" xr:uid="{9A495C5D-D0EE-44FA-A7FB-377710A09EC3}"/>
    <hyperlink ref="B53" location="'evolución anual viaj ent penins'!A1" tooltip="Viajeros peninsulares entrados en los hoteles y apartamentos de Tenerife por municipio de alojamiento" display="Viajeros peninsulares entrados en los hoteles y apartamentos de Tenerife por municipio de alojamiento" xr:uid="{4FFB5B73-C040-4BAD-AC7C-4539736DA67D}"/>
    <hyperlink ref="B54" location="'evolución anual viaj ent canari'!A1" tooltip="Viajeros canarios entrados en los hoteles y apartamentos de Tenerife por municipio de alojamiento" display="Viajeros canarios entrados en los hoteles y apartamentos de Tenerife por municipio de alojamiento" xr:uid="{DBA5E63A-620D-4BB3-9048-51374DFB2377}"/>
  </hyperlink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BFF2CE-7631-4B5B-AC8E-D63C65E1B39B}">
  <sheetPr codeName="Hoja21">
    <tabColor theme="7" tint="0.79998168889431442"/>
  </sheetPr>
  <dimension ref="A4:O114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</cols>
  <sheetData>
    <row r="4" spans="1:15" ht="48.75" customHeight="1" thickBot="1" x14ac:dyDescent="0.3">
      <c r="B4" s="265" t="s">
        <v>249</v>
      </c>
      <c r="C4" s="265"/>
      <c r="D4" s="265"/>
      <c r="E4" s="265"/>
      <c r="F4" s="265"/>
      <c r="G4" s="265"/>
      <c r="H4" s="265"/>
      <c r="I4" s="265"/>
      <c r="J4" s="265"/>
      <c r="K4" s="265"/>
      <c r="L4" s="265"/>
      <c r="M4" s="265"/>
      <c r="N4" s="265"/>
      <c r="O4" s="1" t="s">
        <v>66</v>
      </c>
    </row>
    <row r="5" spans="1:15" ht="10.5" customHeight="1" thickBot="1" x14ac:dyDescent="0.3">
      <c r="B5" s="106"/>
      <c r="C5" s="107"/>
      <c r="D5" s="106"/>
      <c r="E5" s="106"/>
      <c r="F5" s="106"/>
      <c r="G5" s="106"/>
      <c r="H5" s="106"/>
      <c r="I5" s="106"/>
      <c r="J5" s="106"/>
      <c r="K5" s="106"/>
      <c r="L5" s="106"/>
      <c r="M5" s="4"/>
      <c r="N5" s="4"/>
      <c r="O5" s="1" t="s">
        <v>67</v>
      </c>
    </row>
    <row r="6" spans="1:15" ht="22.5" thickTop="1" thickBot="1" x14ac:dyDescent="0.3">
      <c r="B6" s="108" t="s">
        <v>30</v>
      </c>
      <c r="C6" s="290" t="s">
        <v>132</v>
      </c>
      <c r="D6" s="291"/>
      <c r="E6" s="291"/>
      <c r="F6" s="291"/>
      <c r="G6" s="291"/>
      <c r="H6" s="291"/>
      <c r="I6" s="291"/>
      <c r="J6" s="291"/>
      <c r="K6" s="291"/>
      <c r="L6" s="291"/>
      <c r="M6" s="291"/>
      <c r="N6" s="291"/>
    </row>
    <row r="7" spans="1:15" ht="22.5" thickTop="1" thickBot="1" x14ac:dyDescent="0.3">
      <c r="B7" s="109"/>
      <c r="C7" s="292">
        <f>E7-1</f>
        <v>2020</v>
      </c>
      <c r="D7" s="293"/>
      <c r="E7" s="294">
        <f t="shared" ref="E7" si="0">G7-1</f>
        <v>2021</v>
      </c>
      <c r="F7" s="293"/>
      <c r="G7" s="294">
        <f t="shared" ref="G7" si="1">I7-1</f>
        <v>2022</v>
      </c>
      <c r="H7" s="293"/>
      <c r="I7" s="294">
        <f t="shared" ref="I7" si="2">K7-1</f>
        <v>2023</v>
      </c>
      <c r="J7" s="293"/>
      <c r="K7" s="294">
        <f>M7-1</f>
        <v>2024</v>
      </c>
      <c r="L7" s="293"/>
      <c r="M7" s="294">
        <v>2025</v>
      </c>
      <c r="N7" s="295"/>
    </row>
    <row r="8" spans="1:15" ht="16.5" thickTop="1" thickBot="1" x14ac:dyDescent="0.3">
      <c r="B8" s="85"/>
      <c r="C8" s="111" t="s">
        <v>69</v>
      </c>
      <c r="D8" s="112" t="str">
        <f>CONCATENATE("var ",RIGHT(C7,2),"/",RIGHT(C7-1,2))</f>
        <v>var 20/19</v>
      </c>
      <c r="E8" s="113" t="s">
        <v>69</v>
      </c>
      <c r="F8" s="112" t="str">
        <f>CONCATENATE("var ",RIGHT(E7,2),"/",RIGHT(E7-1,2))</f>
        <v>var 21/20</v>
      </c>
      <c r="G8" s="113" t="s">
        <v>69</v>
      </c>
      <c r="H8" s="112" t="str">
        <f>CONCATENATE("var ",RIGHT(G7,2),"/",RIGHT(G7-1,2))</f>
        <v>var 22/21</v>
      </c>
      <c r="I8" s="113" t="s">
        <v>69</v>
      </c>
      <c r="J8" s="112" t="str">
        <f>CONCATENATE("var ",RIGHT(I7,2),"/",RIGHT(I7-1,2))</f>
        <v>var 23/22</v>
      </c>
      <c r="K8" s="113" t="s">
        <v>69</v>
      </c>
      <c r="L8" s="112" t="str">
        <f>CONCATENATE("var ",RIGHT(K7,2),"/",RIGHT(K7-1,2))</f>
        <v>var 24/23</v>
      </c>
      <c r="M8" s="113" t="s">
        <v>69</v>
      </c>
      <c r="N8" s="112" t="str">
        <f>CONCATENATE("var ",RIGHT(M7,2),"/",RIGHT(M7-1,2))</f>
        <v>var 25/24</v>
      </c>
    </row>
    <row r="9" spans="1:15" x14ac:dyDescent="0.25">
      <c r="A9" s="1" t="s">
        <v>70</v>
      </c>
      <c r="B9" s="114" t="s">
        <v>71</v>
      </c>
      <c r="C9" s="115">
        <v>61311</v>
      </c>
      <c r="D9" s="116">
        <v>6.9048490871998824E-2</v>
      </c>
      <c r="E9" s="115">
        <v>4603</v>
      </c>
      <c r="F9" s="116">
        <f t="shared" ref="F9:L21" si="3">IFERROR(E9/C9-1,"-")</f>
        <v>-0.9249237494087521</v>
      </c>
      <c r="G9" s="115">
        <v>36105</v>
      </c>
      <c r="H9" s="116">
        <f t="shared" si="3"/>
        <v>6.8437975233543344</v>
      </c>
      <c r="I9" s="115">
        <v>60088</v>
      </c>
      <c r="J9" s="116">
        <f t="shared" si="3"/>
        <v>0.6642570281124498</v>
      </c>
      <c r="K9" s="115">
        <v>64481</v>
      </c>
      <c r="L9" s="116">
        <f t="shared" si="3"/>
        <v>7.3109439488749928E-2</v>
      </c>
      <c r="M9" s="115">
        <v>65410</v>
      </c>
      <c r="N9" s="116">
        <f t="shared" ref="N9" si="4">IFERROR(M9/K9-1,"-")</f>
        <v>1.4407344799243216E-2</v>
      </c>
    </row>
    <row r="10" spans="1:15" x14ac:dyDescent="0.25">
      <c r="A10" s="1" t="s">
        <v>72</v>
      </c>
      <c r="B10" s="114" t="s">
        <v>73</v>
      </c>
      <c r="C10" s="115">
        <v>57643</v>
      </c>
      <c r="D10" s="116">
        <v>8.7952739557971338E-2</v>
      </c>
      <c r="E10" s="115">
        <v>6183</v>
      </c>
      <c r="F10" s="116">
        <f t="shared" si="3"/>
        <v>-0.89273632531270053</v>
      </c>
      <c r="G10" s="115">
        <v>50459</v>
      </c>
      <c r="H10" s="116">
        <f t="shared" si="3"/>
        <v>7.1609251172569941</v>
      </c>
      <c r="I10" s="115">
        <v>57829</v>
      </c>
      <c r="J10" s="116">
        <f t="shared" si="3"/>
        <v>0.14605917675736735</v>
      </c>
      <c r="K10" s="115">
        <v>66869</v>
      </c>
      <c r="L10" s="116">
        <f t="shared" si="3"/>
        <v>0.1563229521520344</v>
      </c>
      <c r="M10" s="115"/>
      <c r="N10" s="116"/>
    </row>
    <row r="11" spans="1:15" x14ac:dyDescent="0.25">
      <c r="A11" s="1" t="s">
        <v>74</v>
      </c>
      <c r="B11" s="114" t="s">
        <v>75</v>
      </c>
      <c r="C11" s="115">
        <v>23288</v>
      </c>
      <c r="D11" s="116">
        <v>-0.65823304960375695</v>
      </c>
      <c r="E11" s="115">
        <v>8151</v>
      </c>
      <c r="F11" s="116">
        <f t="shared" si="3"/>
        <v>-0.64999141188594978</v>
      </c>
      <c r="G11" s="115">
        <v>57186</v>
      </c>
      <c r="H11" s="116">
        <f t="shared" si="3"/>
        <v>6.0158262789841741</v>
      </c>
      <c r="I11" s="115">
        <v>66430</v>
      </c>
      <c r="J11" s="116">
        <f t="shared" si="3"/>
        <v>0.1616479557933761</v>
      </c>
      <c r="K11" s="115">
        <v>76278</v>
      </c>
      <c r="L11" s="116">
        <f t="shared" si="3"/>
        <v>0.14824627427367143</v>
      </c>
      <c r="M11" s="115"/>
      <c r="N11" s="116"/>
    </row>
    <row r="12" spans="1:15" x14ac:dyDescent="0.25">
      <c r="A12" s="1" t="s">
        <v>76</v>
      </c>
      <c r="B12" s="114" t="s">
        <v>77</v>
      </c>
      <c r="C12" s="115">
        <v>0</v>
      </c>
      <c r="D12" s="116">
        <v>-1</v>
      </c>
      <c r="E12" s="115">
        <v>8112</v>
      </c>
      <c r="F12" s="116" t="str">
        <f t="shared" si="3"/>
        <v>-</v>
      </c>
      <c r="G12" s="115">
        <v>60780</v>
      </c>
      <c r="H12" s="116">
        <f t="shared" si="3"/>
        <v>6.4926035502958577</v>
      </c>
      <c r="I12" s="115">
        <v>65148</v>
      </c>
      <c r="J12" s="116">
        <f t="shared" si="3"/>
        <v>7.1865745310957463E-2</v>
      </c>
      <c r="K12" s="115">
        <v>66545</v>
      </c>
      <c r="L12" s="116">
        <f t="shared" si="3"/>
        <v>2.1443482532080838E-2</v>
      </c>
      <c r="M12" s="115"/>
      <c r="N12" s="116"/>
    </row>
    <row r="13" spans="1:15" x14ac:dyDescent="0.25">
      <c r="A13" s="1" t="s">
        <v>78</v>
      </c>
      <c r="B13" s="114" t="s">
        <v>79</v>
      </c>
      <c r="C13" s="115">
        <v>0</v>
      </c>
      <c r="D13" s="116">
        <v>-1</v>
      </c>
      <c r="E13" s="115">
        <v>18010</v>
      </c>
      <c r="F13" s="116" t="str">
        <f t="shared" si="3"/>
        <v>-</v>
      </c>
      <c r="G13" s="115">
        <v>53595</v>
      </c>
      <c r="H13" s="116">
        <f t="shared" si="3"/>
        <v>1.975846751804553</v>
      </c>
      <c r="I13" s="115">
        <v>58098</v>
      </c>
      <c r="J13" s="116">
        <f t="shared" si="3"/>
        <v>8.4019031626084484E-2</v>
      </c>
      <c r="K13" s="115">
        <v>77065</v>
      </c>
      <c r="L13" s="116">
        <f t="shared" si="3"/>
        <v>0.32646562704396032</v>
      </c>
      <c r="M13" s="115"/>
      <c r="N13" s="116"/>
    </row>
    <row r="14" spans="1:15" x14ac:dyDescent="0.25">
      <c r="A14" s="1" t="s">
        <v>80</v>
      </c>
      <c r="B14" s="114" t="s">
        <v>81</v>
      </c>
      <c r="C14" s="115">
        <v>0</v>
      </c>
      <c r="D14" s="116">
        <v>-1</v>
      </c>
      <c r="E14" s="115">
        <v>25023</v>
      </c>
      <c r="F14" s="116" t="str">
        <f t="shared" si="3"/>
        <v>-</v>
      </c>
      <c r="G14" s="115">
        <v>63207</v>
      </c>
      <c r="H14" s="116">
        <f t="shared" si="3"/>
        <v>1.5259561203692602</v>
      </c>
      <c r="I14" s="115">
        <v>71344</v>
      </c>
      <c r="J14" s="116">
        <f t="shared" si="3"/>
        <v>0.12873574129447696</v>
      </c>
      <c r="K14" s="115">
        <v>83393</v>
      </c>
      <c r="L14" s="116">
        <f t="shared" si="3"/>
        <v>0.16888596097779773</v>
      </c>
      <c r="M14" s="115"/>
      <c r="N14" s="116"/>
    </row>
    <row r="15" spans="1:15" x14ac:dyDescent="0.25">
      <c r="A15" s="1" t="s">
        <v>82</v>
      </c>
      <c r="B15" s="114" t="s">
        <v>83</v>
      </c>
      <c r="C15" s="115">
        <v>0</v>
      </c>
      <c r="D15" s="116">
        <v>-1</v>
      </c>
      <c r="E15" s="115">
        <v>41575</v>
      </c>
      <c r="F15" s="116" t="str">
        <f t="shared" si="3"/>
        <v>-</v>
      </c>
      <c r="G15" s="115">
        <v>73949</v>
      </c>
      <c r="H15" s="116">
        <f t="shared" si="3"/>
        <v>0.77868911605532176</v>
      </c>
      <c r="I15" s="115">
        <v>74357</v>
      </c>
      <c r="J15" s="116">
        <f t="shared" si="3"/>
        <v>5.5173159880457234E-3</v>
      </c>
      <c r="K15" s="115">
        <v>90048</v>
      </c>
      <c r="L15" s="116">
        <f t="shared" si="3"/>
        <v>0.21102249956291952</v>
      </c>
      <c r="M15" s="115"/>
      <c r="N15" s="116"/>
    </row>
    <row r="16" spans="1:15" x14ac:dyDescent="0.25">
      <c r="A16" s="1" t="s">
        <v>84</v>
      </c>
      <c r="B16" s="114" t="s">
        <v>85</v>
      </c>
      <c r="C16" s="115">
        <v>21705</v>
      </c>
      <c r="D16" s="116">
        <v>-0.71468570076504456</v>
      </c>
      <c r="E16" s="115">
        <v>50036</v>
      </c>
      <c r="F16" s="116">
        <f t="shared" si="3"/>
        <v>1.3052752821930431</v>
      </c>
      <c r="G16" s="115">
        <v>65748</v>
      </c>
      <c r="H16" s="116">
        <f t="shared" si="3"/>
        <v>0.31401390998481093</v>
      </c>
      <c r="I16" s="115">
        <v>73184</v>
      </c>
      <c r="J16" s="116">
        <f t="shared" si="3"/>
        <v>0.11309849729269339</v>
      </c>
      <c r="K16" s="115">
        <v>89034</v>
      </c>
      <c r="L16" s="116">
        <f t="shared" si="3"/>
        <v>0.21657739396589415</v>
      </c>
      <c r="M16" s="115"/>
      <c r="N16" s="116"/>
    </row>
    <row r="17" spans="1:15" x14ac:dyDescent="0.25">
      <c r="A17" s="1" t="s">
        <v>86</v>
      </c>
      <c r="B17" s="114" t="s">
        <v>87</v>
      </c>
      <c r="C17" s="115">
        <v>17561</v>
      </c>
      <c r="D17" s="116">
        <v>-0.74576173034325999</v>
      </c>
      <c r="E17" s="115">
        <v>48518</v>
      </c>
      <c r="F17" s="116">
        <f t="shared" si="3"/>
        <v>1.7628267182962247</v>
      </c>
      <c r="G17" s="115">
        <v>62173</v>
      </c>
      <c r="H17" s="116">
        <f t="shared" si="3"/>
        <v>0.28144193907415804</v>
      </c>
      <c r="I17" s="115">
        <v>71851</v>
      </c>
      <c r="J17" s="116">
        <f t="shared" si="3"/>
        <v>0.15566242581184753</v>
      </c>
      <c r="K17" s="115">
        <v>77584</v>
      </c>
      <c r="L17" s="116">
        <f t="shared" si="3"/>
        <v>7.9790121223086707E-2</v>
      </c>
      <c r="M17" s="115"/>
      <c r="N17" s="116"/>
    </row>
    <row r="18" spans="1:15" x14ac:dyDescent="0.25">
      <c r="A18" s="1" t="s">
        <v>88</v>
      </c>
      <c r="B18" s="114" t="s">
        <v>89</v>
      </c>
      <c r="C18" s="115">
        <v>14861</v>
      </c>
      <c r="D18" s="116">
        <v>-0.77816423101610666</v>
      </c>
      <c r="E18" s="115">
        <v>52374</v>
      </c>
      <c r="F18" s="116">
        <f t="shared" si="3"/>
        <v>2.5242581252943945</v>
      </c>
      <c r="G18" s="115">
        <v>64171</v>
      </c>
      <c r="H18" s="116">
        <f t="shared" si="3"/>
        <v>0.22524535074655372</v>
      </c>
      <c r="I18" s="115">
        <v>70925</v>
      </c>
      <c r="J18" s="116">
        <f t="shared" si="3"/>
        <v>0.10525003506256714</v>
      </c>
      <c r="K18" s="115">
        <v>81853</v>
      </c>
      <c r="L18" s="116">
        <f t="shared" si="3"/>
        <v>0.15407825167430378</v>
      </c>
      <c r="M18" s="115"/>
      <c r="N18" s="116"/>
    </row>
    <row r="19" spans="1:15" x14ac:dyDescent="0.25">
      <c r="A19" s="1" t="s">
        <v>90</v>
      </c>
      <c r="B19" s="114" t="s">
        <v>91</v>
      </c>
      <c r="C19" s="115">
        <v>6170</v>
      </c>
      <c r="D19" s="116">
        <v>-0.90751566387864613</v>
      </c>
      <c r="E19" s="115">
        <v>47468</v>
      </c>
      <c r="F19" s="116">
        <f t="shared" si="3"/>
        <v>6.6933549432739063</v>
      </c>
      <c r="G19" s="115">
        <v>61752</v>
      </c>
      <c r="H19" s="116">
        <f t="shared" si="3"/>
        <v>0.30091851352490107</v>
      </c>
      <c r="I19" s="115">
        <v>66055</v>
      </c>
      <c r="J19" s="116">
        <f t="shared" si="3"/>
        <v>6.9681953620935433E-2</v>
      </c>
      <c r="K19" s="115">
        <v>73285</v>
      </c>
      <c r="L19" s="116">
        <f t="shared" si="3"/>
        <v>0.10945424267655746</v>
      </c>
      <c r="M19" s="115"/>
      <c r="N19" s="116"/>
    </row>
    <row r="20" spans="1:15" x14ac:dyDescent="0.25">
      <c r="A20" s="1" t="s">
        <v>92</v>
      </c>
      <c r="B20" s="114" t="s">
        <v>93</v>
      </c>
      <c r="C20" s="115">
        <v>8912</v>
      </c>
      <c r="D20" s="116">
        <v>-0.85629283237926312</v>
      </c>
      <c r="E20" s="115">
        <v>44151</v>
      </c>
      <c r="F20" s="116">
        <f t="shared" si="3"/>
        <v>3.9541068222621183</v>
      </c>
      <c r="G20" s="115">
        <v>61100</v>
      </c>
      <c r="H20" s="116">
        <f t="shared" si="3"/>
        <v>0.38388711467463921</v>
      </c>
      <c r="I20" s="115">
        <v>62539</v>
      </c>
      <c r="J20" s="116">
        <f t="shared" si="3"/>
        <v>2.3551554828150634E-2</v>
      </c>
      <c r="K20" s="115">
        <v>67921</v>
      </c>
      <c r="L20" s="116">
        <f t="shared" si="3"/>
        <v>8.6058299621036394E-2</v>
      </c>
      <c r="M20" s="115"/>
      <c r="N20" s="116"/>
    </row>
    <row r="21" spans="1:15" ht="15.75" x14ac:dyDescent="0.25">
      <c r="A21" s="1" t="s">
        <v>0</v>
      </c>
      <c r="B21" s="117" t="s">
        <v>30</v>
      </c>
      <c r="C21" s="118">
        <v>225835</v>
      </c>
      <c r="D21" s="119">
        <v>-0.71475431370394371</v>
      </c>
      <c r="E21" s="118">
        <v>354204</v>
      </c>
      <c r="F21" s="119">
        <f t="shared" si="3"/>
        <v>0.56841942125888378</v>
      </c>
      <c r="G21" s="118">
        <v>710225</v>
      </c>
      <c r="H21" s="119">
        <f t="shared" si="3"/>
        <v>1.0051298121986201</v>
      </c>
      <c r="I21" s="118">
        <v>797848</v>
      </c>
      <c r="J21" s="119">
        <f t="shared" si="3"/>
        <v>0.12337357879545219</v>
      </c>
      <c r="K21" s="118">
        <v>914356</v>
      </c>
      <c r="L21" s="119">
        <f t="shared" si="3"/>
        <v>0.14602781482187077</v>
      </c>
      <c r="M21" s="118">
        <v>65410</v>
      </c>
      <c r="N21" s="119">
        <v>1.4407344799243216E-2</v>
      </c>
    </row>
    <row r="22" spans="1:15" ht="6" customHeight="1" x14ac:dyDescent="0.25"/>
    <row r="23" spans="1:15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15"/>
      <c r="N23" s="105"/>
    </row>
    <row r="24" spans="1:15" x14ac:dyDescent="0.25">
      <c r="K24" s="120"/>
      <c r="N24" s="79"/>
    </row>
    <row r="26" spans="1:15" ht="48.75" customHeight="1" thickBot="1" x14ac:dyDescent="0.3">
      <c r="B26" s="265" t="s">
        <v>250</v>
      </c>
      <c r="C26" s="265"/>
      <c r="D26" s="265"/>
      <c r="E26" s="265"/>
      <c r="F26" s="265"/>
      <c r="G26" s="265"/>
      <c r="H26" s="265"/>
      <c r="I26" s="265"/>
      <c r="J26" s="265"/>
      <c r="K26" s="265"/>
      <c r="L26" s="265"/>
      <c r="M26" s="265"/>
      <c r="N26" s="265"/>
      <c r="O26" s="1" t="s">
        <v>94</v>
      </c>
    </row>
    <row r="27" spans="1:15" ht="10.5" customHeight="1" thickBot="1" x14ac:dyDescent="0.3">
      <c r="B27" s="106"/>
      <c r="C27" s="107"/>
      <c r="D27" s="106"/>
      <c r="E27" s="106"/>
      <c r="F27" s="106"/>
      <c r="G27" s="106"/>
      <c r="H27" s="106"/>
      <c r="I27" s="106"/>
      <c r="J27" s="106"/>
      <c r="K27" s="106"/>
      <c r="L27" s="106"/>
      <c r="M27" s="4"/>
      <c r="N27" s="4"/>
      <c r="O27" s="1" t="s">
        <v>95</v>
      </c>
    </row>
    <row r="28" spans="1:15" ht="22.5" thickTop="1" thickBot="1" x14ac:dyDescent="0.3">
      <c r="B28" s="121" t="s">
        <v>96</v>
      </c>
      <c r="C28" s="290" t="s">
        <v>137</v>
      </c>
      <c r="D28" s="291"/>
      <c r="E28" s="291"/>
      <c r="F28" s="291"/>
      <c r="G28" s="291"/>
      <c r="H28" s="291"/>
      <c r="I28" s="291"/>
      <c r="J28" s="291"/>
      <c r="K28" s="291"/>
      <c r="L28" s="291"/>
      <c r="M28" s="291"/>
      <c r="N28" s="291"/>
    </row>
    <row r="29" spans="1:15" ht="22.5" thickTop="1" thickBot="1" x14ac:dyDescent="0.3">
      <c r="B29" s="109"/>
      <c r="C29" s="292">
        <f>$C$7</f>
        <v>2020</v>
      </c>
      <c r="D29" s="293"/>
      <c r="E29" s="294">
        <f>$C$7</f>
        <v>2020</v>
      </c>
      <c r="F29" s="293"/>
      <c r="G29" s="294">
        <v>2022</v>
      </c>
      <c r="H29" s="293"/>
      <c r="I29" s="294">
        <v>2023</v>
      </c>
      <c r="J29" s="293"/>
      <c r="K29" s="294">
        <v>2024</v>
      </c>
      <c r="L29" s="293"/>
      <c r="M29" s="294">
        <v>2025</v>
      </c>
      <c r="N29" s="295"/>
    </row>
    <row r="30" spans="1:15" ht="16.5" thickTop="1" thickBot="1" x14ac:dyDescent="0.3">
      <c r="B30" s="85"/>
      <c r="C30" s="111" t="s">
        <v>69</v>
      </c>
      <c r="D30" s="112" t="str">
        <f>CONCATENATE("var ",RIGHT(C29,2),"/",RIGHT(C29-1,2))</f>
        <v>var 20/19</v>
      </c>
      <c r="E30" s="113" t="s">
        <v>69</v>
      </c>
      <c r="F30" s="112" t="str">
        <f>CONCATENATE("var ",RIGHT(E29,2),"/",RIGHT(E29-1,2))</f>
        <v>var 20/19</v>
      </c>
      <c r="G30" s="113" t="s">
        <v>69</v>
      </c>
      <c r="H30" s="112" t="str">
        <f>CONCATENATE("var ",RIGHT(G29,2),"/",RIGHT(G29-1,2))</f>
        <v>var 22/21</v>
      </c>
      <c r="I30" s="113" t="s">
        <v>69</v>
      </c>
      <c r="J30" s="112" t="str">
        <f>CONCATENATE("var ",RIGHT(I29,2),"/",RIGHT(I29-1,2))</f>
        <v>var 23/22</v>
      </c>
      <c r="K30" s="113" t="s">
        <v>69</v>
      </c>
      <c r="L30" s="112" t="str">
        <f>CONCATENATE("var ",RIGHT(K29,2),"/",RIGHT(K29-1,2))</f>
        <v>var 24/23</v>
      </c>
      <c r="M30" s="113" t="s">
        <v>69</v>
      </c>
      <c r="N30" s="112" t="str">
        <f>CONCATENATE("var ",RIGHT(M29,2),"/",RIGHT(M29-1,2))</f>
        <v>var 25/24</v>
      </c>
    </row>
    <row r="31" spans="1:15" x14ac:dyDescent="0.25">
      <c r="B31" s="114" t="s">
        <v>71</v>
      </c>
      <c r="C31" s="115">
        <v>49163</v>
      </c>
      <c r="D31" s="116">
        <v>8.6067112907857846E-2</v>
      </c>
      <c r="E31" s="115">
        <v>49163</v>
      </c>
      <c r="F31" s="116">
        <f t="shared" ref="F31:L43" si="5">IFERROR(E31/C31-1,"-")</f>
        <v>0</v>
      </c>
      <c r="G31" s="115">
        <v>28358</v>
      </c>
      <c r="H31" s="116">
        <f t="shared" si="5"/>
        <v>-0.42318410186522382</v>
      </c>
      <c r="I31" s="115">
        <v>49540</v>
      </c>
      <c r="J31" s="116">
        <f t="shared" si="5"/>
        <v>0.74694971436631641</v>
      </c>
      <c r="K31" s="115">
        <v>54397</v>
      </c>
      <c r="L31" s="116">
        <f t="shared" si="5"/>
        <v>9.8041986273718296E-2</v>
      </c>
      <c r="M31" s="115">
        <v>54883</v>
      </c>
      <c r="N31" s="116">
        <f t="shared" ref="N31" si="6">IFERROR(M31/K31-1,"-")</f>
        <v>8.9343162306745327E-3</v>
      </c>
    </row>
    <row r="32" spans="1:15" x14ac:dyDescent="0.25">
      <c r="B32" s="114" t="s">
        <v>73</v>
      </c>
      <c r="C32" s="115">
        <v>47980</v>
      </c>
      <c r="D32" s="116">
        <v>0.12223417691911864</v>
      </c>
      <c r="E32" s="115">
        <v>47980</v>
      </c>
      <c r="F32" s="116">
        <f t="shared" si="5"/>
        <v>0</v>
      </c>
      <c r="G32" s="115">
        <v>41758</v>
      </c>
      <c r="H32" s="116">
        <f t="shared" si="5"/>
        <v>-0.12967903293038763</v>
      </c>
      <c r="I32" s="115">
        <v>48085</v>
      </c>
      <c r="J32" s="116">
        <f t="shared" si="5"/>
        <v>0.15151587719718385</v>
      </c>
      <c r="K32" s="115">
        <v>56657</v>
      </c>
      <c r="L32" s="116">
        <f t="shared" si="5"/>
        <v>0.17826765103462616</v>
      </c>
      <c r="M32" s="115"/>
      <c r="N32" s="116"/>
    </row>
    <row r="33" spans="2:15" x14ac:dyDescent="0.25">
      <c r="B33" s="114" t="s">
        <v>75</v>
      </c>
      <c r="C33" s="115">
        <v>19076</v>
      </c>
      <c r="D33" s="116">
        <v>-0.64390517080455478</v>
      </c>
      <c r="E33" s="115">
        <v>19076</v>
      </c>
      <c r="F33" s="116">
        <f t="shared" si="5"/>
        <v>0</v>
      </c>
      <c r="G33" s="115">
        <v>46880</v>
      </c>
      <c r="H33" s="116">
        <f t="shared" si="5"/>
        <v>1.4575382679807087</v>
      </c>
      <c r="I33" s="115">
        <v>53645</v>
      </c>
      <c r="J33" s="116">
        <f t="shared" si="5"/>
        <v>0.14430460750853236</v>
      </c>
      <c r="K33" s="115">
        <v>62724</v>
      </c>
      <c r="L33" s="116">
        <f t="shared" si="5"/>
        <v>0.16924224065616555</v>
      </c>
      <c r="M33" s="115"/>
      <c r="N33" s="116"/>
    </row>
    <row r="34" spans="2:15" x14ac:dyDescent="0.25">
      <c r="B34" s="114" t="s">
        <v>77</v>
      </c>
      <c r="C34" s="115">
        <v>0</v>
      </c>
      <c r="D34" s="116">
        <v>-1</v>
      </c>
      <c r="E34" s="115">
        <v>0</v>
      </c>
      <c r="F34" s="116" t="str">
        <f t="shared" si="5"/>
        <v>-</v>
      </c>
      <c r="G34" s="115">
        <v>49231</v>
      </c>
      <c r="H34" s="116" t="str">
        <f t="shared" si="5"/>
        <v>-</v>
      </c>
      <c r="I34" s="115">
        <v>51684</v>
      </c>
      <c r="J34" s="116">
        <f t="shared" si="5"/>
        <v>4.9826328939083009E-2</v>
      </c>
      <c r="K34" s="115">
        <v>51569</v>
      </c>
      <c r="L34" s="116">
        <f t="shared" si="5"/>
        <v>-2.2250599798777637E-3</v>
      </c>
      <c r="M34" s="115"/>
      <c r="N34" s="116"/>
    </row>
    <row r="35" spans="2:15" x14ac:dyDescent="0.25">
      <c r="B35" s="114" t="s">
        <v>79</v>
      </c>
      <c r="C35" s="115">
        <v>0</v>
      </c>
      <c r="D35" s="116">
        <v>-1</v>
      </c>
      <c r="E35" s="115">
        <v>0</v>
      </c>
      <c r="F35" s="116" t="str">
        <f t="shared" si="5"/>
        <v>-</v>
      </c>
      <c r="G35" s="115">
        <v>43875</v>
      </c>
      <c r="H35" s="116" t="str">
        <f t="shared" si="5"/>
        <v>-</v>
      </c>
      <c r="I35" s="115">
        <v>46378</v>
      </c>
      <c r="J35" s="116">
        <f t="shared" si="5"/>
        <v>5.70484330484331E-2</v>
      </c>
      <c r="K35" s="115">
        <v>61791</v>
      </c>
      <c r="L35" s="116">
        <f t="shared" si="5"/>
        <v>0.33233429643365398</v>
      </c>
      <c r="M35" s="115"/>
      <c r="N35" s="116"/>
    </row>
    <row r="36" spans="2:15" x14ac:dyDescent="0.25">
      <c r="B36" s="114" t="s">
        <v>81</v>
      </c>
      <c r="C36" s="115">
        <v>0</v>
      </c>
      <c r="D36" s="116">
        <v>-1</v>
      </c>
      <c r="E36" s="115">
        <v>0</v>
      </c>
      <c r="F36" s="116" t="str">
        <f t="shared" si="5"/>
        <v>-</v>
      </c>
      <c r="G36" s="115">
        <v>51223</v>
      </c>
      <c r="H36" s="116" t="str">
        <f t="shared" si="5"/>
        <v>-</v>
      </c>
      <c r="I36" s="115">
        <v>57186</v>
      </c>
      <c r="J36" s="116">
        <f t="shared" si="5"/>
        <v>0.11641254905023124</v>
      </c>
      <c r="K36" s="115">
        <v>66284</v>
      </c>
      <c r="L36" s="116">
        <f t="shared" si="5"/>
        <v>0.15909488336306099</v>
      </c>
      <c r="M36" s="115"/>
      <c r="N36" s="116"/>
    </row>
    <row r="37" spans="2:15" x14ac:dyDescent="0.25">
      <c r="B37" s="114" t="s">
        <v>83</v>
      </c>
      <c r="C37" s="115">
        <v>0</v>
      </c>
      <c r="D37" s="116">
        <v>-1</v>
      </c>
      <c r="E37" s="115">
        <v>0</v>
      </c>
      <c r="F37" s="116" t="str">
        <f t="shared" si="5"/>
        <v>-</v>
      </c>
      <c r="G37" s="115">
        <v>58059</v>
      </c>
      <c r="H37" s="116" t="str">
        <f t="shared" si="5"/>
        <v>-</v>
      </c>
      <c r="I37" s="115">
        <v>61296</v>
      </c>
      <c r="J37" s="116">
        <f t="shared" si="5"/>
        <v>5.5753629928176451E-2</v>
      </c>
      <c r="K37" s="115">
        <v>71595</v>
      </c>
      <c r="L37" s="116">
        <f t="shared" si="5"/>
        <v>0.16802075176194209</v>
      </c>
      <c r="M37" s="115"/>
      <c r="N37" s="116"/>
    </row>
    <row r="38" spans="2:15" x14ac:dyDescent="0.25">
      <c r="B38" s="114" t="s">
        <v>85</v>
      </c>
      <c r="C38" s="115">
        <v>17316</v>
      </c>
      <c r="D38" s="116">
        <v>-0.71684599535598648</v>
      </c>
      <c r="E38" s="115">
        <v>17316</v>
      </c>
      <c r="F38" s="116">
        <f t="shared" si="5"/>
        <v>0</v>
      </c>
      <c r="G38" s="115">
        <v>52300</v>
      </c>
      <c r="H38" s="116">
        <f t="shared" si="5"/>
        <v>2.0203280203280203</v>
      </c>
      <c r="I38" s="115">
        <v>61320</v>
      </c>
      <c r="J38" s="116">
        <f t="shared" si="5"/>
        <v>0.17246653919694066</v>
      </c>
      <c r="K38" s="115">
        <v>71470</v>
      </c>
      <c r="L38" s="116">
        <f t="shared" si="5"/>
        <v>0.16552511415525117</v>
      </c>
      <c r="M38" s="115"/>
      <c r="N38" s="116"/>
    </row>
    <row r="39" spans="2:15" x14ac:dyDescent="0.25">
      <c r="B39" s="114" t="s">
        <v>87</v>
      </c>
      <c r="C39" s="115">
        <v>13941</v>
      </c>
      <c r="D39" s="116">
        <v>-0.75379697654704714</v>
      </c>
      <c r="E39" s="115">
        <v>13941</v>
      </c>
      <c r="F39" s="116">
        <f t="shared" si="5"/>
        <v>0</v>
      </c>
      <c r="G39" s="115">
        <v>51986</v>
      </c>
      <c r="H39" s="116">
        <f t="shared" si="5"/>
        <v>2.7290007890395236</v>
      </c>
      <c r="I39" s="115">
        <v>58014</v>
      </c>
      <c r="J39" s="116">
        <f t="shared" si="5"/>
        <v>0.11595429538721969</v>
      </c>
      <c r="K39" s="115">
        <v>60705</v>
      </c>
      <c r="L39" s="116">
        <f t="shared" si="5"/>
        <v>4.6385355259075389E-2</v>
      </c>
      <c r="M39" s="115"/>
      <c r="N39" s="116"/>
    </row>
    <row r="40" spans="2:15" x14ac:dyDescent="0.25">
      <c r="B40" s="114" t="s">
        <v>89</v>
      </c>
      <c r="C40" s="115">
        <v>10972</v>
      </c>
      <c r="D40" s="116">
        <v>-0.80026214228500692</v>
      </c>
      <c r="E40" s="115">
        <v>10972</v>
      </c>
      <c r="F40" s="116">
        <f t="shared" si="5"/>
        <v>0</v>
      </c>
      <c r="G40" s="115">
        <v>50768</v>
      </c>
      <c r="H40" s="116">
        <f t="shared" si="5"/>
        <v>3.6270506744440389</v>
      </c>
      <c r="I40" s="115">
        <v>58960</v>
      </c>
      <c r="J40" s="116">
        <f t="shared" si="5"/>
        <v>0.16136148755121327</v>
      </c>
      <c r="K40" s="115">
        <v>66534</v>
      </c>
      <c r="L40" s="116">
        <f t="shared" si="5"/>
        <v>0.12845997286295785</v>
      </c>
      <c r="M40" s="115"/>
      <c r="N40" s="116"/>
    </row>
    <row r="41" spans="2:15" x14ac:dyDescent="0.25">
      <c r="B41" s="114" t="s">
        <v>91</v>
      </c>
      <c r="C41" s="115">
        <v>4036</v>
      </c>
      <c r="D41" s="116">
        <v>-0.92567492910021731</v>
      </c>
      <c r="E41" s="115">
        <v>4036</v>
      </c>
      <c r="F41" s="116">
        <f t="shared" si="5"/>
        <v>0</v>
      </c>
      <c r="G41" s="115">
        <v>50254</v>
      </c>
      <c r="H41" s="116">
        <f t="shared" si="5"/>
        <v>11.451437066402379</v>
      </c>
      <c r="I41" s="115">
        <v>55542</v>
      </c>
      <c r="J41" s="116">
        <f t="shared" si="5"/>
        <v>0.10522545469017386</v>
      </c>
      <c r="K41" s="115">
        <v>60936</v>
      </c>
      <c r="L41" s="116">
        <f t="shared" si="5"/>
        <v>9.7115696229880033E-2</v>
      </c>
      <c r="M41" s="115"/>
      <c r="N41" s="116"/>
    </row>
    <row r="42" spans="2:15" x14ac:dyDescent="0.25">
      <c r="B42" s="114" t="s">
        <v>93</v>
      </c>
      <c r="C42" s="115">
        <v>5448</v>
      </c>
      <c r="D42" s="116">
        <v>-0.8901391409558379</v>
      </c>
      <c r="E42" s="115">
        <v>5448</v>
      </c>
      <c r="F42" s="116">
        <f t="shared" si="5"/>
        <v>0</v>
      </c>
      <c r="G42" s="115">
        <v>50108</v>
      </c>
      <c r="H42" s="116">
        <f t="shared" si="5"/>
        <v>8.1975036710719529</v>
      </c>
      <c r="I42" s="115">
        <v>50998</v>
      </c>
      <c r="J42" s="116">
        <f t="shared" si="5"/>
        <v>1.776163486868354E-2</v>
      </c>
      <c r="K42" s="115">
        <v>56389</v>
      </c>
      <c r="L42" s="116">
        <f t="shared" si="5"/>
        <v>0.10571002784422912</v>
      </c>
      <c r="M42" s="115"/>
      <c r="N42" s="116"/>
    </row>
    <row r="43" spans="2:15" ht="15.75" x14ac:dyDescent="0.25">
      <c r="B43" s="117" t="s">
        <v>30</v>
      </c>
      <c r="C43" s="118">
        <v>177177</v>
      </c>
      <c r="D43" s="119">
        <v>-0.71990438836535409</v>
      </c>
      <c r="E43" s="118">
        <v>177177</v>
      </c>
      <c r="F43" s="119">
        <f t="shared" si="5"/>
        <v>0</v>
      </c>
      <c r="G43" s="118">
        <v>574800</v>
      </c>
      <c r="H43" s="119">
        <f t="shared" si="5"/>
        <v>2.244213413704939</v>
      </c>
      <c r="I43" s="118">
        <v>652648</v>
      </c>
      <c r="J43" s="119">
        <f t="shared" si="5"/>
        <v>0.13543493389004868</v>
      </c>
      <c r="K43" s="118">
        <v>741051</v>
      </c>
      <c r="L43" s="119">
        <f t="shared" si="5"/>
        <v>0.13545280151015548</v>
      </c>
      <c r="M43" s="118">
        <v>54883</v>
      </c>
      <c r="N43" s="119">
        <v>8.9343162306745327E-3</v>
      </c>
    </row>
    <row r="44" spans="2:15" ht="6" customHeight="1" x14ac:dyDescent="0.25"/>
    <row r="45" spans="2:15" x14ac:dyDescent="0.25">
      <c r="B45" s="105" t="s">
        <v>55</v>
      </c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</row>
    <row r="46" spans="2:15" x14ac:dyDescent="0.25">
      <c r="K46" s="79"/>
    </row>
    <row r="48" spans="2:15" ht="48.75" customHeight="1" thickBot="1" x14ac:dyDescent="0.3">
      <c r="B48" s="265" t="s">
        <v>251</v>
      </c>
      <c r="C48" s="265"/>
      <c r="D48" s="265"/>
      <c r="E48" s="265"/>
      <c r="F48" s="265"/>
      <c r="G48" s="265"/>
      <c r="H48" s="265"/>
      <c r="I48" s="265"/>
      <c r="J48" s="265"/>
      <c r="K48" s="265"/>
      <c r="L48" s="265"/>
      <c r="M48" s="265"/>
      <c r="N48" s="265"/>
      <c r="O48" s="1" t="s">
        <v>98</v>
      </c>
    </row>
    <row r="49" spans="1:15" ht="10.5" customHeight="1" thickBot="1" x14ac:dyDescent="0.3">
      <c r="B49" s="106"/>
      <c r="C49" s="107"/>
      <c r="D49" s="106"/>
      <c r="E49" s="106"/>
      <c r="F49" s="106"/>
      <c r="G49" s="106"/>
      <c r="H49" s="106"/>
      <c r="I49" s="106"/>
      <c r="J49" s="106"/>
      <c r="K49" s="106"/>
      <c r="L49" s="106"/>
      <c r="M49" s="4"/>
      <c r="N49" s="4"/>
      <c r="O49" s="1" t="s">
        <v>99</v>
      </c>
    </row>
    <row r="50" spans="1:15" ht="22.5" thickTop="1" thickBot="1" x14ac:dyDescent="0.3">
      <c r="B50" s="109"/>
      <c r="C50" s="290" t="s">
        <v>61</v>
      </c>
      <c r="D50" s="291"/>
      <c r="E50" s="291"/>
      <c r="F50" s="291"/>
      <c r="G50" s="291"/>
      <c r="H50" s="291"/>
      <c r="I50" s="291"/>
      <c r="J50" s="291"/>
      <c r="K50" s="291"/>
      <c r="L50" s="291"/>
      <c r="M50" s="291"/>
      <c r="N50" s="291"/>
    </row>
    <row r="51" spans="1:15" ht="22.5" thickTop="1" thickBot="1" x14ac:dyDescent="0.3">
      <c r="B51" s="109"/>
      <c r="C51" s="292">
        <f>$C$7</f>
        <v>2020</v>
      </c>
      <c r="D51" s="293"/>
      <c r="E51" s="294">
        <f>$C$7</f>
        <v>2020</v>
      </c>
      <c r="F51" s="293"/>
      <c r="G51" s="294">
        <v>2022</v>
      </c>
      <c r="H51" s="293"/>
      <c r="I51" s="294">
        <v>2023</v>
      </c>
      <c r="J51" s="293"/>
      <c r="K51" s="294">
        <v>2024</v>
      </c>
      <c r="L51" s="293"/>
      <c r="M51" s="294">
        <v>2025</v>
      </c>
      <c r="N51" s="295"/>
    </row>
    <row r="52" spans="1:15" ht="16.5" thickTop="1" thickBot="1" x14ac:dyDescent="0.3">
      <c r="B52" s="85"/>
      <c r="C52" s="111" t="s">
        <v>69</v>
      </c>
      <c r="D52" s="112" t="str">
        <f>CONCATENATE("var ",RIGHT(C51,2),"/",RIGHT(C51-1,2))</f>
        <v>var 20/19</v>
      </c>
      <c r="E52" s="113" t="s">
        <v>69</v>
      </c>
      <c r="F52" s="112" t="str">
        <f>CONCATENATE("var ",RIGHT(E51,2),"/",RIGHT(E51-1,2))</f>
        <v>var 20/19</v>
      </c>
      <c r="G52" s="113" t="s">
        <v>69</v>
      </c>
      <c r="H52" s="112" t="str">
        <f>CONCATENATE("var ",RIGHT(G51,2),"/",RIGHT(G51-1,2))</f>
        <v>var 22/21</v>
      </c>
      <c r="I52" s="113" t="s">
        <v>69</v>
      </c>
      <c r="J52" s="112" t="str">
        <f>CONCATENATE("var ",RIGHT(I51,2),"/",RIGHT(I51-1,2))</f>
        <v>var 23/22</v>
      </c>
      <c r="K52" s="113" t="s">
        <v>69</v>
      </c>
      <c r="L52" s="112" t="str">
        <f>CONCATENATE("var ",RIGHT(K51,2),"/",RIGHT(K51-1,2))</f>
        <v>var 24/23</v>
      </c>
      <c r="M52" s="113" t="s">
        <v>69</v>
      </c>
      <c r="N52" s="112" t="str">
        <f>CONCATENATE("var ",RIGHT(M51,2),"/",RIGHT(M51-1,2))</f>
        <v>var 25/24</v>
      </c>
    </row>
    <row r="53" spans="1:15" x14ac:dyDescent="0.25">
      <c r="A53" s="1">
        <v>1</v>
      </c>
      <c r="B53" s="114" t="s">
        <v>71</v>
      </c>
      <c r="C53" s="115">
        <v>39435</v>
      </c>
      <c r="D53" s="116">
        <v>0.13110945387792561</v>
      </c>
      <c r="E53" s="115">
        <v>39435</v>
      </c>
      <c r="F53" s="116">
        <f t="shared" ref="F53:L65" si="7">IFERROR(E53/C53-1,"-")</f>
        <v>0</v>
      </c>
      <c r="G53" s="115">
        <v>21891</v>
      </c>
      <c r="H53" s="116">
        <f t="shared" si="7"/>
        <v>-0.44488398630658044</v>
      </c>
      <c r="I53" s="115">
        <v>42127</v>
      </c>
      <c r="J53" s="116">
        <f t="shared" si="7"/>
        <v>0.92439815449271401</v>
      </c>
      <c r="K53" s="115">
        <v>46328</v>
      </c>
      <c r="L53" s="116">
        <f t="shared" si="7"/>
        <v>9.9722268378949375E-2</v>
      </c>
      <c r="M53" s="115">
        <v>46073</v>
      </c>
      <c r="N53" s="116">
        <f t="shared" ref="N53" si="8">IFERROR(M53/K53-1,"-")</f>
        <v>-5.5042307028146942E-3</v>
      </c>
    </row>
    <row r="54" spans="1:15" x14ac:dyDescent="0.25">
      <c r="A54" s="1">
        <v>2</v>
      </c>
      <c r="B54" s="114" t="s">
        <v>73</v>
      </c>
      <c r="C54" s="115">
        <v>38553</v>
      </c>
      <c r="D54" s="116">
        <v>0.16053582179409998</v>
      </c>
      <c r="E54" s="115">
        <v>38553</v>
      </c>
      <c r="F54" s="116">
        <f t="shared" si="7"/>
        <v>0</v>
      </c>
      <c r="G54" s="115">
        <v>31654</v>
      </c>
      <c r="H54" s="116">
        <f t="shared" si="7"/>
        <v>-0.1789484605607865</v>
      </c>
      <c r="I54" s="115">
        <v>40353</v>
      </c>
      <c r="J54" s="116">
        <f t="shared" si="7"/>
        <v>0.27481518923358816</v>
      </c>
      <c r="K54" s="115">
        <v>48431</v>
      </c>
      <c r="L54" s="116">
        <f t="shared" si="7"/>
        <v>0.2001833816568781</v>
      </c>
      <c r="M54" s="115"/>
      <c r="N54" s="116"/>
    </row>
    <row r="55" spans="1:15" x14ac:dyDescent="0.25">
      <c r="A55" s="1">
        <v>3</v>
      </c>
      <c r="B55" s="114" t="s">
        <v>75</v>
      </c>
      <c r="C55" s="115">
        <v>15406</v>
      </c>
      <c r="D55" s="116">
        <v>-0.62886051553842448</v>
      </c>
      <c r="E55" s="115">
        <v>15406</v>
      </c>
      <c r="F55" s="116">
        <f t="shared" si="7"/>
        <v>0</v>
      </c>
      <c r="G55" s="115">
        <v>36530</v>
      </c>
      <c r="H55" s="116">
        <f t="shared" si="7"/>
        <v>1.3711540958068285</v>
      </c>
      <c r="I55" s="115">
        <v>44700</v>
      </c>
      <c r="J55" s="116">
        <f t="shared" si="7"/>
        <v>0.22365179304681093</v>
      </c>
      <c r="K55" s="115">
        <v>53005</v>
      </c>
      <c r="L55" s="116">
        <f t="shared" si="7"/>
        <v>0.18579418344519016</v>
      </c>
      <c r="M55" s="115"/>
      <c r="N55" s="116"/>
    </row>
    <row r="56" spans="1:15" x14ac:dyDescent="0.25">
      <c r="A56" s="1">
        <v>4</v>
      </c>
      <c r="B56" s="114" t="s">
        <v>77</v>
      </c>
      <c r="C56" s="115">
        <v>0</v>
      </c>
      <c r="D56" s="116">
        <v>-1</v>
      </c>
      <c r="E56" s="115">
        <v>0</v>
      </c>
      <c r="F56" s="116" t="str">
        <f t="shared" si="7"/>
        <v>-</v>
      </c>
      <c r="G56" s="115">
        <v>40420</v>
      </c>
      <c r="H56" s="116" t="str">
        <f t="shared" si="7"/>
        <v>-</v>
      </c>
      <c r="I56" s="115">
        <v>43079</v>
      </c>
      <c r="J56" s="116">
        <f t="shared" si="7"/>
        <v>6.5784265215240056E-2</v>
      </c>
      <c r="K56" s="115">
        <v>42442</v>
      </c>
      <c r="L56" s="116">
        <f t="shared" si="7"/>
        <v>-1.4786787065623641E-2</v>
      </c>
      <c r="M56" s="115"/>
      <c r="N56" s="116"/>
    </row>
    <row r="57" spans="1:15" x14ac:dyDescent="0.25">
      <c r="A57" s="1">
        <v>5</v>
      </c>
      <c r="B57" s="114" t="s">
        <v>79</v>
      </c>
      <c r="C57" s="115">
        <v>0</v>
      </c>
      <c r="D57" s="116">
        <v>-1</v>
      </c>
      <c r="E57" s="115">
        <v>0</v>
      </c>
      <c r="F57" s="116" t="str">
        <f t="shared" si="7"/>
        <v>-</v>
      </c>
      <c r="G57" s="115">
        <v>36270</v>
      </c>
      <c r="H57" s="116" t="str">
        <f t="shared" si="7"/>
        <v>-</v>
      </c>
      <c r="I57" s="115">
        <v>38430</v>
      </c>
      <c r="J57" s="116">
        <f t="shared" si="7"/>
        <v>5.9553349875930417E-2</v>
      </c>
      <c r="K57" s="115">
        <v>51394</v>
      </c>
      <c r="L57" s="116">
        <f t="shared" si="7"/>
        <v>0.33734061930783232</v>
      </c>
      <c r="M57" s="115"/>
      <c r="N57" s="116"/>
    </row>
    <row r="58" spans="1:15" x14ac:dyDescent="0.25">
      <c r="A58" s="1">
        <v>6</v>
      </c>
      <c r="B58" s="114" t="s">
        <v>81</v>
      </c>
      <c r="C58" s="115">
        <v>0</v>
      </c>
      <c r="D58" s="116">
        <v>-1</v>
      </c>
      <c r="E58" s="115">
        <v>0</v>
      </c>
      <c r="F58" s="116" t="str">
        <f t="shared" si="7"/>
        <v>-</v>
      </c>
      <c r="G58" s="115">
        <v>43291</v>
      </c>
      <c r="H58" s="116" t="str">
        <f t="shared" si="7"/>
        <v>-</v>
      </c>
      <c r="I58" s="115">
        <v>47732</v>
      </c>
      <c r="J58" s="116">
        <f t="shared" si="7"/>
        <v>0.10258483287519349</v>
      </c>
      <c r="K58" s="115">
        <v>55532</v>
      </c>
      <c r="L58" s="116">
        <f t="shared" si="7"/>
        <v>0.16341238582083295</v>
      </c>
      <c r="M58" s="115"/>
      <c r="N58" s="116"/>
    </row>
    <row r="59" spans="1:15" x14ac:dyDescent="0.25">
      <c r="A59" s="1">
        <v>7</v>
      </c>
      <c r="B59" s="114" t="s">
        <v>83</v>
      </c>
      <c r="C59" s="115">
        <v>0</v>
      </c>
      <c r="D59" s="116">
        <v>-1</v>
      </c>
      <c r="E59" s="115">
        <v>0</v>
      </c>
      <c r="F59" s="116" t="str">
        <f t="shared" si="7"/>
        <v>-</v>
      </c>
      <c r="G59" s="115">
        <v>49808</v>
      </c>
      <c r="H59" s="116" t="str">
        <f t="shared" si="7"/>
        <v>-</v>
      </c>
      <c r="I59" s="115">
        <v>51553</v>
      </c>
      <c r="J59" s="116">
        <f t="shared" si="7"/>
        <v>3.503453260520395E-2</v>
      </c>
      <c r="K59" s="115">
        <v>60327</v>
      </c>
      <c r="L59" s="116">
        <f t="shared" si="7"/>
        <v>0.17019378115725559</v>
      </c>
      <c r="M59" s="115"/>
      <c r="N59" s="116"/>
    </row>
    <row r="60" spans="1:15" x14ac:dyDescent="0.25">
      <c r="A60" s="1">
        <v>8</v>
      </c>
      <c r="B60" s="114" t="s">
        <v>85</v>
      </c>
      <c r="C60" s="115">
        <v>15102</v>
      </c>
      <c r="D60" s="116">
        <v>-0.6892720464178429</v>
      </c>
      <c r="E60" s="115">
        <v>15102</v>
      </c>
      <c r="F60" s="116">
        <f t="shared" si="7"/>
        <v>0</v>
      </c>
      <c r="G60" s="115">
        <v>43951</v>
      </c>
      <c r="H60" s="116">
        <f t="shared" si="7"/>
        <v>1.9102767845318502</v>
      </c>
      <c r="I60" s="115">
        <v>52333</v>
      </c>
      <c r="J60" s="116">
        <f t="shared" si="7"/>
        <v>0.19071238424609227</v>
      </c>
      <c r="K60" s="115">
        <v>61133</v>
      </c>
      <c r="L60" s="116">
        <f t="shared" si="7"/>
        <v>0.16815393728622485</v>
      </c>
      <c r="M60" s="115"/>
      <c r="N60" s="116"/>
    </row>
    <row r="61" spans="1:15" x14ac:dyDescent="0.25">
      <c r="A61" s="1">
        <v>9</v>
      </c>
      <c r="B61" s="114" t="s">
        <v>87</v>
      </c>
      <c r="C61" s="115">
        <v>11726</v>
      </c>
      <c r="D61" s="116">
        <v>-0.73912076176915553</v>
      </c>
      <c r="E61" s="115">
        <v>11726</v>
      </c>
      <c r="F61" s="116">
        <f t="shared" si="7"/>
        <v>0</v>
      </c>
      <c r="G61" s="115">
        <v>44396</v>
      </c>
      <c r="H61" s="116">
        <f t="shared" si="7"/>
        <v>2.7861163227016887</v>
      </c>
      <c r="I61" s="115">
        <v>49248</v>
      </c>
      <c r="J61" s="116">
        <f t="shared" si="7"/>
        <v>0.10928912514640965</v>
      </c>
      <c r="K61" s="115">
        <v>51449</v>
      </c>
      <c r="L61" s="116">
        <f t="shared" si="7"/>
        <v>4.469217024041594E-2</v>
      </c>
      <c r="M61" s="115"/>
      <c r="N61" s="116"/>
    </row>
    <row r="62" spans="1:15" x14ac:dyDescent="0.25">
      <c r="A62" s="1">
        <v>10</v>
      </c>
      <c r="B62" s="114" t="s">
        <v>89</v>
      </c>
      <c r="C62" s="115">
        <v>8592</v>
      </c>
      <c r="D62" s="116">
        <v>-0.80728080209945496</v>
      </c>
      <c r="E62" s="115">
        <v>8592</v>
      </c>
      <c r="F62" s="116">
        <f t="shared" si="7"/>
        <v>0</v>
      </c>
      <c r="G62" s="115">
        <v>43447</v>
      </c>
      <c r="H62" s="116">
        <f t="shared" si="7"/>
        <v>4.0566806331471135</v>
      </c>
      <c r="I62" s="115">
        <v>50542</v>
      </c>
      <c r="J62" s="116">
        <f t="shared" si="7"/>
        <v>0.16330241443597937</v>
      </c>
      <c r="K62" s="115">
        <v>55323</v>
      </c>
      <c r="L62" s="116">
        <f t="shared" si="7"/>
        <v>9.4594594594594517E-2</v>
      </c>
      <c r="M62" s="115"/>
      <c r="N62" s="116"/>
    </row>
    <row r="63" spans="1:15" x14ac:dyDescent="0.25">
      <c r="A63" s="1">
        <v>11</v>
      </c>
      <c r="B63" s="114" t="s">
        <v>91</v>
      </c>
      <c r="C63" s="115">
        <v>2617</v>
      </c>
      <c r="D63" s="116">
        <v>-0.93814554822850926</v>
      </c>
      <c r="E63" s="115">
        <v>2617</v>
      </c>
      <c r="F63" s="116">
        <f t="shared" si="7"/>
        <v>0</v>
      </c>
      <c r="G63" s="115">
        <v>41928</v>
      </c>
      <c r="H63" s="116">
        <f t="shared" si="7"/>
        <v>15.021398547955673</v>
      </c>
      <c r="I63" s="115">
        <v>46726</v>
      </c>
      <c r="J63" s="116">
        <f t="shared" si="7"/>
        <v>0.11443426826941416</v>
      </c>
      <c r="K63" s="115">
        <v>49692</v>
      </c>
      <c r="L63" s="116">
        <f t="shared" si="7"/>
        <v>6.3476437101399608E-2</v>
      </c>
      <c r="M63" s="115"/>
      <c r="N63" s="116"/>
    </row>
    <row r="64" spans="1:15" x14ac:dyDescent="0.25">
      <c r="A64" s="1">
        <v>12</v>
      </c>
      <c r="B64" s="114" t="s">
        <v>93</v>
      </c>
      <c r="C64" s="115">
        <v>3713</v>
      </c>
      <c r="D64" s="116">
        <v>-0.90663582187130676</v>
      </c>
      <c r="E64" s="115">
        <v>3713</v>
      </c>
      <c r="F64" s="116">
        <f t="shared" si="7"/>
        <v>0</v>
      </c>
      <c r="G64" s="115">
        <v>42758</v>
      </c>
      <c r="H64" s="116">
        <f t="shared" si="7"/>
        <v>10.515755453810934</v>
      </c>
      <c r="I64" s="115">
        <v>42526</v>
      </c>
      <c r="J64" s="116">
        <f t="shared" si="7"/>
        <v>-5.4258852144627445E-3</v>
      </c>
      <c r="K64" s="115">
        <v>47307</v>
      </c>
      <c r="L64" s="116">
        <f t="shared" si="7"/>
        <v>0.1124253397921271</v>
      </c>
      <c r="M64" s="115"/>
      <c r="N64" s="116"/>
    </row>
    <row r="65" spans="1:15" ht="15.75" x14ac:dyDescent="0.25">
      <c r="B65" s="117" t="s">
        <v>30</v>
      </c>
      <c r="C65" s="118">
        <v>143122</v>
      </c>
      <c r="D65" s="119">
        <v>-0.71444532897585233</v>
      </c>
      <c r="E65" s="118">
        <v>143122</v>
      </c>
      <c r="F65" s="119">
        <f t="shared" si="7"/>
        <v>0</v>
      </c>
      <c r="G65" s="118">
        <v>476344</v>
      </c>
      <c r="H65" s="119">
        <f t="shared" si="7"/>
        <v>2.3282374477718308</v>
      </c>
      <c r="I65" s="118">
        <v>549349</v>
      </c>
      <c r="J65" s="119">
        <f t="shared" si="7"/>
        <v>0.15326108862502719</v>
      </c>
      <c r="K65" s="118">
        <v>622363</v>
      </c>
      <c r="L65" s="119">
        <f t="shared" si="7"/>
        <v>0.13291004443441246</v>
      </c>
      <c r="M65" s="118">
        <v>46073</v>
      </c>
      <c r="N65" s="119">
        <v>-5.5042307028146942E-3</v>
      </c>
    </row>
    <row r="66" spans="1:15" ht="6" customHeight="1" x14ac:dyDescent="0.25"/>
    <row r="67" spans="1:15" x14ac:dyDescent="0.25">
      <c r="B67" s="105" t="s">
        <v>55</v>
      </c>
      <c r="C67" s="105"/>
      <c r="D67" s="105"/>
      <c r="E67" s="105"/>
      <c r="F67" s="105"/>
      <c r="G67" s="105"/>
      <c r="H67" s="105"/>
      <c r="I67" s="105"/>
      <c r="J67" s="105"/>
      <c r="K67" s="105"/>
      <c r="L67" s="105"/>
      <c r="M67" s="105"/>
      <c r="N67" s="105"/>
    </row>
    <row r="70" spans="1:15" ht="48.75" customHeight="1" thickBot="1" x14ac:dyDescent="0.3">
      <c r="B70" s="265" t="s">
        <v>252</v>
      </c>
      <c r="C70" s="265"/>
      <c r="D70" s="265"/>
      <c r="E70" s="265"/>
      <c r="F70" s="265"/>
      <c r="G70" s="265"/>
      <c r="H70" s="265"/>
      <c r="I70" s="265"/>
      <c r="J70" s="265"/>
      <c r="K70" s="265"/>
      <c r="L70" s="265"/>
      <c r="M70" s="265"/>
      <c r="N70" s="265"/>
      <c r="O70" s="1" t="s">
        <v>101</v>
      </c>
    </row>
    <row r="71" spans="1:15" ht="10.5" customHeight="1" thickBot="1" x14ac:dyDescent="0.3">
      <c r="B71" s="106"/>
      <c r="C71" s="107"/>
      <c r="D71" s="106"/>
      <c r="E71" s="106"/>
      <c r="F71" s="106"/>
      <c r="G71" s="106"/>
      <c r="H71" s="106"/>
      <c r="I71" s="106"/>
      <c r="J71" s="106"/>
      <c r="K71" s="106"/>
      <c r="L71" s="106"/>
      <c r="M71" s="4"/>
      <c r="N71" s="4"/>
      <c r="O71" s="1" t="s">
        <v>102</v>
      </c>
    </row>
    <row r="72" spans="1:15" ht="22.5" thickTop="1" thickBot="1" x14ac:dyDescent="0.3">
      <c r="B72" s="109"/>
      <c r="C72" s="290" t="s">
        <v>62</v>
      </c>
      <c r="D72" s="291"/>
      <c r="E72" s="291"/>
      <c r="F72" s="291"/>
      <c r="G72" s="291"/>
      <c r="H72" s="291"/>
      <c r="I72" s="291"/>
      <c r="J72" s="291"/>
      <c r="K72" s="291"/>
      <c r="L72" s="291"/>
      <c r="M72" s="291"/>
      <c r="N72" s="291"/>
    </row>
    <row r="73" spans="1:15" ht="22.5" thickTop="1" thickBot="1" x14ac:dyDescent="0.3">
      <c r="B73" s="109"/>
      <c r="C73" s="292">
        <f>$C$7</f>
        <v>2020</v>
      </c>
      <c r="D73" s="293"/>
      <c r="E73" s="294">
        <f>$C$7</f>
        <v>2020</v>
      </c>
      <c r="F73" s="293"/>
      <c r="G73" s="294">
        <v>2022</v>
      </c>
      <c r="H73" s="293"/>
      <c r="I73" s="294">
        <v>2023</v>
      </c>
      <c r="J73" s="293"/>
      <c r="K73" s="294">
        <v>2024</v>
      </c>
      <c r="L73" s="293"/>
      <c r="M73" s="294">
        <v>2025</v>
      </c>
      <c r="N73" s="295"/>
    </row>
    <row r="74" spans="1:15" ht="16.5" thickTop="1" thickBot="1" x14ac:dyDescent="0.3">
      <c r="B74" s="85"/>
      <c r="C74" s="111" t="s">
        <v>69</v>
      </c>
      <c r="D74" s="112" t="str">
        <f>CONCATENATE("var ",RIGHT(C73,2),"/",RIGHT(C73-1,2))</f>
        <v>var 20/19</v>
      </c>
      <c r="E74" s="113" t="s">
        <v>69</v>
      </c>
      <c r="F74" s="112" t="str">
        <f>CONCATENATE("var ",RIGHT(E73,2),"/",RIGHT(E73-1,2))</f>
        <v>var 20/19</v>
      </c>
      <c r="G74" s="113" t="s">
        <v>69</v>
      </c>
      <c r="H74" s="112" t="str">
        <f>CONCATENATE("var ",RIGHT(G73,2),"/",RIGHT(G73-1,2))</f>
        <v>var 22/21</v>
      </c>
      <c r="I74" s="113" t="s">
        <v>69</v>
      </c>
      <c r="J74" s="112" t="str">
        <f>CONCATENATE("var ",RIGHT(I73,2),"/",RIGHT(I73-1,2))</f>
        <v>var 23/22</v>
      </c>
      <c r="K74" s="113" t="s">
        <v>69</v>
      </c>
      <c r="L74" s="112" t="str">
        <f>CONCATENATE("var ",RIGHT(K73,2),"/",RIGHT(K73-1,2))</f>
        <v>var 24/23</v>
      </c>
      <c r="M74" s="113" t="s">
        <v>69</v>
      </c>
      <c r="N74" s="112" t="str">
        <f>CONCATENATE("var ",RIGHT(M73,2),"/",RIGHT(M73-1,2))</f>
        <v>var 25/24</v>
      </c>
    </row>
    <row r="75" spans="1:15" x14ac:dyDescent="0.25">
      <c r="A75" s="1">
        <v>1</v>
      </c>
      <c r="B75" s="114" t="s">
        <v>71</v>
      </c>
      <c r="C75" s="115">
        <v>9728</v>
      </c>
      <c r="D75" s="116">
        <v>-6.4885129289627974E-2</v>
      </c>
      <c r="E75" s="115">
        <v>9728</v>
      </c>
      <c r="F75" s="116">
        <f t="shared" ref="F75:L87" si="9">IFERROR(E75/C75-1,"-")</f>
        <v>0</v>
      </c>
      <c r="G75" s="115">
        <v>6467</v>
      </c>
      <c r="H75" s="116">
        <f t="shared" si="9"/>
        <v>-0.33521792763157898</v>
      </c>
      <c r="I75" s="115">
        <v>7413</v>
      </c>
      <c r="J75" s="116">
        <f t="shared" si="9"/>
        <v>0.14628111952992118</v>
      </c>
      <c r="K75" s="115">
        <v>8069</v>
      </c>
      <c r="L75" s="116">
        <f t="shared" si="9"/>
        <v>8.8493187643329252E-2</v>
      </c>
      <c r="M75" s="115">
        <v>8810</v>
      </c>
      <c r="N75" s="116">
        <f t="shared" ref="N75" si="10">IFERROR(M75/K75-1,"-")</f>
        <v>9.1832940884867931E-2</v>
      </c>
    </row>
    <row r="76" spans="1:15" x14ac:dyDescent="0.25">
      <c r="A76" s="1">
        <v>2</v>
      </c>
      <c r="B76" s="114" t="s">
        <v>73</v>
      </c>
      <c r="C76" s="115">
        <v>9427</v>
      </c>
      <c r="D76" s="116">
        <v>-1.1222991399202797E-2</v>
      </c>
      <c r="E76" s="115">
        <v>9427</v>
      </c>
      <c r="F76" s="116">
        <f t="shared" si="9"/>
        <v>0</v>
      </c>
      <c r="G76" s="115">
        <v>10104</v>
      </c>
      <c r="H76" s="116">
        <f t="shared" si="9"/>
        <v>7.1814999469608676E-2</v>
      </c>
      <c r="I76" s="115">
        <v>7732</v>
      </c>
      <c r="J76" s="116">
        <f t="shared" si="9"/>
        <v>-0.23475851148060178</v>
      </c>
      <c r="K76" s="115">
        <v>8226</v>
      </c>
      <c r="L76" s="116">
        <f t="shared" si="9"/>
        <v>6.3890325918261714E-2</v>
      </c>
      <c r="M76" s="115"/>
      <c r="N76" s="116"/>
    </row>
    <row r="77" spans="1:15" x14ac:dyDescent="0.25">
      <c r="A77" s="1">
        <v>3</v>
      </c>
      <c r="B77" s="114" t="s">
        <v>75</v>
      </c>
      <c r="C77" s="115">
        <v>3670</v>
      </c>
      <c r="D77" s="116">
        <v>-0.69568822553897181</v>
      </c>
      <c r="E77" s="115">
        <v>3670</v>
      </c>
      <c r="F77" s="116">
        <f t="shared" si="9"/>
        <v>0</v>
      </c>
      <c r="G77" s="115">
        <v>10350</v>
      </c>
      <c r="H77" s="116">
        <f t="shared" si="9"/>
        <v>1.8201634877384194</v>
      </c>
      <c r="I77" s="115">
        <v>8945</v>
      </c>
      <c r="J77" s="116">
        <f t="shared" si="9"/>
        <v>-0.13574879227053138</v>
      </c>
      <c r="K77" s="115">
        <v>9719</v>
      </c>
      <c r="L77" s="116">
        <f t="shared" si="9"/>
        <v>8.6528787031861398E-2</v>
      </c>
      <c r="M77" s="115"/>
      <c r="N77" s="116"/>
    </row>
    <row r="78" spans="1:15" x14ac:dyDescent="0.25">
      <c r="A78" s="1">
        <v>4</v>
      </c>
      <c r="B78" s="114" t="s">
        <v>77</v>
      </c>
      <c r="C78" s="115">
        <v>0</v>
      </c>
      <c r="D78" s="116">
        <v>-1</v>
      </c>
      <c r="E78" s="115">
        <v>0</v>
      </c>
      <c r="F78" s="116" t="str">
        <f t="shared" si="9"/>
        <v>-</v>
      </c>
      <c r="G78" s="115">
        <v>8811</v>
      </c>
      <c r="H78" s="116" t="str">
        <f t="shared" si="9"/>
        <v>-</v>
      </c>
      <c r="I78" s="115">
        <v>8605</v>
      </c>
      <c r="J78" s="116">
        <f t="shared" si="9"/>
        <v>-2.3379866076495337E-2</v>
      </c>
      <c r="K78" s="115">
        <v>9127</v>
      </c>
      <c r="L78" s="116">
        <f t="shared" si="9"/>
        <v>6.0662405578152168E-2</v>
      </c>
      <c r="M78" s="115"/>
      <c r="N78" s="116"/>
    </row>
    <row r="79" spans="1:15" x14ac:dyDescent="0.25">
      <c r="A79" s="1">
        <v>5</v>
      </c>
      <c r="B79" s="114" t="s">
        <v>79</v>
      </c>
      <c r="C79" s="115">
        <v>0</v>
      </c>
      <c r="D79" s="116">
        <v>-1</v>
      </c>
      <c r="E79" s="115">
        <v>0</v>
      </c>
      <c r="F79" s="116" t="str">
        <f t="shared" si="9"/>
        <v>-</v>
      </c>
      <c r="G79" s="115">
        <v>7605</v>
      </c>
      <c r="H79" s="116" t="str">
        <f t="shared" si="9"/>
        <v>-</v>
      </c>
      <c r="I79" s="115">
        <v>7948</v>
      </c>
      <c r="J79" s="116">
        <f t="shared" si="9"/>
        <v>4.5101906640368172E-2</v>
      </c>
      <c r="K79" s="115">
        <v>10397</v>
      </c>
      <c r="L79" s="116">
        <f t="shared" si="9"/>
        <v>0.30812783090085549</v>
      </c>
      <c r="M79" s="115"/>
      <c r="N79" s="116"/>
    </row>
    <row r="80" spans="1:15" x14ac:dyDescent="0.25">
      <c r="A80" s="1">
        <v>6</v>
      </c>
      <c r="B80" s="114" t="s">
        <v>81</v>
      </c>
      <c r="C80" s="115">
        <v>0</v>
      </c>
      <c r="D80" s="116">
        <v>-1</v>
      </c>
      <c r="E80" s="115">
        <v>0</v>
      </c>
      <c r="F80" s="116" t="str">
        <f t="shared" si="9"/>
        <v>-</v>
      </c>
      <c r="G80" s="115">
        <v>7932</v>
      </c>
      <c r="H80" s="116" t="str">
        <f t="shared" si="9"/>
        <v>-</v>
      </c>
      <c r="I80" s="115">
        <v>9454</v>
      </c>
      <c r="J80" s="116">
        <f t="shared" si="9"/>
        <v>0.1918809884014121</v>
      </c>
      <c r="K80" s="115">
        <v>10752</v>
      </c>
      <c r="L80" s="116">
        <f t="shared" si="9"/>
        <v>0.13729638248360487</v>
      </c>
      <c r="M80" s="115"/>
      <c r="N80" s="116"/>
    </row>
    <row r="81" spans="1:15" x14ac:dyDescent="0.25">
      <c r="A81" s="1">
        <v>7</v>
      </c>
      <c r="B81" s="114" t="s">
        <v>83</v>
      </c>
      <c r="C81" s="115">
        <v>0</v>
      </c>
      <c r="D81" s="116">
        <v>-1</v>
      </c>
      <c r="E81" s="115">
        <v>0</v>
      </c>
      <c r="F81" s="116" t="str">
        <f t="shared" si="9"/>
        <v>-</v>
      </c>
      <c r="G81" s="115">
        <v>8251</v>
      </c>
      <c r="H81" s="116" t="str">
        <f t="shared" si="9"/>
        <v>-</v>
      </c>
      <c r="I81" s="115">
        <v>9743</v>
      </c>
      <c r="J81" s="116">
        <f t="shared" si="9"/>
        <v>0.18082656647679074</v>
      </c>
      <c r="K81" s="115">
        <v>11268</v>
      </c>
      <c r="L81" s="116">
        <f t="shared" si="9"/>
        <v>0.15652263163296731</v>
      </c>
      <c r="M81" s="115"/>
      <c r="N81" s="116"/>
    </row>
    <row r="82" spans="1:15" x14ac:dyDescent="0.25">
      <c r="A82" s="1">
        <v>8</v>
      </c>
      <c r="B82" s="114" t="s">
        <v>85</v>
      </c>
      <c r="C82" s="115">
        <v>2214</v>
      </c>
      <c r="D82" s="116">
        <v>-0.82361376673040154</v>
      </c>
      <c r="E82" s="115">
        <v>2214</v>
      </c>
      <c r="F82" s="116">
        <f t="shared" si="9"/>
        <v>0</v>
      </c>
      <c r="G82" s="115">
        <v>8349</v>
      </c>
      <c r="H82" s="116">
        <f t="shared" si="9"/>
        <v>2.7710027100271004</v>
      </c>
      <c r="I82" s="115">
        <v>8987</v>
      </c>
      <c r="J82" s="116">
        <f t="shared" si="9"/>
        <v>7.641633728590258E-2</v>
      </c>
      <c r="K82" s="115">
        <v>10337</v>
      </c>
      <c r="L82" s="116">
        <f t="shared" si="9"/>
        <v>0.15021698008234119</v>
      </c>
      <c r="M82" s="115"/>
      <c r="N82" s="116"/>
    </row>
    <row r="83" spans="1:15" x14ac:dyDescent="0.25">
      <c r="A83" s="1">
        <v>9</v>
      </c>
      <c r="B83" s="114" t="s">
        <v>87</v>
      </c>
      <c r="C83" s="115">
        <v>2215</v>
      </c>
      <c r="D83" s="116">
        <v>-0.81029462144570052</v>
      </c>
      <c r="E83" s="115">
        <v>2215</v>
      </c>
      <c r="F83" s="116">
        <f t="shared" si="9"/>
        <v>0</v>
      </c>
      <c r="G83" s="115">
        <v>7590</v>
      </c>
      <c r="H83" s="116">
        <f t="shared" si="9"/>
        <v>2.4266365688487586</v>
      </c>
      <c r="I83" s="115">
        <v>8766</v>
      </c>
      <c r="J83" s="116">
        <f t="shared" si="9"/>
        <v>0.15494071146245059</v>
      </c>
      <c r="K83" s="115">
        <v>9256</v>
      </c>
      <c r="L83" s="116">
        <f t="shared" si="9"/>
        <v>5.5897786903946978E-2</v>
      </c>
      <c r="M83" s="115"/>
      <c r="N83" s="116"/>
    </row>
    <row r="84" spans="1:15" x14ac:dyDescent="0.25">
      <c r="A84" s="1">
        <v>10</v>
      </c>
      <c r="B84" s="114" t="s">
        <v>89</v>
      </c>
      <c r="C84" s="115">
        <v>2380</v>
      </c>
      <c r="D84" s="116">
        <v>-0.77002608947724416</v>
      </c>
      <c r="E84" s="115">
        <v>2380</v>
      </c>
      <c r="F84" s="116">
        <f t="shared" si="9"/>
        <v>0</v>
      </c>
      <c r="G84" s="115">
        <v>7321</v>
      </c>
      <c r="H84" s="116">
        <f t="shared" si="9"/>
        <v>2.0760504201680674</v>
      </c>
      <c r="I84" s="115">
        <v>8418</v>
      </c>
      <c r="J84" s="116">
        <f t="shared" si="9"/>
        <v>0.14984291763420288</v>
      </c>
      <c r="K84" s="115">
        <v>11211</v>
      </c>
      <c r="L84" s="116">
        <f t="shared" si="9"/>
        <v>0.33178902352102635</v>
      </c>
      <c r="M84" s="115"/>
      <c r="N84" s="116"/>
    </row>
    <row r="85" spans="1:15" x14ac:dyDescent="0.25">
      <c r="A85" s="1">
        <v>11</v>
      </c>
      <c r="B85" s="114" t="s">
        <v>91</v>
      </c>
      <c r="C85" s="115">
        <v>1419</v>
      </c>
      <c r="D85" s="116">
        <v>-0.88168098057200028</v>
      </c>
      <c r="E85" s="115">
        <v>1419</v>
      </c>
      <c r="F85" s="116">
        <f t="shared" si="9"/>
        <v>0</v>
      </c>
      <c r="G85" s="115">
        <v>8326</v>
      </c>
      <c r="H85" s="116">
        <f t="shared" si="9"/>
        <v>4.8675123326286114</v>
      </c>
      <c r="I85" s="115">
        <v>8816</v>
      </c>
      <c r="J85" s="116">
        <f t="shared" si="9"/>
        <v>5.8851789574825952E-2</v>
      </c>
      <c r="K85" s="115">
        <v>11244</v>
      </c>
      <c r="L85" s="116">
        <f t="shared" si="9"/>
        <v>0.27540834845735018</v>
      </c>
      <c r="M85" s="115"/>
      <c r="N85" s="116"/>
    </row>
    <row r="86" spans="1:15" x14ac:dyDescent="0.25">
      <c r="A86" s="1">
        <v>12</v>
      </c>
      <c r="B86" s="114" t="s">
        <v>93</v>
      </c>
      <c r="C86" s="115">
        <v>1735</v>
      </c>
      <c r="D86" s="116">
        <v>-0.82333774564708273</v>
      </c>
      <c r="E86" s="115">
        <v>1735</v>
      </c>
      <c r="F86" s="116">
        <f t="shared" si="9"/>
        <v>0</v>
      </c>
      <c r="G86" s="115">
        <v>7350</v>
      </c>
      <c r="H86" s="116">
        <f t="shared" si="9"/>
        <v>3.2363112391930837</v>
      </c>
      <c r="I86" s="115">
        <v>8472</v>
      </c>
      <c r="J86" s="116">
        <f t="shared" si="9"/>
        <v>0.15265306122448985</v>
      </c>
      <c r="K86" s="115">
        <v>9082</v>
      </c>
      <c r="L86" s="116">
        <f t="shared" si="9"/>
        <v>7.2001888574126482E-2</v>
      </c>
      <c r="M86" s="115"/>
      <c r="N86" s="116"/>
    </row>
    <row r="87" spans="1:15" ht="15.75" x14ac:dyDescent="0.25">
      <c r="B87" s="117" t="s">
        <v>30</v>
      </c>
      <c r="C87" s="118">
        <v>34055</v>
      </c>
      <c r="D87" s="119">
        <v>-0.74073481941652963</v>
      </c>
      <c r="E87" s="118">
        <v>34055</v>
      </c>
      <c r="F87" s="119">
        <f t="shared" si="9"/>
        <v>0</v>
      </c>
      <c r="G87" s="118">
        <v>98456</v>
      </c>
      <c r="H87" s="119">
        <f t="shared" si="9"/>
        <v>1.8910879459697547</v>
      </c>
      <c r="I87" s="118">
        <v>103299</v>
      </c>
      <c r="J87" s="119">
        <f t="shared" si="9"/>
        <v>4.9189485658568399E-2</v>
      </c>
      <c r="K87" s="118">
        <v>118688</v>
      </c>
      <c r="L87" s="119">
        <f t="shared" si="9"/>
        <v>0.14897530469801246</v>
      </c>
      <c r="M87" s="118">
        <v>8810</v>
      </c>
      <c r="N87" s="119">
        <v>9.1832940884867931E-2</v>
      </c>
    </row>
    <row r="88" spans="1:15" ht="6" customHeight="1" x14ac:dyDescent="0.25"/>
    <row r="89" spans="1:15" x14ac:dyDescent="0.25">
      <c r="B89" s="105" t="s">
        <v>55</v>
      </c>
      <c r="C89" s="105"/>
      <c r="D89" s="105"/>
      <c r="E89" s="105"/>
      <c r="F89" s="105"/>
      <c r="G89" s="105"/>
      <c r="H89" s="105"/>
      <c r="I89" s="105"/>
      <c r="J89" s="105"/>
      <c r="K89" s="105"/>
      <c r="L89" s="105"/>
      <c r="M89" s="105"/>
      <c r="N89" s="105"/>
    </row>
    <row r="92" spans="1:15" ht="48.75" customHeight="1" thickBot="1" x14ac:dyDescent="0.3">
      <c r="B92" s="265" t="s">
        <v>253</v>
      </c>
      <c r="C92" s="265"/>
      <c r="D92" s="265"/>
      <c r="E92" s="265"/>
      <c r="F92" s="265"/>
      <c r="G92" s="265"/>
      <c r="H92" s="265"/>
      <c r="I92" s="265"/>
      <c r="J92" s="265"/>
      <c r="K92" s="265"/>
      <c r="L92" s="265"/>
      <c r="M92" s="265"/>
      <c r="N92" s="265"/>
      <c r="O92" s="1" t="s">
        <v>114</v>
      </c>
    </row>
    <row r="93" spans="1:15" ht="10.5" customHeight="1" thickBot="1" x14ac:dyDescent="0.3">
      <c r="B93" s="106"/>
      <c r="C93" s="107"/>
      <c r="D93" s="106"/>
      <c r="E93" s="106"/>
      <c r="F93" s="106"/>
      <c r="G93" s="106"/>
      <c r="H93" s="106"/>
      <c r="I93" s="106"/>
      <c r="J93" s="106"/>
      <c r="K93" s="106"/>
      <c r="L93" s="106"/>
      <c r="M93" s="4"/>
      <c r="N93" s="4"/>
      <c r="O93" s="1" t="s">
        <v>115</v>
      </c>
    </row>
    <row r="94" spans="1:15" ht="22.5" thickTop="1" thickBot="1" x14ac:dyDescent="0.3">
      <c r="B94" s="121" t="s">
        <v>96</v>
      </c>
      <c r="C94" s="290" t="s">
        <v>32</v>
      </c>
      <c r="D94" s="291"/>
      <c r="E94" s="291"/>
      <c r="F94" s="291"/>
      <c r="G94" s="291"/>
      <c r="H94" s="291"/>
      <c r="I94" s="291"/>
      <c r="J94" s="291"/>
      <c r="K94" s="291"/>
      <c r="L94" s="291"/>
      <c r="M94" s="291"/>
      <c r="N94" s="291"/>
    </row>
    <row r="95" spans="1:15" ht="22.5" thickTop="1" thickBot="1" x14ac:dyDescent="0.3">
      <c r="B95" s="109"/>
      <c r="C95" s="292">
        <f>$C$7</f>
        <v>2020</v>
      </c>
      <c r="D95" s="293"/>
      <c r="E95" s="294">
        <f>$C$7</f>
        <v>2020</v>
      </c>
      <c r="F95" s="293"/>
      <c r="G95" s="294">
        <v>2022</v>
      </c>
      <c r="H95" s="293"/>
      <c r="I95" s="294">
        <v>2023</v>
      </c>
      <c r="J95" s="293"/>
      <c r="K95" s="294">
        <v>2024</v>
      </c>
      <c r="L95" s="293"/>
      <c r="M95" s="294">
        <v>2025</v>
      </c>
      <c r="N95" s="295"/>
    </row>
    <row r="96" spans="1:15" ht="16.5" thickTop="1" thickBot="1" x14ac:dyDescent="0.3">
      <c r="B96" s="85"/>
      <c r="C96" s="111" t="s">
        <v>69</v>
      </c>
      <c r="D96" s="112" t="str">
        <f>CONCATENATE("var ",RIGHT(C95,2),"/",RIGHT(C95-1,2))</f>
        <v>var 20/19</v>
      </c>
      <c r="E96" s="113" t="s">
        <v>69</v>
      </c>
      <c r="F96" s="112" t="str">
        <f>CONCATENATE("var ",RIGHT(E95,2),"/",RIGHT(E95-1,2))</f>
        <v>var 20/19</v>
      </c>
      <c r="G96" s="113" t="s">
        <v>69</v>
      </c>
      <c r="H96" s="112" t="str">
        <f>CONCATENATE("var ",RIGHT(G95,2),"/",RIGHT(G95-1,2))</f>
        <v>var 22/21</v>
      </c>
      <c r="I96" s="113" t="s">
        <v>69</v>
      </c>
      <c r="J96" s="112" t="str">
        <f>CONCATENATE("var ",RIGHT(I95,2),"/",RIGHT(I95-1,2))</f>
        <v>var 23/22</v>
      </c>
      <c r="K96" s="113" t="s">
        <v>69</v>
      </c>
      <c r="L96" s="112" t="str">
        <f>CONCATENATE("var ",RIGHT(K95,2),"/",RIGHT(K95-1,2))</f>
        <v>var 24/23</v>
      </c>
      <c r="M96" s="113" t="s">
        <v>69</v>
      </c>
      <c r="N96" s="112" t="str">
        <f>CONCATENATE("var ",RIGHT(M95,2),"/",RIGHT(M95-1,2))</f>
        <v>var 25/24</v>
      </c>
    </row>
    <row r="97" spans="2:14" x14ac:dyDescent="0.25">
      <c r="B97" s="114" t="s">
        <v>71</v>
      </c>
      <c r="C97" s="115">
        <v>12148</v>
      </c>
      <c r="D97" s="116">
        <v>5.2962595167163062E-3</v>
      </c>
      <c r="E97" s="115">
        <v>12148</v>
      </c>
      <c r="F97" s="116">
        <f t="shared" ref="F97:L109" si="11">IFERROR(E97/C97-1,"-")</f>
        <v>0</v>
      </c>
      <c r="G97" s="115">
        <v>7747</v>
      </c>
      <c r="H97" s="116">
        <f t="shared" si="11"/>
        <v>-0.36228185709581828</v>
      </c>
      <c r="I97" s="115">
        <v>10548</v>
      </c>
      <c r="J97" s="116">
        <f t="shared" si="11"/>
        <v>0.36155931328256097</v>
      </c>
      <c r="K97" s="115">
        <v>10084</v>
      </c>
      <c r="L97" s="116">
        <f t="shared" si="11"/>
        <v>-4.3989381873340894E-2</v>
      </c>
      <c r="M97" s="115">
        <v>10527</v>
      </c>
      <c r="N97" s="116">
        <f t="shared" ref="N97" si="12">IFERROR(M97/K97-1,"-")</f>
        <v>4.3930979769932543E-2</v>
      </c>
    </row>
    <row r="98" spans="2:14" x14ac:dyDescent="0.25">
      <c r="B98" s="114" t="s">
        <v>73</v>
      </c>
      <c r="C98" s="115">
        <v>9663</v>
      </c>
      <c r="D98" s="116">
        <v>-5.5332877114087409E-2</v>
      </c>
      <c r="E98" s="115">
        <v>9663</v>
      </c>
      <c r="F98" s="116">
        <f t="shared" si="11"/>
        <v>0</v>
      </c>
      <c r="G98" s="115">
        <v>8701</v>
      </c>
      <c r="H98" s="116">
        <f t="shared" si="11"/>
        <v>-9.9555003622063487E-2</v>
      </c>
      <c r="I98" s="115">
        <v>9744</v>
      </c>
      <c r="J98" s="116">
        <f t="shared" si="11"/>
        <v>0.11987127916331453</v>
      </c>
      <c r="K98" s="115">
        <v>10212</v>
      </c>
      <c r="L98" s="116">
        <f t="shared" si="11"/>
        <v>4.8029556650246219E-2</v>
      </c>
      <c r="M98" s="115"/>
      <c r="N98" s="116"/>
    </row>
    <row r="99" spans="2:14" x14ac:dyDescent="0.25">
      <c r="B99" s="114" t="s">
        <v>75</v>
      </c>
      <c r="C99" s="115">
        <v>4212</v>
      </c>
      <c r="D99" s="116">
        <v>-0.71091283459162669</v>
      </c>
      <c r="E99" s="115">
        <v>4212</v>
      </c>
      <c r="F99" s="116">
        <f t="shared" si="11"/>
        <v>0</v>
      </c>
      <c r="G99" s="115">
        <v>10306</v>
      </c>
      <c r="H99" s="116">
        <f t="shared" si="11"/>
        <v>1.4468186134852803</v>
      </c>
      <c r="I99" s="115">
        <v>12785</v>
      </c>
      <c r="J99" s="116">
        <f t="shared" si="11"/>
        <v>0.24053949155831544</v>
      </c>
      <c r="K99" s="115">
        <v>13554</v>
      </c>
      <c r="L99" s="116">
        <f t="shared" si="11"/>
        <v>6.0148611654282425E-2</v>
      </c>
      <c r="M99" s="115"/>
      <c r="N99" s="116"/>
    </row>
    <row r="100" spans="2:14" x14ac:dyDescent="0.25">
      <c r="B100" s="114" t="s">
        <v>77</v>
      </c>
      <c r="C100" s="115">
        <v>0</v>
      </c>
      <c r="D100" s="116">
        <v>-1</v>
      </c>
      <c r="E100" s="115">
        <v>0</v>
      </c>
      <c r="F100" s="116" t="str">
        <f t="shared" si="11"/>
        <v>-</v>
      </c>
      <c r="G100" s="115">
        <v>11549</v>
      </c>
      <c r="H100" s="116" t="str">
        <f t="shared" si="11"/>
        <v>-</v>
      </c>
      <c r="I100" s="115">
        <v>13464</v>
      </c>
      <c r="J100" s="116">
        <f t="shared" si="11"/>
        <v>0.16581522209715116</v>
      </c>
      <c r="K100" s="115">
        <v>14976</v>
      </c>
      <c r="L100" s="116">
        <f t="shared" si="11"/>
        <v>0.11229946524064172</v>
      </c>
      <c r="M100" s="115"/>
      <c r="N100" s="116"/>
    </row>
    <row r="101" spans="2:14" x14ac:dyDescent="0.25">
      <c r="B101" s="114" t="s">
        <v>79</v>
      </c>
      <c r="C101" s="115">
        <v>0</v>
      </c>
      <c r="D101" s="116">
        <v>-1</v>
      </c>
      <c r="E101" s="115">
        <v>0</v>
      </c>
      <c r="F101" s="116" t="str">
        <f t="shared" si="11"/>
        <v>-</v>
      </c>
      <c r="G101" s="115">
        <v>9720</v>
      </c>
      <c r="H101" s="116" t="str">
        <f t="shared" si="11"/>
        <v>-</v>
      </c>
      <c r="I101" s="115">
        <v>11720</v>
      </c>
      <c r="J101" s="116">
        <f t="shared" si="11"/>
        <v>0.20576131687242794</v>
      </c>
      <c r="K101" s="115">
        <v>15274</v>
      </c>
      <c r="L101" s="116">
        <f t="shared" si="11"/>
        <v>0.30324232081911262</v>
      </c>
      <c r="M101" s="115"/>
      <c r="N101" s="116"/>
    </row>
    <row r="102" spans="2:14" x14ac:dyDescent="0.25">
      <c r="B102" s="114" t="s">
        <v>81</v>
      </c>
      <c r="C102" s="115">
        <v>0</v>
      </c>
      <c r="D102" s="116">
        <v>-1</v>
      </c>
      <c r="E102" s="115">
        <v>0</v>
      </c>
      <c r="F102" s="116" t="str">
        <f t="shared" si="11"/>
        <v>-</v>
      </c>
      <c r="G102" s="115">
        <v>11984</v>
      </c>
      <c r="H102" s="116" t="str">
        <f t="shared" si="11"/>
        <v>-</v>
      </c>
      <c r="I102" s="115">
        <v>14158</v>
      </c>
      <c r="J102" s="116">
        <f t="shared" si="11"/>
        <v>0.18140854472630163</v>
      </c>
      <c r="K102" s="115">
        <v>17109</v>
      </c>
      <c r="L102" s="116">
        <f t="shared" si="11"/>
        <v>0.20843339454725252</v>
      </c>
      <c r="M102" s="115"/>
      <c r="N102" s="116"/>
    </row>
    <row r="103" spans="2:14" x14ac:dyDescent="0.25">
      <c r="B103" s="114" t="s">
        <v>83</v>
      </c>
      <c r="C103" s="115">
        <v>0</v>
      </c>
      <c r="D103" s="116">
        <v>-1</v>
      </c>
      <c r="E103" s="115">
        <v>0</v>
      </c>
      <c r="F103" s="116" t="str">
        <f t="shared" si="11"/>
        <v>-</v>
      </c>
      <c r="G103" s="115">
        <v>15890</v>
      </c>
      <c r="H103" s="116" t="str">
        <f t="shared" si="11"/>
        <v>-</v>
      </c>
      <c r="I103" s="115">
        <v>13061</v>
      </c>
      <c r="J103" s="116">
        <f t="shared" si="11"/>
        <v>-0.17803650094398993</v>
      </c>
      <c r="K103" s="115">
        <v>18453</v>
      </c>
      <c r="L103" s="116">
        <f t="shared" si="11"/>
        <v>0.41283209555164224</v>
      </c>
      <c r="M103" s="115"/>
      <c r="N103" s="116"/>
    </row>
    <row r="104" spans="2:14" x14ac:dyDescent="0.25">
      <c r="B104" s="114" t="s">
        <v>85</v>
      </c>
      <c r="C104" s="115">
        <v>4389</v>
      </c>
      <c r="D104" s="116">
        <v>-0.70583109919571041</v>
      </c>
      <c r="E104" s="115">
        <v>4389</v>
      </c>
      <c r="F104" s="116">
        <f t="shared" si="11"/>
        <v>0</v>
      </c>
      <c r="G104" s="115">
        <v>13448</v>
      </c>
      <c r="H104" s="116">
        <f t="shared" si="11"/>
        <v>2.0640236956026428</v>
      </c>
      <c r="I104" s="115">
        <v>11864</v>
      </c>
      <c r="J104" s="116">
        <f t="shared" si="11"/>
        <v>-0.11778703152885184</v>
      </c>
      <c r="K104" s="115">
        <v>17564</v>
      </c>
      <c r="L104" s="116">
        <f t="shared" si="11"/>
        <v>0.48044504383007425</v>
      </c>
      <c r="M104" s="115"/>
      <c r="N104" s="116"/>
    </row>
    <row r="105" spans="2:14" x14ac:dyDescent="0.25">
      <c r="B105" s="114" t="s">
        <v>87</v>
      </c>
      <c r="C105" s="115">
        <v>3620</v>
      </c>
      <c r="D105" s="116">
        <v>-0.70921359145312879</v>
      </c>
      <c r="E105" s="115">
        <v>3620</v>
      </c>
      <c r="F105" s="116">
        <f t="shared" si="11"/>
        <v>0</v>
      </c>
      <c r="G105" s="115">
        <v>10187</v>
      </c>
      <c r="H105" s="116">
        <f t="shared" si="11"/>
        <v>1.814088397790055</v>
      </c>
      <c r="I105" s="115">
        <v>13837</v>
      </c>
      <c r="J105" s="116">
        <f t="shared" si="11"/>
        <v>0.35829979385491306</v>
      </c>
      <c r="K105" s="115">
        <v>16879</v>
      </c>
      <c r="L105" s="116">
        <f t="shared" si="11"/>
        <v>0.21984534219845342</v>
      </c>
      <c r="M105" s="115"/>
      <c r="N105" s="116"/>
    </row>
    <row r="106" spans="2:14" x14ac:dyDescent="0.25">
      <c r="B106" s="114" t="s">
        <v>89</v>
      </c>
      <c r="C106" s="115">
        <v>3889</v>
      </c>
      <c r="D106" s="116">
        <v>-0.67750228045443239</v>
      </c>
      <c r="E106" s="115">
        <v>3889</v>
      </c>
      <c r="F106" s="116">
        <f t="shared" si="11"/>
        <v>0</v>
      </c>
      <c r="G106" s="115">
        <v>13403</v>
      </c>
      <c r="H106" s="116">
        <f t="shared" si="11"/>
        <v>2.4463872460786833</v>
      </c>
      <c r="I106" s="115">
        <v>11965</v>
      </c>
      <c r="J106" s="116">
        <f t="shared" si="11"/>
        <v>-0.10728941281802584</v>
      </c>
      <c r="K106" s="115">
        <v>15319</v>
      </c>
      <c r="L106" s="116">
        <f t="shared" si="11"/>
        <v>0.28031759297952363</v>
      </c>
      <c r="M106" s="115"/>
      <c r="N106" s="116"/>
    </row>
    <row r="107" spans="2:14" x14ac:dyDescent="0.25">
      <c r="B107" s="114" t="s">
        <v>91</v>
      </c>
      <c r="C107" s="115">
        <v>2134</v>
      </c>
      <c r="D107" s="116">
        <v>-0.82806961005478574</v>
      </c>
      <c r="E107" s="115">
        <v>2134</v>
      </c>
      <c r="F107" s="116">
        <f t="shared" si="11"/>
        <v>0</v>
      </c>
      <c r="G107" s="115">
        <v>11498</v>
      </c>
      <c r="H107" s="116">
        <f t="shared" si="11"/>
        <v>4.3880037488284911</v>
      </c>
      <c r="I107" s="115">
        <v>10513</v>
      </c>
      <c r="J107" s="116">
        <f t="shared" si="11"/>
        <v>-8.5667072534353794E-2</v>
      </c>
      <c r="K107" s="115">
        <v>12349</v>
      </c>
      <c r="L107" s="116">
        <f t="shared" si="11"/>
        <v>0.17464092076476745</v>
      </c>
      <c r="M107" s="115"/>
      <c r="N107" s="116"/>
    </row>
    <row r="108" spans="2:14" x14ac:dyDescent="0.25">
      <c r="B108" s="114" t="s">
        <v>93</v>
      </c>
      <c r="C108" s="115">
        <v>3464</v>
      </c>
      <c r="D108" s="116">
        <v>-0.72120724346076459</v>
      </c>
      <c r="E108" s="115">
        <v>3464</v>
      </c>
      <c r="F108" s="116">
        <f t="shared" si="11"/>
        <v>0</v>
      </c>
      <c r="G108" s="115">
        <v>10992</v>
      </c>
      <c r="H108" s="116">
        <f t="shared" si="11"/>
        <v>2.1732101616628174</v>
      </c>
      <c r="I108" s="115">
        <v>11541</v>
      </c>
      <c r="J108" s="116">
        <f t="shared" si="11"/>
        <v>4.994541484716164E-2</v>
      </c>
      <c r="K108" s="115">
        <v>11532</v>
      </c>
      <c r="L108" s="116">
        <f t="shared" si="11"/>
        <v>-7.7982843774371258E-4</v>
      </c>
      <c r="M108" s="115"/>
      <c r="N108" s="116"/>
    </row>
    <row r="109" spans="2:14" ht="15.75" x14ac:dyDescent="0.25">
      <c r="B109" s="117" t="s">
        <v>30</v>
      </c>
      <c r="C109" s="118">
        <v>48658</v>
      </c>
      <c r="D109" s="119">
        <v>-0.69428632462522466</v>
      </c>
      <c r="E109" s="118">
        <v>48658</v>
      </c>
      <c r="F109" s="119">
        <f t="shared" si="11"/>
        <v>0</v>
      </c>
      <c r="G109" s="118">
        <v>135425</v>
      </c>
      <c r="H109" s="119">
        <f t="shared" si="11"/>
        <v>1.7832011180073164</v>
      </c>
      <c r="I109" s="118">
        <v>145200</v>
      </c>
      <c r="J109" s="119">
        <f t="shared" si="11"/>
        <v>7.2180173527782943E-2</v>
      </c>
      <c r="K109" s="118">
        <v>173305</v>
      </c>
      <c r="L109" s="119">
        <f t="shared" si="11"/>
        <v>0.1935606060606061</v>
      </c>
      <c r="M109" s="118">
        <v>10527</v>
      </c>
      <c r="N109" s="119">
        <v>4.3930979769932543E-2</v>
      </c>
    </row>
    <row r="110" spans="2:14" ht="6" customHeight="1" x14ac:dyDescent="0.25"/>
    <row r="111" spans="2:14" x14ac:dyDescent="0.25">
      <c r="B111" s="105" t="s">
        <v>55</v>
      </c>
      <c r="C111" s="105"/>
      <c r="D111" s="105"/>
      <c r="E111" s="105"/>
      <c r="F111" s="105"/>
      <c r="G111" s="105"/>
      <c r="H111" s="105"/>
      <c r="I111" s="105"/>
      <c r="J111" s="105"/>
      <c r="K111" s="105"/>
      <c r="L111" s="105"/>
      <c r="M111" s="105"/>
      <c r="N111" s="105"/>
    </row>
    <row r="114" spans="11:11" x14ac:dyDescent="0.25">
      <c r="K114" s="120"/>
    </row>
  </sheetData>
  <mergeCells count="40">
    <mergeCell ref="B4:N4"/>
    <mergeCell ref="C6:N6"/>
    <mergeCell ref="C7:D7"/>
    <mergeCell ref="E7:F7"/>
    <mergeCell ref="G7:H7"/>
    <mergeCell ref="I7:J7"/>
    <mergeCell ref="K7:L7"/>
    <mergeCell ref="M7:N7"/>
    <mergeCell ref="B26:N26"/>
    <mergeCell ref="C28:N28"/>
    <mergeCell ref="C29:D29"/>
    <mergeCell ref="E29:F29"/>
    <mergeCell ref="G29:H29"/>
    <mergeCell ref="I29:J29"/>
    <mergeCell ref="K29:L29"/>
    <mergeCell ref="M29:N29"/>
    <mergeCell ref="B48:N48"/>
    <mergeCell ref="C50:N50"/>
    <mergeCell ref="C51:D51"/>
    <mergeCell ref="E51:F51"/>
    <mergeCell ref="G51:H51"/>
    <mergeCell ref="I51:J51"/>
    <mergeCell ref="K51:L51"/>
    <mergeCell ref="M51:N51"/>
    <mergeCell ref="B70:N70"/>
    <mergeCell ref="C72:N72"/>
    <mergeCell ref="C73:D73"/>
    <mergeCell ref="E73:F73"/>
    <mergeCell ref="G73:H73"/>
    <mergeCell ref="I73:J73"/>
    <mergeCell ref="K73:L73"/>
    <mergeCell ref="M73:N73"/>
    <mergeCell ref="B92:N92"/>
    <mergeCell ref="C94:N94"/>
    <mergeCell ref="C95:D95"/>
    <mergeCell ref="E95:F95"/>
    <mergeCell ref="G95:H95"/>
    <mergeCell ref="I95:J95"/>
    <mergeCell ref="K95:L95"/>
    <mergeCell ref="M95:N95"/>
  </mergeCells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B12D84-7407-428D-BAA1-0C05BAA0329C}">
  <sheetPr codeName="Hoja11">
    <tabColor theme="7" tint="0.79998168889431442"/>
  </sheetPr>
  <dimension ref="A4:E116"/>
  <sheetViews>
    <sheetView showGridLines="0" zoomScaleNormal="100" workbookViewId="0"/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65" t="s">
        <v>254</v>
      </c>
      <c r="C4" s="265"/>
      <c r="D4" s="265"/>
      <c r="E4" s="1" t="s">
        <v>66</v>
      </c>
    </row>
    <row r="5" spans="1:5" ht="10.5" customHeight="1" thickBot="1" x14ac:dyDescent="0.3">
      <c r="B5" s="106"/>
      <c r="C5" s="107"/>
      <c r="D5" s="106"/>
      <c r="E5" s="1" t="s">
        <v>67</v>
      </c>
    </row>
    <row r="6" spans="1:5" ht="22.5" thickTop="1" thickBot="1" x14ac:dyDescent="0.3">
      <c r="B6" s="108" t="s">
        <v>30</v>
      </c>
      <c r="C6" s="290" t="s">
        <v>132</v>
      </c>
      <c r="D6" s="291"/>
    </row>
    <row r="7" spans="1:5" ht="16.5" thickTop="1" thickBot="1" x14ac:dyDescent="0.3">
      <c r="B7" s="85"/>
      <c r="C7" s="111" t="s">
        <v>138</v>
      </c>
      <c r="D7" s="112" t="s">
        <v>139</v>
      </c>
    </row>
    <row r="8" spans="1:5" x14ac:dyDescent="0.25">
      <c r="A8" s="1" t="s">
        <v>70</v>
      </c>
      <c r="B8" s="114">
        <v>2024</v>
      </c>
      <c r="C8" s="115">
        <v>914356</v>
      </c>
      <c r="D8" s="116">
        <f t="shared" ref="D8:D10" si="0">C8/C9-1</f>
        <v>0.14602781482187077</v>
      </c>
    </row>
    <row r="9" spans="1:5" x14ac:dyDescent="0.25">
      <c r="A9" s="1"/>
      <c r="B9" s="114">
        <v>2023</v>
      </c>
      <c r="C9" s="115">
        <v>797848</v>
      </c>
      <c r="D9" s="116">
        <f t="shared" si="0"/>
        <v>0.12337357879545219</v>
      </c>
    </row>
    <row r="10" spans="1:5" x14ac:dyDescent="0.25">
      <c r="A10" s="1"/>
      <c r="B10" s="114">
        <v>2022</v>
      </c>
      <c r="C10" s="115">
        <v>710225</v>
      </c>
      <c r="D10" s="116">
        <f t="shared" si="0"/>
        <v>1.0051298121986201</v>
      </c>
    </row>
    <row r="11" spans="1:5" x14ac:dyDescent="0.25">
      <c r="A11" s="1"/>
      <c r="B11" s="114">
        <v>2021</v>
      </c>
      <c r="C11" s="115">
        <v>354204</v>
      </c>
      <c r="D11" s="116">
        <f>C11/C12-1</f>
        <v>0.56841942125888378</v>
      </c>
    </row>
    <row r="12" spans="1:5" x14ac:dyDescent="0.25">
      <c r="A12" s="1" t="s">
        <v>72</v>
      </c>
      <c r="B12" s="114">
        <v>2020</v>
      </c>
      <c r="C12" s="115">
        <v>225835</v>
      </c>
      <c r="D12" s="116">
        <f t="shared" ref="D12:D21" si="1">C12/C13-1</f>
        <v>-0.71475431370394371</v>
      </c>
    </row>
    <row r="13" spans="1:5" x14ac:dyDescent="0.25">
      <c r="A13" s="1" t="s">
        <v>74</v>
      </c>
      <c r="B13" s="114">
        <v>2019</v>
      </c>
      <c r="C13" s="115">
        <v>791721</v>
      </c>
      <c r="D13" s="116">
        <f t="shared" si="1"/>
        <v>-3.0745499397063059E-2</v>
      </c>
    </row>
    <row r="14" spans="1:5" x14ac:dyDescent="0.25">
      <c r="A14" s="1" t="s">
        <v>76</v>
      </c>
      <c r="B14" s="114">
        <v>2018</v>
      </c>
      <c r="C14" s="115">
        <v>816835</v>
      </c>
      <c r="D14" s="116">
        <f t="shared" si="1"/>
        <v>9.7939955461257E-6</v>
      </c>
    </row>
    <row r="15" spans="1:5" x14ac:dyDescent="0.25">
      <c r="A15" s="1" t="s">
        <v>78</v>
      </c>
      <c r="B15" s="114">
        <v>2017</v>
      </c>
      <c r="C15" s="115">
        <v>816827</v>
      </c>
      <c r="D15" s="116">
        <f>C15/C16-1</f>
        <v>4.8172239495846814E-2</v>
      </c>
    </row>
    <row r="16" spans="1:5" x14ac:dyDescent="0.25">
      <c r="A16" s="1" t="s">
        <v>80</v>
      </c>
      <c r="B16" s="114">
        <v>2016</v>
      </c>
      <c r="C16" s="115">
        <v>779287</v>
      </c>
      <c r="D16" s="116">
        <f>C16/C17-1</f>
        <v>0.12733303822262343</v>
      </c>
    </row>
    <row r="17" spans="1:5" x14ac:dyDescent="0.25">
      <c r="A17" s="1" t="s">
        <v>82</v>
      </c>
      <c r="B17" s="114">
        <v>2015</v>
      </c>
      <c r="C17" s="115">
        <v>691266</v>
      </c>
      <c r="D17" s="116">
        <f t="shared" si="1"/>
        <v>-3.5005625804434226E-2</v>
      </c>
    </row>
    <row r="18" spans="1:5" x14ac:dyDescent="0.25">
      <c r="A18" s="1" t="s">
        <v>84</v>
      </c>
      <c r="B18" s="114">
        <v>2014</v>
      </c>
      <c r="C18" s="115">
        <v>716342</v>
      </c>
      <c r="D18" s="116">
        <f t="shared" si="1"/>
        <v>8.8414565447620941E-3</v>
      </c>
    </row>
    <row r="19" spans="1:5" x14ac:dyDescent="0.25">
      <c r="A19" s="1" t="s">
        <v>86</v>
      </c>
      <c r="B19" s="114">
        <v>2013</v>
      </c>
      <c r="C19" s="115">
        <v>710064</v>
      </c>
      <c r="D19" s="116">
        <f t="shared" si="1"/>
        <v>3.8519760079680943E-2</v>
      </c>
    </row>
    <row r="20" spans="1:5" x14ac:dyDescent="0.25">
      <c r="A20" s="1" t="s">
        <v>88</v>
      </c>
      <c r="B20" s="114">
        <v>2012</v>
      </c>
      <c r="C20" s="115">
        <v>683727</v>
      </c>
      <c r="D20" s="116">
        <f>C20/C21-1</f>
        <v>-1.9914853358561913E-2</v>
      </c>
    </row>
    <row r="21" spans="1:5" x14ac:dyDescent="0.25">
      <c r="A21" s="1" t="s">
        <v>90</v>
      </c>
      <c r="B21" s="114">
        <v>2011</v>
      </c>
      <c r="C21" s="115">
        <v>697620</v>
      </c>
      <c r="D21" s="116">
        <f t="shared" si="1"/>
        <v>1.5196957988989679E-2</v>
      </c>
    </row>
    <row r="22" spans="1:5" x14ac:dyDescent="0.25">
      <c r="A22" s="1" t="s">
        <v>92</v>
      </c>
      <c r="B22" s="114">
        <v>2010</v>
      </c>
      <c r="C22" s="115">
        <v>687177</v>
      </c>
      <c r="D22" s="116"/>
    </row>
    <row r="23" spans="1:5" ht="6" customHeight="1" x14ac:dyDescent="0.25"/>
    <row r="24" spans="1:5" x14ac:dyDescent="0.25">
      <c r="B24" s="105" t="s">
        <v>55</v>
      </c>
      <c r="C24" s="105"/>
      <c r="D24" s="105"/>
    </row>
    <row r="27" spans="1:5" ht="48.75" customHeight="1" thickBot="1" x14ac:dyDescent="0.3">
      <c r="B27" s="265" t="s">
        <v>255</v>
      </c>
      <c r="C27" s="265"/>
      <c r="D27" s="265"/>
      <c r="E27" s="1" t="s">
        <v>94</v>
      </c>
    </row>
    <row r="28" spans="1:5" ht="10.5" customHeight="1" thickBot="1" x14ac:dyDescent="0.3">
      <c r="B28" s="106"/>
      <c r="C28" s="107"/>
      <c r="D28" s="106"/>
      <c r="E28" s="1" t="s">
        <v>95</v>
      </c>
    </row>
    <row r="29" spans="1:5" ht="22.5" thickTop="1" thickBot="1" x14ac:dyDescent="0.3">
      <c r="B29" s="121" t="s">
        <v>96</v>
      </c>
      <c r="C29" s="290" t="s">
        <v>137</v>
      </c>
      <c r="D29" s="291"/>
    </row>
    <row r="30" spans="1:5" ht="16.5" thickTop="1" thickBot="1" x14ac:dyDescent="0.3">
      <c r="B30" s="85"/>
      <c r="C30" s="111" t="s">
        <v>138</v>
      </c>
      <c r="D30" s="112" t="s">
        <v>139</v>
      </c>
    </row>
    <row r="31" spans="1:5" x14ac:dyDescent="0.25">
      <c r="B31" s="114">
        <v>2024</v>
      </c>
      <c r="C31" s="115">
        <v>741051</v>
      </c>
      <c r="D31" s="116">
        <f t="shared" ref="D31:D44" si="2">C31/C32-1</f>
        <v>0.13545280151015548</v>
      </c>
    </row>
    <row r="32" spans="1:5" x14ac:dyDescent="0.25">
      <c r="B32" s="114">
        <v>2023</v>
      </c>
      <c r="C32" s="115">
        <v>652648</v>
      </c>
      <c r="D32" s="116">
        <f t="shared" si="2"/>
        <v>0.13543493389004868</v>
      </c>
    </row>
    <row r="33" spans="2:4" x14ac:dyDescent="0.25">
      <c r="B33" s="114">
        <v>2022</v>
      </c>
      <c r="C33" s="115">
        <v>574800</v>
      </c>
      <c r="D33" s="116">
        <f t="shared" si="2"/>
        <v>1.0150321115068568</v>
      </c>
    </row>
    <row r="34" spans="2:4" x14ac:dyDescent="0.25">
      <c r="B34" s="114">
        <v>2021</v>
      </c>
      <c r="C34" s="115">
        <v>285256</v>
      </c>
      <c r="D34" s="116">
        <f t="shared" si="2"/>
        <v>0.61000581339564386</v>
      </c>
    </row>
    <row r="35" spans="2:4" x14ac:dyDescent="0.25">
      <c r="B35" s="114">
        <v>2020</v>
      </c>
      <c r="C35" s="115">
        <v>177177</v>
      </c>
      <c r="D35" s="116">
        <f t="shared" si="2"/>
        <v>-0.71990438836535409</v>
      </c>
    </row>
    <row r="36" spans="2:4" x14ac:dyDescent="0.25">
      <c r="B36" s="114">
        <v>2019</v>
      </c>
      <c r="C36" s="115">
        <v>632559</v>
      </c>
      <c r="D36" s="116">
        <f t="shared" si="2"/>
        <v>-1.6618758832116387E-2</v>
      </c>
    </row>
    <row r="37" spans="2:4" x14ac:dyDescent="0.25">
      <c r="B37" s="114">
        <v>2018</v>
      </c>
      <c r="C37" s="115">
        <v>643249</v>
      </c>
      <c r="D37" s="116">
        <f t="shared" si="2"/>
        <v>1.6925331558486967E-2</v>
      </c>
    </row>
    <row r="38" spans="2:4" x14ac:dyDescent="0.25">
      <c r="B38" s="114">
        <v>2017</v>
      </c>
      <c r="C38" s="115">
        <v>632543</v>
      </c>
      <c r="D38" s="116">
        <f>C38/C39-1</f>
        <v>7.4612995732419973E-2</v>
      </c>
    </row>
    <row r="39" spans="2:4" x14ac:dyDescent="0.25">
      <c r="B39" s="114">
        <v>2016</v>
      </c>
      <c r="C39" s="115">
        <v>588624</v>
      </c>
      <c r="D39" s="116">
        <f>C39/C40-1</f>
        <v>0.11416403248092966</v>
      </c>
    </row>
    <row r="40" spans="2:4" x14ac:dyDescent="0.25">
      <c r="B40" s="114">
        <v>2015</v>
      </c>
      <c r="C40" s="115">
        <v>528310</v>
      </c>
      <c r="D40" s="116">
        <f t="shared" si="2"/>
        <v>-5.375901132852734E-2</v>
      </c>
    </row>
    <row r="41" spans="2:4" x14ac:dyDescent="0.25">
      <c r="B41" s="114">
        <v>2014</v>
      </c>
      <c r="C41" s="115">
        <v>558325</v>
      </c>
      <c r="D41" s="116">
        <f t="shared" si="2"/>
        <v>-8.9392059443234029E-3</v>
      </c>
    </row>
    <row r="42" spans="2:4" x14ac:dyDescent="0.25">
      <c r="B42" s="114">
        <v>2013</v>
      </c>
      <c r="C42" s="115">
        <v>563361</v>
      </c>
      <c r="D42" s="116">
        <f t="shared" si="2"/>
        <v>3.4056096929738322E-2</v>
      </c>
    </row>
    <row r="43" spans="2:4" x14ac:dyDescent="0.25">
      <c r="B43" s="114">
        <v>2012</v>
      </c>
      <c r="C43" s="115">
        <v>544807</v>
      </c>
      <c r="D43" s="116">
        <f>C43/C44-1</f>
        <v>-4.7296655437745194E-3</v>
      </c>
    </row>
    <row r="44" spans="2:4" x14ac:dyDescent="0.25">
      <c r="B44" s="114">
        <v>2011</v>
      </c>
      <c r="C44" s="115">
        <v>547396</v>
      </c>
      <c r="D44" s="116">
        <f t="shared" si="2"/>
        <v>3.9493048790445906E-2</v>
      </c>
    </row>
    <row r="45" spans="2:4" x14ac:dyDescent="0.25">
      <c r="B45" s="114">
        <v>2010</v>
      </c>
      <c r="C45" s="115">
        <v>526599</v>
      </c>
      <c r="D45" s="116"/>
    </row>
    <row r="46" spans="2:4" ht="6" customHeight="1" x14ac:dyDescent="0.25"/>
    <row r="47" spans="2:4" x14ac:dyDescent="0.25">
      <c r="B47" s="105" t="s">
        <v>55</v>
      </c>
      <c r="C47" s="105"/>
      <c r="D47" s="105"/>
    </row>
    <row r="50" spans="1:5" ht="48.75" customHeight="1" thickBot="1" x14ac:dyDescent="0.3">
      <c r="B50" s="265" t="s">
        <v>256</v>
      </c>
      <c r="C50" s="265"/>
      <c r="D50" s="265"/>
      <c r="E50" s="1" t="s">
        <v>98</v>
      </c>
    </row>
    <row r="51" spans="1:5" ht="10.5" customHeight="1" thickBot="1" x14ac:dyDescent="0.3">
      <c r="B51" s="106"/>
      <c r="C51" s="107"/>
      <c r="D51" s="106"/>
      <c r="E51" s="1" t="s">
        <v>99</v>
      </c>
    </row>
    <row r="52" spans="1:5" ht="22.5" thickTop="1" thickBot="1" x14ac:dyDescent="0.3">
      <c r="B52" s="109"/>
      <c r="C52" s="290" t="s">
        <v>140</v>
      </c>
      <c r="D52" s="291"/>
    </row>
    <row r="53" spans="1:5" ht="16.5" thickTop="1" thickBot="1" x14ac:dyDescent="0.3">
      <c r="B53" s="85"/>
      <c r="C53" s="111" t="s">
        <v>138</v>
      </c>
      <c r="D53" s="112" t="s">
        <v>139</v>
      </c>
    </row>
    <row r="54" spans="1:5" x14ac:dyDescent="0.25">
      <c r="A54" s="1">
        <v>1</v>
      </c>
      <c r="B54" s="114">
        <v>2024</v>
      </c>
      <c r="C54" s="115">
        <v>622363</v>
      </c>
      <c r="D54" s="116">
        <f t="shared" ref="D54:D56" si="3">C54/C55-1</f>
        <v>0.13291004443441246</v>
      </c>
    </row>
    <row r="55" spans="1:5" x14ac:dyDescent="0.25">
      <c r="A55" s="1"/>
      <c r="B55" s="114">
        <v>2023</v>
      </c>
      <c r="C55" s="115">
        <v>549349</v>
      </c>
      <c r="D55" s="116">
        <f t="shared" si="3"/>
        <v>0.15326108862502719</v>
      </c>
    </row>
    <row r="56" spans="1:5" x14ac:dyDescent="0.25">
      <c r="A56" s="1"/>
      <c r="B56" s="114">
        <v>2022</v>
      </c>
      <c r="C56" s="115">
        <v>476344</v>
      </c>
      <c r="D56" s="116">
        <f t="shared" si="3"/>
        <v>1.2214532549235413</v>
      </c>
    </row>
    <row r="57" spans="1:5" x14ac:dyDescent="0.25">
      <c r="A57" s="1"/>
      <c r="B57" s="114">
        <v>2021</v>
      </c>
      <c r="C57" s="115">
        <v>214429</v>
      </c>
      <c r="D57" s="116">
        <f>C57/C58-1</f>
        <v>0.4982252903117621</v>
      </c>
    </row>
    <row r="58" spans="1:5" x14ac:dyDescent="0.25">
      <c r="A58" s="1">
        <v>2</v>
      </c>
      <c r="B58" s="114">
        <v>2020</v>
      </c>
      <c r="C58" s="115">
        <v>143122</v>
      </c>
      <c r="D58" s="116">
        <f t="shared" ref="D58:D67" si="4">C58/C59-1</f>
        <v>-0.71444532897585233</v>
      </c>
    </row>
    <row r="59" spans="1:5" x14ac:dyDescent="0.25">
      <c r="A59" s="1">
        <v>3</v>
      </c>
      <c r="B59" s="114">
        <v>2019</v>
      </c>
      <c r="C59" s="115">
        <v>501207</v>
      </c>
      <c r="D59" s="116">
        <f t="shared" si="4"/>
        <v>-1.5000786101721508E-2</v>
      </c>
    </row>
    <row r="60" spans="1:5" x14ac:dyDescent="0.25">
      <c r="A60" s="1">
        <v>4</v>
      </c>
      <c r="B60" s="114">
        <v>2018</v>
      </c>
      <c r="C60" s="115">
        <v>508840</v>
      </c>
      <c r="D60" s="116">
        <f t="shared" si="4"/>
        <v>5.5231466984096089E-2</v>
      </c>
    </row>
    <row r="61" spans="1:5" x14ac:dyDescent="0.25">
      <c r="A61" s="1">
        <v>5</v>
      </c>
      <c r="B61" s="114">
        <v>2017</v>
      </c>
      <c r="C61" s="115">
        <v>482207</v>
      </c>
      <c r="D61" s="116">
        <f>C61/C62-1</f>
        <v>8.6756725082936637E-2</v>
      </c>
    </row>
    <row r="62" spans="1:5" x14ac:dyDescent="0.25">
      <c r="A62" s="1">
        <v>6</v>
      </c>
      <c r="B62" s="114">
        <v>2016</v>
      </c>
      <c r="C62" s="115">
        <v>443712</v>
      </c>
      <c r="D62" s="116">
        <f>C62/C63-1</f>
        <v>7.6067186295004641E-2</v>
      </c>
    </row>
    <row r="63" spans="1:5" x14ac:dyDescent="0.25">
      <c r="A63" s="1">
        <v>7</v>
      </c>
      <c r="B63" s="114">
        <v>2015</v>
      </c>
      <c r="C63" s="115">
        <v>412346</v>
      </c>
      <c r="D63" s="116">
        <f t="shared" si="4"/>
        <v>-6.2112479358768513E-2</v>
      </c>
    </row>
    <row r="64" spans="1:5" x14ac:dyDescent="0.25">
      <c r="A64" s="1">
        <v>8</v>
      </c>
      <c r="B64" s="114">
        <v>2014</v>
      </c>
      <c r="C64" s="115">
        <v>439654</v>
      </c>
      <c r="D64" s="116">
        <f t="shared" si="4"/>
        <v>-2.5688870372258199E-2</v>
      </c>
    </row>
    <row r="65" spans="1:5" x14ac:dyDescent="0.25">
      <c r="A65" s="1">
        <v>9</v>
      </c>
      <c r="B65" s="114">
        <v>2013</v>
      </c>
      <c r="C65" s="115">
        <v>451246</v>
      </c>
      <c r="D65" s="116">
        <f t="shared" si="4"/>
        <v>3.6334615605442933E-2</v>
      </c>
    </row>
    <row r="66" spans="1:5" x14ac:dyDescent="0.25">
      <c r="A66" s="1">
        <v>10</v>
      </c>
      <c r="B66" s="114">
        <v>2012</v>
      </c>
      <c r="C66" s="115">
        <v>435425</v>
      </c>
      <c r="D66" s="116">
        <f>C66/C67-1</f>
        <v>1.0482515989491903E-2</v>
      </c>
    </row>
    <row r="67" spans="1:5" x14ac:dyDescent="0.25">
      <c r="A67" s="1">
        <v>11</v>
      </c>
      <c r="B67" s="114">
        <v>2011</v>
      </c>
      <c r="C67" s="115">
        <v>430908</v>
      </c>
      <c r="D67" s="116">
        <f t="shared" si="4"/>
        <v>2.0650202316170319E-3</v>
      </c>
    </row>
    <row r="68" spans="1:5" x14ac:dyDescent="0.25">
      <c r="A68" s="1">
        <v>12</v>
      </c>
      <c r="B68" s="114">
        <v>2010</v>
      </c>
      <c r="C68" s="115">
        <v>430020</v>
      </c>
      <c r="D68" s="116"/>
    </row>
    <row r="69" spans="1:5" ht="6" customHeight="1" x14ac:dyDescent="0.25"/>
    <row r="70" spans="1:5" x14ac:dyDescent="0.25">
      <c r="B70" s="105" t="s">
        <v>55</v>
      </c>
      <c r="C70" s="105"/>
      <c r="D70" s="105"/>
    </row>
    <row r="73" spans="1:5" ht="48.75" customHeight="1" thickBot="1" x14ac:dyDescent="0.3">
      <c r="B73" s="265" t="s">
        <v>141</v>
      </c>
      <c r="C73" s="265"/>
      <c r="D73" s="265"/>
      <c r="E73" s="1" t="s">
        <v>101</v>
      </c>
    </row>
    <row r="74" spans="1:5" ht="10.5" customHeight="1" thickBot="1" x14ac:dyDescent="0.3">
      <c r="B74" s="106"/>
      <c r="C74" s="107"/>
      <c r="D74" s="106"/>
      <c r="E74" s="1" t="s">
        <v>102</v>
      </c>
    </row>
    <row r="75" spans="1:5" ht="22.5" thickTop="1" thickBot="1" x14ac:dyDescent="0.3">
      <c r="B75" s="109"/>
      <c r="C75" s="290" t="s">
        <v>142</v>
      </c>
      <c r="D75" s="291"/>
    </row>
    <row r="76" spans="1:5" ht="16.5" thickTop="1" thickBot="1" x14ac:dyDescent="0.3">
      <c r="B76" s="85"/>
      <c r="C76" s="111" t="s">
        <v>138</v>
      </c>
      <c r="D76" s="112" t="s">
        <v>139</v>
      </c>
    </row>
    <row r="77" spans="1:5" x14ac:dyDescent="0.25">
      <c r="A77" s="1">
        <v>1</v>
      </c>
      <c r="B77" s="114">
        <v>2024</v>
      </c>
      <c r="C77" s="115">
        <v>118688</v>
      </c>
      <c r="D77" s="116">
        <f t="shared" ref="D77:D83" si="5">C77/C78-1</f>
        <v>0.14897530469801246</v>
      </c>
    </row>
    <row r="78" spans="1:5" x14ac:dyDescent="0.25">
      <c r="A78" s="1"/>
      <c r="B78" s="114">
        <v>2023</v>
      </c>
      <c r="C78" s="115">
        <v>103299</v>
      </c>
      <c r="D78" s="116">
        <f t="shared" si="5"/>
        <v>4.9189485658568399E-2</v>
      </c>
    </row>
    <row r="79" spans="1:5" x14ac:dyDescent="0.25">
      <c r="A79" s="1"/>
      <c r="B79" s="114">
        <v>2022</v>
      </c>
      <c r="C79" s="115">
        <v>98456</v>
      </c>
      <c r="D79" s="116">
        <f t="shared" si="5"/>
        <v>0.39009134934417666</v>
      </c>
    </row>
    <row r="80" spans="1:5" x14ac:dyDescent="0.25">
      <c r="A80" s="1"/>
      <c r="B80" s="114">
        <v>2021</v>
      </c>
      <c r="C80" s="115">
        <v>70827</v>
      </c>
      <c r="D80" s="116">
        <f t="shared" si="5"/>
        <v>1.0797827044486858</v>
      </c>
    </row>
    <row r="81" spans="1:5" x14ac:dyDescent="0.25">
      <c r="A81" s="1">
        <v>2</v>
      </c>
      <c r="B81" s="114">
        <v>2020</v>
      </c>
      <c r="C81" s="115">
        <v>34055</v>
      </c>
      <c r="D81" s="116">
        <f t="shared" si="5"/>
        <v>-0.74073481941652963</v>
      </c>
    </row>
    <row r="82" spans="1:5" x14ac:dyDescent="0.25">
      <c r="A82" s="1">
        <v>3</v>
      </c>
      <c r="B82" s="114">
        <v>2019</v>
      </c>
      <c r="C82" s="115">
        <v>131352</v>
      </c>
      <c r="D82" s="116">
        <f t="shared" si="5"/>
        <v>-2.2744012677722525E-2</v>
      </c>
    </row>
    <row r="83" spans="1:5" x14ac:dyDescent="0.25">
      <c r="A83" s="1">
        <v>4</v>
      </c>
      <c r="B83" s="114">
        <v>2018</v>
      </c>
      <c r="C83" s="115">
        <v>134409</v>
      </c>
      <c r="D83" s="116">
        <f t="shared" si="5"/>
        <v>-0.10594268837803322</v>
      </c>
    </row>
    <row r="84" spans="1:5" x14ac:dyDescent="0.25">
      <c r="A84" s="1">
        <v>5</v>
      </c>
      <c r="B84" s="114">
        <v>2017</v>
      </c>
      <c r="C84" s="115">
        <v>150336</v>
      </c>
      <c r="D84" s="116">
        <f>C84/C85-1</f>
        <v>3.7429612454455086E-2</v>
      </c>
    </row>
    <row r="85" spans="1:5" x14ac:dyDescent="0.25">
      <c r="A85" s="1">
        <v>6</v>
      </c>
      <c r="B85" s="114">
        <v>2016</v>
      </c>
      <c r="C85" s="115">
        <v>144912</v>
      </c>
      <c r="D85" s="116">
        <f>C85/C86-1</f>
        <v>0.24962919526749672</v>
      </c>
    </row>
    <row r="86" spans="1:5" x14ac:dyDescent="0.25">
      <c r="A86" s="1">
        <v>7</v>
      </c>
      <c r="B86" s="114">
        <v>2015</v>
      </c>
      <c r="C86" s="115">
        <v>115964</v>
      </c>
      <c r="D86" s="116">
        <f t="shared" ref="D86:D88" si="6">C86/C87-1</f>
        <v>-2.2810964768140485E-2</v>
      </c>
    </row>
    <row r="87" spans="1:5" x14ac:dyDescent="0.25">
      <c r="A87" s="1">
        <v>8</v>
      </c>
      <c r="B87" s="114">
        <v>2014</v>
      </c>
      <c r="C87" s="115">
        <v>118671</v>
      </c>
      <c r="D87" s="116">
        <f t="shared" si="6"/>
        <v>5.8475672300762671E-2</v>
      </c>
    </row>
    <row r="88" spans="1:5" x14ac:dyDescent="0.25">
      <c r="A88" s="1">
        <v>9</v>
      </c>
      <c r="B88" s="114">
        <v>2013</v>
      </c>
      <c r="C88" s="115">
        <v>112115</v>
      </c>
      <c r="D88" s="116">
        <f t="shared" si="6"/>
        <v>2.4985829478342048E-2</v>
      </c>
    </row>
    <row r="89" spans="1:5" x14ac:dyDescent="0.25">
      <c r="A89" s="1">
        <v>10</v>
      </c>
      <c r="B89" s="114">
        <v>2012</v>
      </c>
      <c r="C89" s="115">
        <v>109382</v>
      </c>
      <c r="D89" s="116">
        <f>C89/C90-1</f>
        <v>-6.1001991621454588E-2</v>
      </c>
    </row>
    <row r="90" spans="1:5" x14ac:dyDescent="0.25">
      <c r="A90" s="1">
        <v>11</v>
      </c>
      <c r="B90" s="114">
        <v>2011</v>
      </c>
      <c r="C90" s="115">
        <v>116488</v>
      </c>
      <c r="D90" s="116">
        <f t="shared" ref="D90" si="7">C90/C91-1</f>
        <v>0.2061421219933941</v>
      </c>
    </row>
    <row r="91" spans="1:5" x14ac:dyDescent="0.25">
      <c r="A91" s="1">
        <v>12</v>
      </c>
      <c r="B91" s="114">
        <v>2010</v>
      </c>
      <c r="C91" s="115">
        <v>96579</v>
      </c>
      <c r="D91" s="116"/>
    </row>
    <row r="92" spans="1:5" ht="6" customHeight="1" x14ac:dyDescent="0.25"/>
    <row r="93" spans="1:5" x14ac:dyDescent="0.25">
      <c r="B93" s="105" t="s">
        <v>55</v>
      </c>
      <c r="C93" s="105"/>
      <c r="D93" s="105"/>
    </row>
    <row r="96" spans="1:5" ht="48.75" customHeight="1" thickBot="1" x14ac:dyDescent="0.3">
      <c r="B96" s="265" t="s">
        <v>257</v>
      </c>
      <c r="C96" s="265"/>
      <c r="D96" s="265"/>
      <c r="E96" s="1" t="s">
        <v>114</v>
      </c>
    </row>
    <row r="97" spans="2:5" ht="10.5" customHeight="1" thickBot="1" x14ac:dyDescent="0.3">
      <c r="B97" s="106"/>
      <c r="C97" s="107"/>
      <c r="D97" s="106"/>
      <c r="E97" s="1" t="s">
        <v>115</v>
      </c>
    </row>
    <row r="98" spans="2:5" ht="22.5" thickTop="1" thickBot="1" x14ac:dyDescent="0.3">
      <c r="B98" s="121" t="s">
        <v>96</v>
      </c>
      <c r="C98" s="290" t="s">
        <v>32</v>
      </c>
      <c r="D98" s="291"/>
    </row>
    <row r="99" spans="2:5" ht="16.5" thickTop="1" thickBot="1" x14ac:dyDescent="0.3">
      <c r="B99" s="85"/>
      <c r="C99" s="111" t="s">
        <v>138</v>
      </c>
      <c r="D99" s="112" t="s">
        <v>139</v>
      </c>
    </row>
    <row r="100" spans="2:5" x14ac:dyDescent="0.25">
      <c r="B100" s="114">
        <v>2024</v>
      </c>
      <c r="C100" s="115">
        <v>173305</v>
      </c>
      <c r="D100" s="116">
        <f t="shared" ref="D100:D113" si="8">C100/C101-1</f>
        <v>0.1935606060606061</v>
      </c>
    </row>
    <row r="101" spans="2:5" x14ac:dyDescent="0.25">
      <c r="B101" s="114">
        <v>2023</v>
      </c>
      <c r="C101" s="115">
        <v>145200</v>
      </c>
      <c r="D101" s="116">
        <f t="shared" si="8"/>
        <v>7.2180173527782943E-2</v>
      </c>
    </row>
    <row r="102" spans="2:5" x14ac:dyDescent="0.25">
      <c r="B102" s="114">
        <v>2022</v>
      </c>
      <c r="C102" s="115">
        <v>135425</v>
      </c>
      <c r="D102" s="116">
        <f t="shared" si="8"/>
        <v>0.96416139699483661</v>
      </c>
    </row>
    <row r="103" spans="2:5" x14ac:dyDescent="0.25">
      <c r="B103" s="114">
        <v>2021</v>
      </c>
      <c r="C103" s="115">
        <v>68948</v>
      </c>
      <c r="D103" s="116">
        <f t="shared" si="8"/>
        <v>0.41699206708043901</v>
      </c>
    </row>
    <row r="104" spans="2:5" x14ac:dyDescent="0.25">
      <c r="B104" s="114">
        <v>2020</v>
      </c>
      <c r="C104" s="115">
        <v>48658</v>
      </c>
      <c r="D104" s="116">
        <f t="shared" si="8"/>
        <v>-0.69428632462522466</v>
      </c>
    </row>
    <row r="105" spans="2:5" x14ac:dyDescent="0.25">
      <c r="B105" s="114">
        <v>2019</v>
      </c>
      <c r="C105" s="115">
        <v>159162</v>
      </c>
      <c r="D105" s="116">
        <f t="shared" si="8"/>
        <v>-8.3094258753586114E-2</v>
      </c>
    </row>
    <row r="106" spans="2:5" x14ac:dyDescent="0.25">
      <c r="B106" s="114">
        <v>2018</v>
      </c>
      <c r="C106" s="115">
        <v>173586</v>
      </c>
      <c r="D106" s="116">
        <f t="shared" si="8"/>
        <v>-5.8051702806537708E-2</v>
      </c>
    </row>
    <row r="107" spans="2:5" x14ac:dyDescent="0.25">
      <c r="B107" s="114">
        <v>2017</v>
      </c>
      <c r="C107" s="115">
        <v>184284</v>
      </c>
      <c r="D107" s="116">
        <f t="shared" si="8"/>
        <v>-3.3456937108930385E-2</v>
      </c>
    </row>
    <row r="108" spans="2:5" x14ac:dyDescent="0.25">
      <c r="B108" s="114">
        <v>2016</v>
      </c>
      <c r="C108" s="115">
        <v>190663</v>
      </c>
      <c r="D108" s="116">
        <f t="shared" si="8"/>
        <v>0.17002749208375256</v>
      </c>
    </row>
    <row r="109" spans="2:5" x14ac:dyDescent="0.25">
      <c r="B109" s="114">
        <v>2015</v>
      </c>
      <c r="C109" s="115">
        <v>162956</v>
      </c>
      <c r="D109" s="116">
        <f t="shared" si="8"/>
        <v>3.1256130669484961E-2</v>
      </c>
    </row>
    <row r="110" spans="2:5" x14ac:dyDescent="0.25">
      <c r="B110" s="114">
        <v>2014</v>
      </c>
      <c r="C110" s="115">
        <v>158017</v>
      </c>
      <c r="D110" s="116">
        <f t="shared" si="8"/>
        <v>7.7121803916756937E-2</v>
      </c>
    </row>
    <row r="111" spans="2:5" x14ac:dyDescent="0.25">
      <c r="B111" s="114">
        <v>2013</v>
      </c>
      <c r="C111" s="115">
        <v>146703</v>
      </c>
      <c r="D111" s="116">
        <f t="shared" si="8"/>
        <v>5.6025050388712971E-2</v>
      </c>
    </row>
    <row r="112" spans="2:5" x14ac:dyDescent="0.25">
      <c r="B112" s="114">
        <v>2012</v>
      </c>
      <c r="C112" s="115">
        <v>138920</v>
      </c>
      <c r="D112" s="116">
        <f t="shared" si="8"/>
        <v>-7.524763020555969E-2</v>
      </c>
    </row>
    <row r="113" spans="2:4" x14ac:dyDescent="0.25">
      <c r="B113" s="114">
        <v>2011</v>
      </c>
      <c r="C113" s="115">
        <v>150224</v>
      </c>
      <c r="D113" s="116">
        <f t="shared" si="8"/>
        <v>-6.447956756218165E-2</v>
      </c>
    </row>
    <row r="114" spans="2:4" x14ac:dyDescent="0.25">
      <c r="B114" s="114">
        <v>2010</v>
      </c>
      <c r="C114" s="115">
        <v>160578</v>
      </c>
      <c r="D114" s="116"/>
    </row>
    <row r="115" spans="2:4" ht="6" customHeight="1" x14ac:dyDescent="0.25"/>
    <row r="116" spans="2:4" x14ac:dyDescent="0.25">
      <c r="B116" s="105" t="s">
        <v>55</v>
      </c>
      <c r="C116" s="105"/>
      <c r="D116" s="105"/>
    </row>
  </sheetData>
  <mergeCells count="10">
    <mergeCell ref="B73:D73"/>
    <mergeCell ref="C75:D75"/>
    <mergeCell ref="B96:D96"/>
    <mergeCell ref="C98:D98"/>
    <mergeCell ref="B4:D4"/>
    <mergeCell ref="C6:D6"/>
    <mergeCell ref="B27:D27"/>
    <mergeCell ref="C29:D29"/>
    <mergeCell ref="B50:D50"/>
    <mergeCell ref="C52:D52"/>
  </mergeCells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FE5C98-5586-4F89-B54E-CA2AF21E39A8}">
  <sheetPr codeName="Hoja12">
    <tabColor theme="7" tint="0.79998168889431442"/>
  </sheetPr>
  <dimension ref="A1:L59"/>
  <sheetViews>
    <sheetView showGridLines="0" workbookViewId="0"/>
  </sheetViews>
  <sheetFormatPr baseColWidth="10" defaultRowHeight="15" x14ac:dyDescent="0.25"/>
  <cols>
    <col min="1" max="1" width="15.5703125" customWidth="1"/>
    <col min="2" max="2" width="27.42578125" customWidth="1"/>
    <col min="7" max="8" width="11.42578125" customWidth="1"/>
    <col min="9" max="10" width="10.42578125" customWidth="1"/>
    <col min="11" max="11" width="11.140625" customWidth="1"/>
    <col min="12" max="12" width="10.42578125" customWidth="1"/>
  </cols>
  <sheetData>
    <row r="1" spans="1:12" ht="42.75" customHeight="1" x14ac:dyDescent="0.25"/>
    <row r="2" spans="1:12" ht="24" x14ac:dyDescent="0.4">
      <c r="B2" s="125"/>
    </row>
    <row r="3" spans="1:12" ht="40.5" customHeight="1" thickBot="1" x14ac:dyDescent="0.3">
      <c r="B3" s="62" t="s">
        <v>143</v>
      </c>
      <c r="C3" s="62"/>
      <c r="D3" s="62"/>
      <c r="E3" s="62"/>
      <c r="F3" s="62"/>
      <c r="G3" s="62"/>
      <c r="H3" s="62"/>
      <c r="I3" s="62"/>
      <c r="J3" s="62"/>
      <c r="K3" s="62"/>
      <c r="L3" s="62"/>
    </row>
    <row r="4" spans="1:12" ht="8.25" customHeight="1" thickBot="1" x14ac:dyDescent="0.3">
      <c r="B4" s="83"/>
      <c r="C4" s="83"/>
      <c r="D4" s="83"/>
      <c r="E4" s="83"/>
      <c r="F4" s="83"/>
      <c r="G4" s="83"/>
      <c r="H4" s="84"/>
      <c r="I4" s="84"/>
      <c r="J4" s="84"/>
      <c r="K4" s="84"/>
      <c r="L4" s="84"/>
    </row>
    <row r="5" spans="1:12" ht="60.75" thickBot="1" x14ac:dyDescent="0.3">
      <c r="B5" s="85"/>
      <c r="C5" s="13" t="s">
        <v>258</v>
      </c>
      <c r="D5" s="13" t="s">
        <v>224</v>
      </c>
      <c r="E5" s="13" t="s">
        <v>225</v>
      </c>
      <c r="F5" s="13" t="s">
        <v>226</v>
      </c>
      <c r="G5" s="13" t="s">
        <v>227</v>
      </c>
      <c r="H5" s="13" t="s">
        <v>228</v>
      </c>
      <c r="I5" s="126" t="str">
        <f>CONCATENATE("var. ",RIGHT(H5,2),"/",RIGHT(G5,2))</f>
        <v>var. 25/24</v>
      </c>
      <c r="J5" s="126" t="str">
        <f>CONCATENATE("dif. ",RIGHT(H5,2),"/",RIGHT(G5,2))</f>
        <v>dif. 25/24</v>
      </c>
      <c r="K5" s="14" t="str">
        <f>CONCATENATE("cuota ",H5)</f>
        <v>cuota enero 2025</v>
      </c>
      <c r="L5" s="127" t="str">
        <f>CONCATENATE("cuota/ total municipio ",RIGHT(H5,2))</f>
        <v>cuota/ total municipio 25</v>
      </c>
    </row>
    <row r="6" spans="1:12" ht="15.75" x14ac:dyDescent="0.25">
      <c r="B6" s="128" t="s">
        <v>43</v>
      </c>
      <c r="C6" s="129">
        <v>386253</v>
      </c>
      <c r="D6" s="129">
        <v>46362</v>
      </c>
      <c r="E6" s="129">
        <v>273717</v>
      </c>
      <c r="F6" s="129">
        <v>403637</v>
      </c>
      <c r="G6" s="129">
        <v>417622</v>
      </c>
      <c r="H6" s="129">
        <v>422462</v>
      </c>
      <c r="I6" s="130">
        <f>IFERROR(H6/G6-1,"-")</f>
        <v>1.158942776003169E-2</v>
      </c>
      <c r="J6" s="129">
        <f t="shared" ref="J6:J57" si="0">H6-G6</f>
        <v>4840</v>
      </c>
      <c r="K6" s="130">
        <f>IFERROR(F6/$F$6,"-")</f>
        <v>1</v>
      </c>
      <c r="L6" s="131">
        <f>IFERROR(H6/H6,"-")</f>
        <v>1</v>
      </c>
    </row>
    <row r="7" spans="1:12" ht="15.75" x14ac:dyDescent="0.25">
      <c r="B7" s="132" t="s">
        <v>60</v>
      </c>
      <c r="C7" s="133">
        <v>293229</v>
      </c>
      <c r="D7" s="133">
        <v>35671</v>
      </c>
      <c r="E7" s="133">
        <v>211722</v>
      </c>
      <c r="F7" s="133">
        <v>323159</v>
      </c>
      <c r="G7" s="133">
        <v>328440</v>
      </c>
      <c r="H7" s="133">
        <v>336465</v>
      </c>
      <c r="I7" s="134">
        <f t="shared" ref="I7:I57" si="1">IFERROR(H7/G7-1,"-")</f>
        <v>2.4433686518085418E-2</v>
      </c>
      <c r="J7" s="133">
        <f t="shared" si="0"/>
        <v>8025</v>
      </c>
      <c r="K7" s="134">
        <f t="shared" ref="K7:K57" si="2">IFERROR(F7/$F$6,"-")</f>
        <v>0.80061788190874472</v>
      </c>
      <c r="L7" s="134">
        <f>IFERROR(H7/H6,"-")</f>
        <v>0.79643849624344909</v>
      </c>
    </row>
    <row r="8" spans="1:12" x14ac:dyDescent="0.25">
      <c r="B8" s="97" t="s">
        <v>140</v>
      </c>
      <c r="C8" s="52">
        <v>233512</v>
      </c>
      <c r="D8" s="52">
        <v>26219</v>
      </c>
      <c r="E8" s="52">
        <v>174422</v>
      </c>
      <c r="F8" s="52">
        <v>263189</v>
      </c>
      <c r="G8" s="52">
        <v>271495</v>
      </c>
      <c r="H8" s="52">
        <v>272390</v>
      </c>
      <c r="I8" s="98">
        <f t="shared" si="1"/>
        <v>3.2965616309692525E-3</v>
      </c>
      <c r="J8" s="52">
        <f t="shared" si="0"/>
        <v>895</v>
      </c>
      <c r="K8" s="98">
        <f t="shared" si="2"/>
        <v>0.65204379182285077</v>
      </c>
      <c r="L8" s="98">
        <f>IFERROR(H8/H6,"-")</f>
        <v>0.64476805014415495</v>
      </c>
    </row>
    <row r="9" spans="1:12" x14ac:dyDescent="0.25">
      <c r="B9" s="97" t="s">
        <v>142</v>
      </c>
      <c r="C9" s="52">
        <v>59717</v>
      </c>
      <c r="D9" s="52">
        <v>9452</v>
      </c>
      <c r="E9" s="52">
        <v>37300</v>
      </c>
      <c r="F9" s="52">
        <v>59970</v>
      </c>
      <c r="G9" s="52">
        <v>56945</v>
      </c>
      <c r="H9" s="52">
        <v>64075</v>
      </c>
      <c r="I9" s="98">
        <f t="shared" si="1"/>
        <v>0.12520853455088243</v>
      </c>
      <c r="J9" s="52">
        <f t="shared" si="0"/>
        <v>7130</v>
      </c>
      <c r="K9" s="98">
        <f t="shared" si="2"/>
        <v>0.14857409008589401</v>
      </c>
      <c r="L9" s="98">
        <f>IFERROR(H9/H6,"-")</f>
        <v>0.15167044609929414</v>
      </c>
    </row>
    <row r="10" spans="1:12" ht="16.5" thickBot="1" x14ac:dyDescent="0.3">
      <c r="B10" s="135" t="s">
        <v>63</v>
      </c>
      <c r="C10" s="136">
        <v>93024</v>
      </c>
      <c r="D10" s="136">
        <v>10691</v>
      </c>
      <c r="E10" s="136">
        <v>61995</v>
      </c>
      <c r="F10" s="136">
        <v>80478</v>
      </c>
      <c r="G10" s="136">
        <v>89182</v>
      </c>
      <c r="H10" s="136">
        <v>85997</v>
      </c>
      <c r="I10" s="137">
        <f t="shared" si="1"/>
        <v>-3.5713484783924998E-2</v>
      </c>
      <c r="J10" s="136">
        <f t="shared" si="0"/>
        <v>-3185</v>
      </c>
      <c r="K10" s="137">
        <f t="shared" si="2"/>
        <v>0.19938211809125525</v>
      </c>
      <c r="L10" s="137">
        <f>IFERROR(H10/H6,"-")</f>
        <v>0.20356150375655088</v>
      </c>
    </row>
    <row r="11" spans="1:12" ht="15.75" x14ac:dyDescent="0.25">
      <c r="A11" s="138" t="e">
        <f>#REF!/#REF!</f>
        <v>#REF!</v>
      </c>
      <c r="B11" s="128" t="s">
        <v>44</v>
      </c>
      <c r="C11" s="129">
        <v>138100</v>
      </c>
      <c r="D11" s="129">
        <v>15182</v>
      </c>
      <c r="E11" s="129">
        <v>99949</v>
      </c>
      <c r="F11" s="129">
        <v>139602</v>
      </c>
      <c r="G11" s="129">
        <v>150925</v>
      </c>
      <c r="H11" s="129">
        <v>146051</v>
      </c>
      <c r="I11" s="130">
        <f t="shared" si="1"/>
        <v>-3.2294185853900981E-2</v>
      </c>
      <c r="J11" s="129">
        <f t="shared" si="0"/>
        <v>-4874</v>
      </c>
      <c r="K11" s="130">
        <f t="shared" si="2"/>
        <v>0.34586026553561738</v>
      </c>
      <c r="L11" s="131">
        <f>IFERROR(H11/H11,"-")</f>
        <v>1</v>
      </c>
    </row>
    <row r="12" spans="1:12" ht="15.75" x14ac:dyDescent="0.25">
      <c r="A12" s="138" t="e">
        <f>#REF!/#REF!</f>
        <v>#REF!</v>
      </c>
      <c r="B12" s="132" t="s">
        <v>60</v>
      </c>
      <c r="C12" s="133">
        <v>111379</v>
      </c>
      <c r="D12" s="133">
        <v>12102</v>
      </c>
      <c r="E12" s="133">
        <v>86205</v>
      </c>
      <c r="F12" s="133">
        <v>115960</v>
      </c>
      <c r="G12" s="133">
        <v>122914</v>
      </c>
      <c r="H12" s="133">
        <v>120846</v>
      </c>
      <c r="I12" s="134">
        <f t="shared" si="1"/>
        <v>-1.6824771791659199E-2</v>
      </c>
      <c r="J12" s="133">
        <f t="shared" si="0"/>
        <v>-2068</v>
      </c>
      <c r="K12" s="134">
        <f t="shared" si="2"/>
        <v>0.28728783535701635</v>
      </c>
      <c r="L12" s="134">
        <f>IFERROR(H12/H11,"-")</f>
        <v>0.82742329734133968</v>
      </c>
    </row>
    <row r="13" spans="1:12" x14ac:dyDescent="0.25">
      <c r="A13" s="138" t="e">
        <f>#REF!/#REF!</f>
        <v>#REF!</v>
      </c>
      <c r="B13" s="97" t="s">
        <v>140</v>
      </c>
      <c r="C13" s="52">
        <v>97322</v>
      </c>
      <c r="D13" s="52">
        <v>11597</v>
      </c>
      <c r="E13" s="52">
        <v>77462</v>
      </c>
      <c r="F13" s="52">
        <v>102022</v>
      </c>
      <c r="G13" s="52">
        <v>111169</v>
      </c>
      <c r="H13" s="52">
        <v>108553</v>
      </c>
      <c r="I13" s="98">
        <f t="shared" si="1"/>
        <v>-2.3531739963479015E-2</v>
      </c>
      <c r="J13" s="52">
        <f t="shared" si="0"/>
        <v>-2616</v>
      </c>
      <c r="K13" s="98">
        <f t="shared" si="2"/>
        <v>0.252756808716743</v>
      </c>
      <c r="L13" s="98">
        <f>IFERROR(H13/H11,"-")</f>
        <v>0.74325406878419187</v>
      </c>
    </row>
    <row r="14" spans="1:12" x14ac:dyDescent="0.25">
      <c r="A14" s="138" t="e">
        <f>#REF!/#REF!</f>
        <v>#REF!</v>
      </c>
      <c r="B14" s="97" t="s">
        <v>142</v>
      </c>
      <c r="C14" s="52">
        <v>14057</v>
      </c>
      <c r="D14" s="52">
        <v>505</v>
      </c>
      <c r="E14" s="52">
        <v>8743</v>
      </c>
      <c r="F14" s="52">
        <v>13938</v>
      </c>
      <c r="G14" s="52">
        <v>11745</v>
      </c>
      <c r="H14" s="52">
        <v>12293</v>
      </c>
      <c r="I14" s="98">
        <f t="shared" si="1"/>
        <v>4.665815240527893E-2</v>
      </c>
      <c r="J14" s="52">
        <f t="shared" si="0"/>
        <v>548</v>
      </c>
      <c r="K14" s="98">
        <f t="shared" si="2"/>
        <v>3.4531026640273313E-2</v>
      </c>
      <c r="L14" s="98">
        <f>IFERROR(H14/H11,"-")</f>
        <v>8.416922855714784E-2</v>
      </c>
    </row>
    <row r="15" spans="1:12" ht="16.5" thickBot="1" x14ac:dyDescent="0.3">
      <c r="A15" s="138" t="e">
        <f>#REF!/#REF!</f>
        <v>#REF!</v>
      </c>
      <c r="B15" s="135" t="s">
        <v>63</v>
      </c>
      <c r="C15" s="136">
        <v>26721</v>
      </c>
      <c r="D15" s="136">
        <v>3080</v>
      </c>
      <c r="E15" s="136">
        <v>13744</v>
      </c>
      <c r="F15" s="136">
        <v>23642</v>
      </c>
      <c r="G15" s="136">
        <v>28011</v>
      </c>
      <c r="H15" s="136">
        <v>25205</v>
      </c>
      <c r="I15" s="137">
        <f t="shared" si="1"/>
        <v>-0.10017493127699828</v>
      </c>
      <c r="J15" s="136">
        <f t="shared" si="0"/>
        <v>-2806</v>
      </c>
      <c r="K15" s="137">
        <f t="shared" si="2"/>
        <v>5.8572430178601073E-2</v>
      </c>
      <c r="L15" s="137">
        <f>IFERROR(H15/H11,"-")</f>
        <v>0.17257670265866032</v>
      </c>
    </row>
    <row r="16" spans="1:12" ht="15.75" x14ac:dyDescent="0.25">
      <c r="A16" s="79"/>
      <c r="B16" s="128" t="s">
        <v>45</v>
      </c>
      <c r="C16" s="129">
        <v>102767</v>
      </c>
      <c r="D16" s="129">
        <v>8010</v>
      </c>
      <c r="E16" s="129">
        <v>72992</v>
      </c>
      <c r="F16" s="129">
        <v>102127</v>
      </c>
      <c r="G16" s="129">
        <v>102161</v>
      </c>
      <c r="H16" s="129">
        <v>108758</v>
      </c>
      <c r="I16" s="130">
        <f t="shared" si="1"/>
        <v>6.4574544101956732E-2</v>
      </c>
      <c r="J16" s="129">
        <f t="shared" si="0"/>
        <v>6597</v>
      </c>
      <c r="K16" s="130">
        <f t="shared" si="2"/>
        <v>0.25301694344175585</v>
      </c>
      <c r="L16" s="131">
        <f>IFERROR(H16/H16,"-")</f>
        <v>1</v>
      </c>
    </row>
    <row r="17" spans="2:12" ht="15.75" x14ac:dyDescent="0.25">
      <c r="B17" s="132" t="s">
        <v>60</v>
      </c>
      <c r="C17" s="133">
        <v>60504</v>
      </c>
      <c r="D17" s="133">
        <v>2072</v>
      </c>
      <c r="E17" s="133">
        <v>40098</v>
      </c>
      <c r="F17" s="133">
        <v>63291</v>
      </c>
      <c r="G17" s="133">
        <v>62071</v>
      </c>
      <c r="H17" s="133">
        <v>69478</v>
      </c>
      <c r="I17" s="134">
        <f t="shared" si="1"/>
        <v>0.11933108859209618</v>
      </c>
      <c r="J17" s="133">
        <f t="shared" si="0"/>
        <v>7407</v>
      </c>
      <c r="K17" s="134">
        <f t="shared" si="2"/>
        <v>0.15680177981701379</v>
      </c>
      <c r="L17" s="134">
        <f>IFERROR(H17/H16,"-")</f>
        <v>0.63883116644292837</v>
      </c>
    </row>
    <row r="18" spans="2:12" x14ac:dyDescent="0.25">
      <c r="B18" s="97" t="s">
        <v>140</v>
      </c>
      <c r="C18" s="52">
        <v>44788</v>
      </c>
      <c r="D18" s="52">
        <v>1594</v>
      </c>
      <c r="E18" s="52">
        <v>32265</v>
      </c>
      <c r="F18" s="52">
        <v>48326</v>
      </c>
      <c r="G18" s="52">
        <v>49957</v>
      </c>
      <c r="H18" s="52">
        <v>51937</v>
      </c>
      <c r="I18" s="98">
        <f t="shared" si="1"/>
        <v>3.9634085313369427E-2</v>
      </c>
      <c r="J18" s="52">
        <f t="shared" si="0"/>
        <v>1980</v>
      </c>
      <c r="K18" s="98">
        <f t="shared" si="2"/>
        <v>0.11972638781875794</v>
      </c>
      <c r="L18" s="98">
        <f>IFERROR(H18/H16,"-")</f>
        <v>0.47754647933945088</v>
      </c>
    </row>
    <row r="19" spans="2:12" x14ac:dyDescent="0.25">
      <c r="B19" s="97" t="s">
        <v>142</v>
      </c>
      <c r="C19" s="52">
        <v>15716</v>
      </c>
      <c r="D19" s="52">
        <v>478</v>
      </c>
      <c r="E19" s="52">
        <v>7833</v>
      </c>
      <c r="F19" s="52">
        <v>14965</v>
      </c>
      <c r="G19" s="52">
        <v>12114</v>
      </c>
      <c r="H19" s="52">
        <v>17541</v>
      </c>
      <c r="I19" s="98">
        <f t="shared" si="1"/>
        <v>0.4479940564635958</v>
      </c>
      <c r="J19" s="52">
        <f t="shared" si="0"/>
        <v>5427</v>
      </c>
      <c r="K19" s="98">
        <f t="shared" si="2"/>
        <v>3.7075391998255859E-2</v>
      </c>
      <c r="L19" s="98">
        <f>IFERROR(H19/H16,"-")</f>
        <v>0.16128468710347746</v>
      </c>
    </row>
    <row r="20" spans="2:12" ht="16.5" thickBot="1" x14ac:dyDescent="0.3">
      <c r="B20" s="135" t="s">
        <v>63</v>
      </c>
      <c r="C20" s="136">
        <v>42263</v>
      </c>
      <c r="D20" s="136">
        <v>5938</v>
      </c>
      <c r="E20" s="136">
        <v>32894</v>
      </c>
      <c r="F20" s="136">
        <v>38836</v>
      </c>
      <c r="G20" s="136">
        <v>40090</v>
      </c>
      <c r="H20" s="136">
        <v>39280</v>
      </c>
      <c r="I20" s="137">
        <f t="shared" si="1"/>
        <v>-2.0204539785482645E-2</v>
      </c>
      <c r="J20" s="136">
        <f t="shared" si="0"/>
        <v>-810</v>
      </c>
      <c r="K20" s="137">
        <f t="shared" si="2"/>
        <v>9.6215163624742028E-2</v>
      </c>
      <c r="L20" s="137">
        <f>IFERROR(H20/H16,"-")</f>
        <v>0.36116883355707169</v>
      </c>
    </row>
    <row r="21" spans="2:12" ht="15.75" x14ac:dyDescent="0.25">
      <c r="B21" s="128" t="s">
        <v>46</v>
      </c>
      <c r="C21" s="129">
        <v>3774</v>
      </c>
      <c r="D21" s="129">
        <v>596</v>
      </c>
      <c r="E21" s="129">
        <v>2563</v>
      </c>
      <c r="F21" s="129">
        <v>6916</v>
      </c>
      <c r="G21" s="129">
        <v>4476</v>
      </c>
      <c r="H21" s="129">
        <v>4609</v>
      </c>
      <c r="I21" s="130">
        <f t="shared" si="1"/>
        <v>2.9714030384271561E-2</v>
      </c>
      <c r="J21" s="129">
        <f t="shared" si="0"/>
        <v>133</v>
      </c>
      <c r="K21" s="130">
        <f t="shared" si="2"/>
        <v>1.7134207220844473E-2</v>
      </c>
      <c r="L21" s="131">
        <f>IFERROR(H21/H21,"-")</f>
        <v>1</v>
      </c>
    </row>
    <row r="22" spans="2:12" ht="15.75" x14ac:dyDescent="0.25">
      <c r="B22" s="132" t="s">
        <v>60</v>
      </c>
      <c r="C22" s="133">
        <v>3026</v>
      </c>
      <c r="D22" s="133">
        <v>596</v>
      </c>
      <c r="E22" s="133">
        <v>2563</v>
      </c>
      <c r="F22" s="133">
        <v>6858</v>
      </c>
      <c r="G22" s="133">
        <v>4426</v>
      </c>
      <c r="H22" s="133">
        <v>4533</v>
      </c>
      <c r="I22" s="134">
        <f t="shared" si="1"/>
        <v>2.4175327609579744E-2</v>
      </c>
      <c r="J22" s="133">
        <f t="shared" si="0"/>
        <v>107</v>
      </c>
      <c r="K22" s="134">
        <f t="shared" si="2"/>
        <v>1.6990513753694533E-2</v>
      </c>
      <c r="L22" s="134">
        <f>IFERROR(H22/H21,"-")</f>
        <v>0.98351052288999785</v>
      </c>
    </row>
    <row r="23" spans="2:12" x14ac:dyDescent="0.25">
      <c r="B23" s="97" t="s">
        <v>140</v>
      </c>
      <c r="C23" s="52">
        <v>0</v>
      </c>
      <c r="D23" s="52">
        <v>0</v>
      </c>
      <c r="E23" s="52">
        <v>0</v>
      </c>
      <c r="F23" s="52">
        <v>0</v>
      </c>
      <c r="G23" s="52">
        <v>0</v>
      </c>
      <c r="H23" s="52">
        <v>0</v>
      </c>
      <c r="I23" s="98" t="str">
        <f t="shared" si="1"/>
        <v>-</v>
      </c>
      <c r="J23" s="52">
        <f t="shared" si="0"/>
        <v>0</v>
      </c>
      <c r="K23" s="98">
        <f t="shared" si="2"/>
        <v>0</v>
      </c>
      <c r="L23" s="98">
        <f>IFERROR(H23/H21,"-")</f>
        <v>0</v>
      </c>
    </row>
    <row r="24" spans="2:12" x14ac:dyDescent="0.25">
      <c r="B24" s="97" t="s">
        <v>142</v>
      </c>
      <c r="C24" s="52">
        <v>0</v>
      </c>
      <c r="D24" s="52">
        <v>596</v>
      </c>
      <c r="E24" s="52">
        <v>0</v>
      </c>
      <c r="F24" s="52">
        <v>0</v>
      </c>
      <c r="G24" s="52">
        <v>0</v>
      </c>
      <c r="H24" s="52">
        <v>0</v>
      </c>
      <c r="I24" s="98" t="str">
        <f t="shared" si="1"/>
        <v>-</v>
      </c>
      <c r="J24" s="52">
        <f t="shared" si="0"/>
        <v>0</v>
      </c>
      <c r="K24" s="98">
        <f t="shared" si="2"/>
        <v>0</v>
      </c>
      <c r="L24" s="98">
        <f>IFERROR(H24/H21,"-")</f>
        <v>0</v>
      </c>
    </row>
    <row r="25" spans="2:12" ht="16.5" thickBot="1" x14ac:dyDescent="0.3">
      <c r="B25" s="135" t="s">
        <v>63</v>
      </c>
      <c r="C25" s="136">
        <v>748</v>
      </c>
      <c r="D25" s="136">
        <v>0</v>
      </c>
      <c r="E25" s="136">
        <v>0</v>
      </c>
      <c r="F25" s="136">
        <v>0</v>
      </c>
      <c r="G25" s="136">
        <v>0</v>
      </c>
      <c r="H25" s="136">
        <v>0</v>
      </c>
      <c r="I25" s="137" t="str">
        <f t="shared" si="1"/>
        <v>-</v>
      </c>
      <c r="J25" s="136">
        <f t="shared" si="0"/>
        <v>0</v>
      </c>
      <c r="K25" s="137">
        <f t="shared" si="2"/>
        <v>0</v>
      </c>
      <c r="L25" s="137">
        <f>IFERROR(H25/H21,"-")</f>
        <v>0</v>
      </c>
    </row>
    <row r="26" spans="2:12" ht="15.75" x14ac:dyDescent="0.25">
      <c r="B26" s="128" t="s">
        <v>47</v>
      </c>
      <c r="C26" s="129">
        <v>9813</v>
      </c>
      <c r="D26" s="129">
        <v>1197</v>
      </c>
      <c r="E26" s="129">
        <v>9896</v>
      </c>
      <c r="F26" s="129">
        <v>17947</v>
      </c>
      <c r="G26" s="129">
        <v>15841</v>
      </c>
      <c r="H26" s="129">
        <v>14788</v>
      </c>
      <c r="I26" s="130">
        <f t="shared" si="1"/>
        <v>-6.6473076194684677E-2</v>
      </c>
      <c r="J26" s="129">
        <f t="shared" si="0"/>
        <v>-1053</v>
      </c>
      <c r="K26" s="130">
        <f t="shared" si="2"/>
        <v>4.4463218188619973E-2</v>
      </c>
      <c r="L26" s="131">
        <f>IFERROR(H26/H26,"-")</f>
        <v>1</v>
      </c>
    </row>
    <row r="27" spans="2:12" ht="15.75" x14ac:dyDescent="0.25">
      <c r="B27" s="132" t="s">
        <v>60</v>
      </c>
      <c r="C27" s="133">
        <v>9499</v>
      </c>
      <c r="D27" s="133">
        <v>1150</v>
      </c>
      <c r="E27" s="133">
        <v>7546</v>
      </c>
      <c r="F27" s="133">
        <v>17462</v>
      </c>
      <c r="G27" s="133">
        <v>12086</v>
      </c>
      <c r="H27" s="133">
        <v>11355</v>
      </c>
      <c r="I27" s="134">
        <f t="shared" si="1"/>
        <v>-6.0483203706768185E-2</v>
      </c>
      <c r="J27" s="133">
        <f t="shared" si="0"/>
        <v>-731</v>
      </c>
      <c r="K27" s="134">
        <f t="shared" si="2"/>
        <v>4.3261643506417896E-2</v>
      </c>
      <c r="L27" s="134">
        <f>IFERROR(H27/H26,"-")</f>
        <v>0.76785231268596155</v>
      </c>
    </row>
    <row r="28" spans="2:12" x14ac:dyDescent="0.25">
      <c r="B28" s="97" t="s">
        <v>140</v>
      </c>
      <c r="C28" s="52">
        <v>8651</v>
      </c>
      <c r="D28" s="52">
        <v>1150</v>
      </c>
      <c r="E28" s="52">
        <v>0</v>
      </c>
      <c r="F28" s="52">
        <v>0</v>
      </c>
      <c r="G28" s="52">
        <v>0</v>
      </c>
      <c r="H28" s="52">
        <v>0</v>
      </c>
      <c r="I28" s="98" t="str">
        <f t="shared" si="1"/>
        <v>-</v>
      </c>
      <c r="J28" s="52">
        <f t="shared" si="0"/>
        <v>0</v>
      </c>
      <c r="K28" s="98">
        <f t="shared" si="2"/>
        <v>0</v>
      </c>
      <c r="L28" s="98">
        <f>IFERROR(H28/H26,"-")</f>
        <v>0</v>
      </c>
    </row>
    <row r="29" spans="2:12" ht="15.75" thickBot="1" x14ac:dyDescent="0.3">
      <c r="B29" s="97" t="s">
        <v>142</v>
      </c>
      <c r="C29" s="52">
        <v>848</v>
      </c>
      <c r="D29" s="52">
        <v>0</v>
      </c>
      <c r="E29" s="52">
        <v>0</v>
      </c>
      <c r="F29" s="52">
        <v>0</v>
      </c>
      <c r="G29" s="52">
        <v>0</v>
      </c>
      <c r="H29" s="52">
        <v>0</v>
      </c>
      <c r="I29" s="98" t="str">
        <f t="shared" si="1"/>
        <v>-</v>
      </c>
      <c r="J29" s="52">
        <f t="shared" si="0"/>
        <v>0</v>
      </c>
      <c r="K29" s="98">
        <f t="shared" si="2"/>
        <v>0</v>
      </c>
      <c r="L29" s="98">
        <f>IFERROR(H29/H26,"-")</f>
        <v>0</v>
      </c>
    </row>
    <row r="30" spans="2:12" ht="15.75" x14ac:dyDescent="0.25">
      <c r="B30" s="128" t="s">
        <v>48</v>
      </c>
      <c r="C30" s="129">
        <v>61311</v>
      </c>
      <c r="D30" s="129">
        <v>4603</v>
      </c>
      <c r="E30" s="129">
        <v>36105</v>
      </c>
      <c r="F30" s="129">
        <v>60088</v>
      </c>
      <c r="G30" s="129">
        <v>64481</v>
      </c>
      <c r="H30" s="129">
        <v>65410</v>
      </c>
      <c r="I30" s="130">
        <f t="shared" si="1"/>
        <v>1.4407344799243216E-2</v>
      </c>
      <c r="J30" s="129">
        <f t="shared" si="0"/>
        <v>929</v>
      </c>
      <c r="K30" s="130">
        <f t="shared" si="2"/>
        <v>0.14886643196733698</v>
      </c>
      <c r="L30" s="131">
        <f>IFERROR(H30/H30,"-")</f>
        <v>1</v>
      </c>
    </row>
    <row r="31" spans="2:12" ht="15.75" x14ac:dyDescent="0.25">
      <c r="B31" s="132" t="s">
        <v>60</v>
      </c>
      <c r="C31" s="133">
        <v>49163</v>
      </c>
      <c r="D31" s="133">
        <v>3370</v>
      </c>
      <c r="E31" s="133">
        <v>28358</v>
      </c>
      <c r="F31" s="133">
        <v>49540</v>
      </c>
      <c r="G31" s="133">
        <v>54397</v>
      </c>
      <c r="H31" s="133">
        <v>54883</v>
      </c>
      <c r="I31" s="134">
        <f t="shared" si="1"/>
        <v>8.9343162306745327E-3</v>
      </c>
      <c r="J31" s="133">
        <f t="shared" si="0"/>
        <v>486</v>
      </c>
      <c r="K31" s="134">
        <f t="shared" si="2"/>
        <v>0.12273404073462046</v>
      </c>
      <c r="L31" s="134">
        <f>IFERROR(H31/H30,"-")</f>
        <v>0.83906130561076286</v>
      </c>
    </row>
    <row r="32" spans="2:12" x14ac:dyDescent="0.25">
      <c r="B32" s="97" t="s">
        <v>140</v>
      </c>
      <c r="C32" s="52">
        <v>39435</v>
      </c>
      <c r="D32" s="52">
        <v>1750</v>
      </c>
      <c r="E32" s="52">
        <v>21891</v>
      </c>
      <c r="F32" s="52">
        <v>42127</v>
      </c>
      <c r="G32" s="52">
        <v>46328</v>
      </c>
      <c r="H32" s="52">
        <v>46073</v>
      </c>
      <c r="I32" s="98">
        <f t="shared" si="1"/>
        <v>-5.5042307028146942E-3</v>
      </c>
      <c r="J32" s="52">
        <f t="shared" si="0"/>
        <v>-255</v>
      </c>
      <c r="K32" s="98">
        <f t="shared" si="2"/>
        <v>0.10436852914871531</v>
      </c>
      <c r="L32" s="98">
        <f>IFERROR(H32/H30,"-")</f>
        <v>0.70437242011924783</v>
      </c>
    </row>
    <row r="33" spans="2:12" x14ac:dyDescent="0.25">
      <c r="B33" s="97" t="s">
        <v>142</v>
      </c>
      <c r="C33" s="52">
        <v>9728</v>
      </c>
      <c r="D33" s="52">
        <v>1620</v>
      </c>
      <c r="E33" s="52">
        <v>6467</v>
      </c>
      <c r="F33" s="52">
        <v>7413</v>
      </c>
      <c r="G33" s="52">
        <v>8069</v>
      </c>
      <c r="H33" s="52">
        <v>8810</v>
      </c>
      <c r="I33" s="98">
        <f t="shared" si="1"/>
        <v>9.1832940884867931E-2</v>
      </c>
      <c r="J33" s="52">
        <f t="shared" si="0"/>
        <v>741</v>
      </c>
      <c r="K33" s="98">
        <f t="shared" si="2"/>
        <v>1.8365511585905159E-2</v>
      </c>
      <c r="L33" s="98">
        <f>IFERROR(H33/H30,"-")</f>
        <v>0.13468888549151506</v>
      </c>
    </row>
    <row r="34" spans="2:12" ht="16.5" thickBot="1" x14ac:dyDescent="0.3">
      <c r="B34" s="135" t="s">
        <v>63</v>
      </c>
      <c r="C34" s="136">
        <v>12148</v>
      </c>
      <c r="D34" s="136">
        <v>1233</v>
      </c>
      <c r="E34" s="136">
        <v>7747</v>
      </c>
      <c r="F34" s="136">
        <v>10548</v>
      </c>
      <c r="G34" s="136">
        <v>10084</v>
      </c>
      <c r="H34" s="136">
        <v>10527</v>
      </c>
      <c r="I34" s="137">
        <f t="shared" si="1"/>
        <v>4.3930979769932543E-2</v>
      </c>
      <c r="J34" s="136">
        <f t="shared" si="0"/>
        <v>443</v>
      </c>
      <c r="K34" s="137">
        <f t="shared" si="2"/>
        <v>2.6132391232716524E-2</v>
      </c>
      <c r="L34" s="137">
        <f>IFERROR(H34/H30,"-")</f>
        <v>0.16093869438923711</v>
      </c>
    </row>
    <row r="35" spans="2:12" ht="15.75" x14ac:dyDescent="0.25">
      <c r="B35" s="128" t="s">
        <v>49</v>
      </c>
      <c r="C35" s="129">
        <v>5197</v>
      </c>
      <c r="D35" s="129">
        <v>1146</v>
      </c>
      <c r="E35" s="129">
        <v>3527</v>
      </c>
      <c r="F35" s="129">
        <v>5390</v>
      </c>
      <c r="G35" s="129">
        <v>5217</v>
      </c>
      <c r="H35" s="129">
        <v>5311</v>
      </c>
      <c r="I35" s="130">
        <f t="shared" si="1"/>
        <v>1.8018018018018056E-2</v>
      </c>
      <c r="J35" s="129">
        <f t="shared" si="0"/>
        <v>94</v>
      </c>
      <c r="K35" s="130">
        <f t="shared" si="2"/>
        <v>1.3353582550658142E-2</v>
      </c>
      <c r="L35" s="131">
        <f>IFERROR(H35/H35,"-")</f>
        <v>1</v>
      </c>
    </row>
    <row r="36" spans="2:12" ht="15.75" x14ac:dyDescent="0.25">
      <c r="B36" s="132" t="s">
        <v>60</v>
      </c>
      <c r="C36" s="133">
        <v>5197</v>
      </c>
      <c r="D36" s="133">
        <v>1146</v>
      </c>
      <c r="E36" s="133">
        <v>3527</v>
      </c>
      <c r="F36" s="133">
        <v>5390</v>
      </c>
      <c r="G36" s="133">
        <v>5217</v>
      </c>
      <c r="H36" s="133">
        <v>5311</v>
      </c>
      <c r="I36" s="134">
        <f t="shared" si="1"/>
        <v>1.8018018018018056E-2</v>
      </c>
      <c r="J36" s="133">
        <f t="shared" si="0"/>
        <v>94</v>
      </c>
      <c r="K36" s="134">
        <f t="shared" si="2"/>
        <v>1.3353582550658142E-2</v>
      </c>
      <c r="L36" s="134">
        <f>IFERROR(H36/H35,"-")</f>
        <v>1</v>
      </c>
    </row>
    <row r="37" spans="2:12" x14ac:dyDescent="0.25">
      <c r="B37" s="97" t="s">
        <v>140</v>
      </c>
      <c r="C37" s="52">
        <v>3703</v>
      </c>
      <c r="D37" s="52">
        <v>0</v>
      </c>
      <c r="E37" s="52">
        <v>0</v>
      </c>
      <c r="F37" s="52">
        <v>4641</v>
      </c>
      <c r="G37" s="52">
        <v>4486</v>
      </c>
      <c r="H37" s="52">
        <v>4485</v>
      </c>
      <c r="I37" s="98">
        <f t="shared" si="1"/>
        <v>-2.2291573785104823E-4</v>
      </c>
      <c r="J37" s="52">
        <f t="shared" si="0"/>
        <v>-1</v>
      </c>
      <c r="K37" s="98">
        <f t="shared" si="2"/>
        <v>1.1497954845566686E-2</v>
      </c>
      <c r="L37" s="98">
        <f>IFERROR(H37/H35,"-")</f>
        <v>0.84447373376012047</v>
      </c>
    </row>
    <row r="38" spans="2:12" ht="15.75" thickBot="1" x14ac:dyDescent="0.3">
      <c r="B38" s="97" t="s">
        <v>142</v>
      </c>
      <c r="C38" s="52">
        <v>1494</v>
      </c>
      <c r="D38" s="52">
        <v>0</v>
      </c>
      <c r="E38" s="52">
        <v>0</v>
      </c>
      <c r="F38" s="52">
        <v>749</v>
      </c>
      <c r="G38" s="52">
        <v>731</v>
      </c>
      <c r="H38" s="52">
        <v>826</v>
      </c>
      <c r="I38" s="98">
        <f t="shared" si="1"/>
        <v>0.12995896032831733</v>
      </c>
      <c r="J38" s="52">
        <f t="shared" si="0"/>
        <v>95</v>
      </c>
      <c r="K38" s="98">
        <f t="shared" si="2"/>
        <v>1.855627705091456E-3</v>
      </c>
      <c r="L38" s="98">
        <f>IFERROR(H38/H35,"-")</f>
        <v>0.1555262662398795</v>
      </c>
    </row>
    <row r="39" spans="2:12" ht="15.75" x14ac:dyDescent="0.25">
      <c r="B39" s="128" t="s">
        <v>50</v>
      </c>
      <c r="C39" s="129">
        <v>14599</v>
      </c>
      <c r="D39" s="129">
        <v>2476</v>
      </c>
      <c r="E39" s="129">
        <v>11584</v>
      </c>
      <c r="F39" s="129">
        <v>15634</v>
      </c>
      <c r="G39" s="129">
        <v>17228</v>
      </c>
      <c r="H39" s="129">
        <v>20420</v>
      </c>
      <c r="I39" s="130">
        <f t="shared" si="1"/>
        <v>0.18527977710703514</v>
      </c>
      <c r="J39" s="129">
        <f t="shared" si="0"/>
        <v>3192</v>
      </c>
      <c r="K39" s="130">
        <f t="shared" si="2"/>
        <v>3.8732821817623261E-2</v>
      </c>
      <c r="L39" s="131">
        <f>IFERROR(H39/H39,"-")</f>
        <v>1</v>
      </c>
    </row>
    <row r="40" spans="2:12" ht="15.75" x14ac:dyDescent="0.25">
      <c r="B40" s="132" t="s">
        <v>60</v>
      </c>
      <c r="C40" s="133">
        <v>9284</v>
      </c>
      <c r="D40" s="133">
        <v>2470</v>
      </c>
      <c r="E40" s="133">
        <v>9886</v>
      </c>
      <c r="F40" s="133">
        <v>13452</v>
      </c>
      <c r="G40" s="133">
        <v>15230</v>
      </c>
      <c r="H40" s="133">
        <v>18184</v>
      </c>
      <c r="I40" s="134">
        <f t="shared" si="1"/>
        <v>0.19395929087327635</v>
      </c>
      <c r="J40" s="133">
        <f t="shared" si="0"/>
        <v>2954</v>
      </c>
      <c r="K40" s="134">
        <f t="shared" si="2"/>
        <v>3.3326974484499686E-2</v>
      </c>
      <c r="L40" s="134">
        <f>IFERROR(H40/H39,"-")</f>
        <v>0.89049951028403529</v>
      </c>
    </row>
    <row r="41" spans="2:12" x14ac:dyDescent="0.25">
      <c r="B41" s="97" t="s">
        <v>140</v>
      </c>
      <c r="C41" s="52">
        <v>9284</v>
      </c>
      <c r="D41" s="52">
        <v>0</v>
      </c>
      <c r="E41" s="52">
        <v>0</v>
      </c>
      <c r="F41" s="52">
        <v>0</v>
      </c>
      <c r="G41" s="52">
        <v>0</v>
      </c>
      <c r="H41" s="52">
        <v>0</v>
      </c>
      <c r="I41" s="98" t="str">
        <f t="shared" si="1"/>
        <v>-</v>
      </c>
      <c r="J41" s="52">
        <f t="shared" si="0"/>
        <v>0</v>
      </c>
      <c r="K41" s="98">
        <f t="shared" si="2"/>
        <v>0</v>
      </c>
      <c r="L41" s="98">
        <f>IFERROR(H41/H39,"-")</f>
        <v>0</v>
      </c>
    </row>
    <row r="42" spans="2:12" x14ac:dyDescent="0.25">
      <c r="B42" s="97" t="s">
        <v>142</v>
      </c>
      <c r="C42" s="52">
        <v>0</v>
      </c>
      <c r="D42" s="52">
        <v>0</v>
      </c>
      <c r="E42" s="52">
        <v>0</v>
      </c>
      <c r="F42" s="52">
        <v>0</v>
      </c>
      <c r="G42" s="52">
        <v>0</v>
      </c>
      <c r="H42" s="52">
        <v>0</v>
      </c>
      <c r="I42" s="98" t="str">
        <f t="shared" si="1"/>
        <v>-</v>
      </c>
      <c r="J42" s="52">
        <f t="shared" si="0"/>
        <v>0</v>
      </c>
      <c r="K42" s="98">
        <f t="shared" si="2"/>
        <v>0</v>
      </c>
      <c r="L42" s="98">
        <f>IFERROR(H42/H39,"-")</f>
        <v>0</v>
      </c>
    </row>
    <row r="43" spans="2:12" ht="16.5" thickBot="1" x14ac:dyDescent="0.3">
      <c r="B43" s="135" t="s">
        <v>63</v>
      </c>
      <c r="C43" s="136">
        <v>5315</v>
      </c>
      <c r="D43" s="136">
        <v>6</v>
      </c>
      <c r="E43" s="136">
        <v>1698</v>
      </c>
      <c r="F43" s="136">
        <v>2182</v>
      </c>
      <c r="G43" s="136">
        <v>1998</v>
      </c>
      <c r="H43" s="136">
        <v>2236</v>
      </c>
      <c r="I43" s="137">
        <f t="shared" si="1"/>
        <v>0.11911911911911921</v>
      </c>
      <c r="J43" s="136">
        <f t="shared" si="0"/>
        <v>238</v>
      </c>
      <c r="K43" s="137">
        <f t="shared" si="2"/>
        <v>5.4058473331235739E-3</v>
      </c>
      <c r="L43" s="137">
        <f>IFERROR(H43/H39,"-")</f>
        <v>0.10950048971596474</v>
      </c>
    </row>
    <row r="44" spans="2:12" ht="15.75" x14ac:dyDescent="0.25">
      <c r="B44" s="128" t="s">
        <v>51</v>
      </c>
      <c r="C44" s="129">
        <v>20553</v>
      </c>
      <c r="D44" s="129">
        <v>4767</v>
      </c>
      <c r="E44" s="129">
        <v>14146</v>
      </c>
      <c r="F44" s="129">
        <v>23609</v>
      </c>
      <c r="G44" s="129">
        <v>23867</v>
      </c>
      <c r="H44" s="129">
        <v>24602</v>
      </c>
      <c r="I44" s="130">
        <f t="shared" si="1"/>
        <v>3.0795659278501697E-2</v>
      </c>
      <c r="J44" s="129">
        <f t="shared" si="0"/>
        <v>735</v>
      </c>
      <c r="K44" s="130">
        <f t="shared" si="2"/>
        <v>5.8490673550739898E-2</v>
      </c>
      <c r="L44" s="131">
        <f>IFERROR(H44/H44,"-")</f>
        <v>1</v>
      </c>
    </row>
    <row r="45" spans="2:12" ht="15.75" x14ac:dyDescent="0.25">
      <c r="B45" s="132" t="s">
        <v>60</v>
      </c>
      <c r="C45" s="133">
        <v>20553</v>
      </c>
      <c r="D45" s="133">
        <v>4767</v>
      </c>
      <c r="E45" s="133">
        <v>14146</v>
      </c>
      <c r="F45" s="133">
        <v>23609</v>
      </c>
      <c r="G45" s="133">
        <v>23867</v>
      </c>
      <c r="H45" s="133">
        <v>24602</v>
      </c>
      <c r="I45" s="134">
        <f t="shared" si="1"/>
        <v>3.0795659278501697E-2</v>
      </c>
      <c r="J45" s="133">
        <f t="shared" si="0"/>
        <v>735</v>
      </c>
      <c r="K45" s="134">
        <f t="shared" si="2"/>
        <v>5.8490673550739898E-2</v>
      </c>
      <c r="L45" s="134">
        <f>IFERROR(H45/H44,"-")</f>
        <v>1</v>
      </c>
    </row>
    <row r="46" spans="2:12" x14ac:dyDescent="0.25">
      <c r="B46" s="97" t="s">
        <v>140</v>
      </c>
      <c r="C46" s="52">
        <v>9949</v>
      </c>
      <c r="D46" s="52">
        <v>1748</v>
      </c>
      <c r="E46" s="52">
        <v>8448</v>
      </c>
      <c r="F46" s="52">
        <v>14009</v>
      </c>
      <c r="G46" s="52">
        <v>13713</v>
      </c>
      <c r="H46" s="52">
        <v>15504</v>
      </c>
      <c r="I46" s="98">
        <f t="shared" si="1"/>
        <v>0.13060599431196684</v>
      </c>
      <c r="J46" s="52">
        <f t="shared" si="0"/>
        <v>1791</v>
      </c>
      <c r="K46" s="98">
        <f t="shared" si="2"/>
        <v>3.470692726385341E-2</v>
      </c>
      <c r="L46" s="98">
        <f>IFERROR(H46/H44,"-")</f>
        <v>0.63019266726282419</v>
      </c>
    </row>
    <row r="47" spans="2:12" ht="15.75" thickBot="1" x14ac:dyDescent="0.3">
      <c r="B47" s="97" t="s">
        <v>142</v>
      </c>
      <c r="C47" s="52">
        <v>10604</v>
      </c>
      <c r="D47" s="52">
        <v>3019</v>
      </c>
      <c r="E47" s="52">
        <v>5698</v>
      </c>
      <c r="F47" s="52">
        <v>9600</v>
      </c>
      <c r="G47" s="52">
        <v>10154</v>
      </c>
      <c r="H47" s="52">
        <v>9098</v>
      </c>
      <c r="I47" s="98">
        <f t="shared" si="1"/>
        <v>-0.10399842426629902</v>
      </c>
      <c r="J47" s="52">
        <f t="shared" si="0"/>
        <v>-1056</v>
      </c>
      <c r="K47" s="98">
        <f t="shared" si="2"/>
        <v>2.3783746286886485E-2</v>
      </c>
      <c r="L47" s="98">
        <f>IFERROR(H47/H44,"-")</f>
        <v>0.36980733273717586</v>
      </c>
    </row>
    <row r="48" spans="2:12" ht="15.75" x14ac:dyDescent="0.25">
      <c r="B48" s="128" t="s">
        <v>52</v>
      </c>
      <c r="C48" s="129">
        <v>21031</v>
      </c>
      <c r="D48" s="129">
        <v>6223</v>
      </c>
      <c r="E48" s="129">
        <v>15598</v>
      </c>
      <c r="F48" s="129">
        <v>22490</v>
      </c>
      <c r="G48" s="129">
        <v>22650</v>
      </c>
      <c r="H48" s="129">
        <v>22528</v>
      </c>
      <c r="I48" s="130">
        <f t="shared" si="1"/>
        <v>-5.3863134657836653E-3</v>
      </c>
      <c r="J48" s="129">
        <f t="shared" si="0"/>
        <v>-122</v>
      </c>
      <c r="K48" s="130">
        <f t="shared" si="2"/>
        <v>5.5718380624174689E-2</v>
      </c>
      <c r="L48" s="131">
        <f>IFERROR(H48/H48,"-")</f>
        <v>1</v>
      </c>
    </row>
    <row r="49" spans="2:12" ht="15.75" x14ac:dyDescent="0.25">
      <c r="B49" s="132" t="s">
        <v>60</v>
      </c>
      <c r="C49" s="133">
        <v>15979</v>
      </c>
      <c r="D49" s="133">
        <v>5851</v>
      </c>
      <c r="E49" s="133">
        <v>12209</v>
      </c>
      <c r="F49" s="133">
        <v>18402</v>
      </c>
      <c r="G49" s="133">
        <v>18282</v>
      </c>
      <c r="H49" s="133">
        <v>18130</v>
      </c>
      <c r="I49" s="134">
        <f t="shared" si="1"/>
        <v>-8.3141888196039959E-3</v>
      </c>
      <c r="J49" s="133">
        <f t="shared" si="0"/>
        <v>-152</v>
      </c>
      <c r="K49" s="134">
        <f t="shared" si="2"/>
        <v>4.5590468663675533E-2</v>
      </c>
      <c r="L49" s="134">
        <f>IFERROR(H49/H48,"-")</f>
        <v>0.80477627840909094</v>
      </c>
    </row>
    <row r="50" spans="2:12" x14ac:dyDescent="0.25">
      <c r="B50" s="97" t="s">
        <v>140</v>
      </c>
      <c r="C50" s="52">
        <v>13232</v>
      </c>
      <c r="D50" s="52">
        <v>0</v>
      </c>
      <c r="E50" s="52">
        <v>9227</v>
      </c>
      <c r="F50" s="52">
        <v>14935</v>
      </c>
      <c r="G50" s="52">
        <v>14354</v>
      </c>
      <c r="H50" s="52">
        <v>14208</v>
      </c>
      <c r="I50" s="98">
        <f t="shared" si="1"/>
        <v>-1.0171380799777086E-2</v>
      </c>
      <c r="J50" s="52">
        <f t="shared" si="0"/>
        <v>-146</v>
      </c>
      <c r="K50" s="98">
        <f t="shared" si="2"/>
        <v>3.7001067791109336E-2</v>
      </c>
      <c r="L50" s="98">
        <f>IFERROR(H50/H48,"-")</f>
        <v>0.63068181818181823</v>
      </c>
    </row>
    <row r="51" spans="2:12" x14ac:dyDescent="0.25">
      <c r="B51" s="97" t="s">
        <v>142</v>
      </c>
      <c r="C51" s="52">
        <v>2747</v>
      </c>
      <c r="D51" s="52">
        <v>0</v>
      </c>
      <c r="E51" s="52">
        <v>2982</v>
      </c>
      <c r="F51" s="52">
        <v>3467</v>
      </c>
      <c r="G51" s="52">
        <v>3928</v>
      </c>
      <c r="H51" s="52">
        <v>3922</v>
      </c>
      <c r="I51" s="98">
        <f t="shared" si="1"/>
        <v>-1.5274949083503575E-3</v>
      </c>
      <c r="J51" s="52">
        <f t="shared" si="0"/>
        <v>-6</v>
      </c>
      <c r="K51" s="98">
        <f t="shared" si="2"/>
        <v>8.5894008725661917E-3</v>
      </c>
      <c r="L51" s="98">
        <f>IFERROR(H51/H48,"-")</f>
        <v>0.17409446022727273</v>
      </c>
    </row>
    <row r="52" spans="2:12" ht="16.5" thickBot="1" x14ac:dyDescent="0.3">
      <c r="B52" s="135" t="s">
        <v>63</v>
      </c>
      <c r="C52" s="136">
        <v>5052</v>
      </c>
      <c r="D52" s="136">
        <v>372</v>
      </c>
      <c r="E52" s="136">
        <v>3389</v>
      </c>
      <c r="F52" s="136">
        <v>4088</v>
      </c>
      <c r="G52" s="136">
        <v>4368</v>
      </c>
      <c r="H52" s="136">
        <v>4398</v>
      </c>
      <c r="I52" s="137">
        <f t="shared" si="1"/>
        <v>6.8681318681318437E-3</v>
      </c>
      <c r="J52" s="136">
        <f t="shared" si="0"/>
        <v>30</v>
      </c>
      <c r="K52" s="137">
        <f t="shared" si="2"/>
        <v>1.0127911960499161E-2</v>
      </c>
      <c r="L52" s="137">
        <f>IFERROR(H52/H48,"-")</f>
        <v>0.19522372159090909</v>
      </c>
    </row>
    <row r="53" spans="2:12" ht="15.75" x14ac:dyDescent="0.25">
      <c r="B53" s="128" t="s">
        <v>53</v>
      </c>
      <c r="C53" s="129">
        <v>9108</v>
      </c>
      <c r="D53" s="129">
        <v>2162</v>
      </c>
      <c r="E53" s="129">
        <v>7357</v>
      </c>
      <c r="F53" s="129">
        <v>9834</v>
      </c>
      <c r="G53" s="129">
        <v>10776</v>
      </c>
      <c r="H53" s="129">
        <v>9985</v>
      </c>
      <c r="I53" s="130">
        <f t="shared" si="1"/>
        <v>-7.3403860430586443E-2</v>
      </c>
      <c r="J53" s="129">
        <f t="shared" si="0"/>
        <v>-791</v>
      </c>
      <c r="K53" s="130">
        <f t="shared" si="2"/>
        <v>2.4363475102629342E-2</v>
      </c>
      <c r="L53" s="131">
        <f>IFERROR(H53/H53,"-")</f>
        <v>1</v>
      </c>
    </row>
    <row r="54" spans="2:12" ht="15.75" x14ac:dyDescent="0.25">
      <c r="B54" s="132" t="s">
        <v>60</v>
      </c>
      <c r="C54" s="133">
        <v>8645</v>
      </c>
      <c r="D54" s="133">
        <v>2147</v>
      </c>
      <c r="E54" s="133">
        <v>7184</v>
      </c>
      <c r="F54" s="133">
        <v>9195</v>
      </c>
      <c r="G54" s="133">
        <v>9950</v>
      </c>
      <c r="H54" s="133">
        <v>9143</v>
      </c>
      <c r="I54" s="134">
        <f t="shared" si="1"/>
        <v>-8.11055276381909E-2</v>
      </c>
      <c r="J54" s="133">
        <f t="shared" si="0"/>
        <v>-807</v>
      </c>
      <c r="K54" s="134">
        <f t="shared" si="2"/>
        <v>2.2780369490408462E-2</v>
      </c>
      <c r="L54" s="134">
        <f>IFERROR(H54/H53,"-")</f>
        <v>0.91567351026539812</v>
      </c>
    </row>
    <row r="55" spans="2:12" x14ac:dyDescent="0.25">
      <c r="B55" s="97" t="s">
        <v>140</v>
      </c>
      <c r="C55" s="52">
        <v>6125</v>
      </c>
      <c r="D55" s="52">
        <v>1532</v>
      </c>
      <c r="E55" s="52">
        <v>5210</v>
      </c>
      <c r="F55" s="52">
        <v>6493</v>
      </c>
      <c r="G55" s="52">
        <v>7035</v>
      </c>
      <c r="H55" s="52">
        <v>5741</v>
      </c>
      <c r="I55" s="98">
        <f t="shared" si="1"/>
        <v>-0.18393745557924668</v>
      </c>
      <c r="J55" s="52">
        <f t="shared" si="0"/>
        <v>-1294</v>
      </c>
      <c r="K55" s="98">
        <f t="shared" si="2"/>
        <v>1.6086235900078537E-2</v>
      </c>
      <c r="L55" s="98">
        <f>IFERROR(H55/H53,"-")</f>
        <v>0.5749624436654982</v>
      </c>
    </row>
    <row r="56" spans="2:12" x14ac:dyDescent="0.25">
      <c r="B56" s="97" t="s">
        <v>142</v>
      </c>
      <c r="C56" s="52">
        <v>2520</v>
      </c>
      <c r="D56" s="52">
        <v>615</v>
      </c>
      <c r="E56" s="52">
        <v>1974</v>
      </c>
      <c r="F56" s="52">
        <v>2702</v>
      </c>
      <c r="G56" s="52">
        <v>2915</v>
      </c>
      <c r="H56" s="52">
        <v>3402</v>
      </c>
      <c r="I56" s="98">
        <f t="shared" si="1"/>
        <v>0.16706689536878216</v>
      </c>
      <c r="J56" s="52">
        <f t="shared" si="0"/>
        <v>487</v>
      </c>
      <c r="K56" s="98">
        <f t="shared" si="2"/>
        <v>6.6941335903299252E-3</v>
      </c>
      <c r="L56" s="98">
        <f>IFERROR(H56/H53,"-")</f>
        <v>0.34071106659989986</v>
      </c>
    </row>
    <row r="57" spans="2:12" ht="15.75" x14ac:dyDescent="0.25">
      <c r="B57" s="135" t="s">
        <v>63</v>
      </c>
      <c r="C57" s="136">
        <v>777</v>
      </c>
      <c r="D57" s="136">
        <v>62</v>
      </c>
      <c r="E57" s="136">
        <v>2523</v>
      </c>
      <c r="F57" s="136">
        <v>1124</v>
      </c>
      <c r="G57" s="136">
        <v>4581</v>
      </c>
      <c r="H57" s="136">
        <v>4275</v>
      </c>
      <c r="I57" s="137">
        <f t="shared" si="1"/>
        <v>-6.6797642436149274E-2</v>
      </c>
      <c r="J57" s="136">
        <f t="shared" si="0"/>
        <v>-306</v>
      </c>
      <c r="K57" s="137">
        <f t="shared" si="2"/>
        <v>2.7846802944229594E-3</v>
      </c>
      <c r="L57" s="137">
        <f>IFERROR(H57/H53,"-")</f>
        <v>0.42814221331997998</v>
      </c>
    </row>
    <row r="58" spans="2:12" x14ac:dyDescent="0.25">
      <c r="B58" s="101"/>
    </row>
    <row r="59" spans="2:12" x14ac:dyDescent="0.25">
      <c r="B59" s="105" t="s">
        <v>55</v>
      </c>
    </row>
  </sheetData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B9CF00-BB0C-4A2B-BBC1-60B4E7AE03F3}">
  <sheetPr codeName="Hoja13">
    <tabColor theme="7" tint="0.79998168889431442"/>
    <pageSetUpPr fitToPage="1"/>
  </sheetPr>
  <dimension ref="A1:W162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4" max="23" width="11.42578125" hidden="1" customWidth="1"/>
  </cols>
  <sheetData>
    <row r="1" spans="1:23" ht="42.75" customHeight="1" x14ac:dyDescent="0.25"/>
    <row r="3" spans="1:23" ht="42" customHeight="1" thickBot="1" x14ac:dyDescent="0.3">
      <c r="B3" s="265" t="str">
        <f>CONCATENATE("Viajeros entrados en los establecimientos alojativos de Tenerife según lugar de residencia y municipio de alojamiento (hotel + apartamento)")</f>
        <v>Viajeros entrados en los establecimientos alojativos de Tenerife según lugar de residencia y municipio de alojamiento (hotel + apartamento)</v>
      </c>
      <c r="C3" s="265"/>
      <c r="D3" s="265"/>
      <c r="E3" s="265"/>
      <c r="F3" s="265"/>
      <c r="G3" s="265"/>
      <c r="H3" s="265"/>
      <c r="I3" s="265"/>
      <c r="J3" s="265"/>
      <c r="K3" s="265"/>
      <c r="N3" s="139" t="s">
        <v>259</v>
      </c>
      <c r="O3" s="140"/>
      <c r="P3" s="140"/>
      <c r="Q3" s="140"/>
      <c r="R3" s="140"/>
      <c r="S3" s="140"/>
      <c r="T3" s="140"/>
      <c r="U3" s="140"/>
      <c r="V3" s="140"/>
      <c r="W3" s="140"/>
    </row>
    <row r="4" spans="1:23" ht="6" customHeight="1" x14ac:dyDescent="0.25"/>
    <row r="5" spans="1:23" ht="15.75" x14ac:dyDescent="0.25">
      <c r="B5" s="141"/>
      <c r="C5" s="296" t="s">
        <v>43</v>
      </c>
      <c r="D5" s="297"/>
      <c r="E5" s="297"/>
      <c r="F5" s="297"/>
      <c r="G5" s="297"/>
      <c r="H5" s="297"/>
      <c r="I5" s="297"/>
      <c r="J5" s="297"/>
      <c r="K5" s="297"/>
      <c r="N5" s="141"/>
      <c r="O5" s="296" t="s">
        <v>43</v>
      </c>
      <c r="P5" s="297"/>
      <c r="Q5" s="297"/>
      <c r="R5" s="297"/>
      <c r="S5" s="297"/>
      <c r="T5" s="297"/>
      <c r="U5" s="297"/>
      <c r="V5" s="297"/>
      <c r="W5" s="297"/>
    </row>
    <row r="6" spans="1:23" s="142" customFormat="1" ht="72" customHeight="1" x14ac:dyDescent="0.25">
      <c r="B6" s="143"/>
      <c r="C6" s="144">
        <v>2019</v>
      </c>
      <c r="D6" s="145">
        <v>2020</v>
      </c>
      <c r="E6" s="145">
        <v>2021</v>
      </c>
      <c r="F6" s="145">
        <v>2022</v>
      </c>
      <c r="G6" s="145">
        <v>2023</v>
      </c>
      <c r="H6" s="145">
        <v>2024</v>
      </c>
      <c r="I6" s="146" t="str">
        <f>CONCATENATE("var. ",RIGHT(H6,2),"/",RIGHT(G6,2))</f>
        <v>var. 24/23</v>
      </c>
      <c r="J6" s="147" t="str">
        <f>CONCATENATE("dif. ",RIGHT(H6,2),"/",RIGHT(G6,2))</f>
        <v>dif. 24/23</v>
      </c>
      <c r="K6" s="146" t="str">
        <f>CONCATENATE("Cuota s/ total lugares de residencia ",RIGHT(H6,4))</f>
        <v>Cuota s/ total lugares de residencia 2024</v>
      </c>
      <c r="N6" s="143"/>
      <c r="O6" s="144">
        <v>2019</v>
      </c>
      <c r="P6" s="145">
        <v>2020</v>
      </c>
      <c r="Q6" s="145">
        <v>2021</v>
      </c>
      <c r="R6" s="145">
        <v>2022</v>
      </c>
      <c r="S6" s="145">
        <v>2023</v>
      </c>
      <c r="T6" s="145">
        <v>2024</v>
      </c>
      <c r="U6" s="146" t="str">
        <f>CONCATENATE("var. ",RIGHT(T6,2),"/",RIGHT(S6,2))</f>
        <v>var. 24/23</v>
      </c>
      <c r="V6" s="147" t="str">
        <f>CONCATENATE("dif. ",RIGHT(T6,2),"/",RIGHT(S6,2))</f>
        <v>dif. 24/23</v>
      </c>
      <c r="W6" s="146" t="str">
        <f>CONCATENATE("Cuota s/ total lugares de residencia ",RIGHT(T6,4))</f>
        <v>Cuota s/ total lugares de residencia 2024</v>
      </c>
    </row>
    <row r="7" spans="1:23" x14ac:dyDescent="0.25">
      <c r="A7" s="1"/>
      <c r="B7" s="148" t="s">
        <v>43</v>
      </c>
      <c r="C7" s="149"/>
      <c r="D7" s="149"/>
      <c r="E7" s="149"/>
      <c r="F7" s="149"/>
      <c r="G7" s="149"/>
      <c r="H7" s="150"/>
      <c r="I7" s="150"/>
      <c r="J7" s="150"/>
      <c r="K7" s="149"/>
      <c r="L7" s="79"/>
      <c r="N7" s="151" t="s">
        <v>48</v>
      </c>
      <c r="O7" s="149"/>
      <c r="P7" s="149"/>
      <c r="Q7" s="149"/>
      <c r="R7" s="149"/>
      <c r="S7" s="149"/>
      <c r="T7" s="150"/>
      <c r="U7" s="150"/>
      <c r="V7" s="150"/>
      <c r="W7" s="149"/>
    </row>
    <row r="8" spans="1:23" x14ac:dyDescent="0.25">
      <c r="A8" s="1"/>
      <c r="B8" s="152" t="s">
        <v>68</v>
      </c>
      <c r="C8" s="153">
        <v>4831573</v>
      </c>
      <c r="D8" s="153">
        <v>1565303</v>
      </c>
      <c r="E8" s="153">
        <v>2335438</v>
      </c>
      <c r="F8" s="153">
        <v>4757683</v>
      </c>
      <c r="G8" s="153">
        <v>5188807</v>
      </c>
      <c r="H8" s="153">
        <v>5480280</v>
      </c>
      <c r="I8" s="154">
        <f>IFERROR(H8/G8-1,"-")</f>
        <v>5.6173413272068151E-2</v>
      </c>
      <c r="J8" s="153">
        <f t="shared" ref="J8:J20" si="0">H8-G8</f>
        <v>291473</v>
      </c>
      <c r="K8" s="154">
        <f t="shared" ref="K8:K20" si="1">H8/H$8</f>
        <v>1</v>
      </c>
      <c r="L8" s="79"/>
      <c r="N8" s="152" t="s">
        <v>68</v>
      </c>
      <c r="O8" s="153">
        <v>791721</v>
      </c>
      <c r="P8" s="153">
        <v>225835</v>
      </c>
      <c r="Q8" s="153">
        <v>354204</v>
      </c>
      <c r="R8" s="153">
        <v>710225</v>
      </c>
      <c r="S8" s="153">
        <v>797848</v>
      </c>
      <c r="T8" s="153">
        <v>914356</v>
      </c>
      <c r="U8" s="154">
        <f>IFERROR(T8/S8-1,"-")</f>
        <v>0.14602781482187077</v>
      </c>
      <c r="V8" s="153">
        <f>T8-S8</f>
        <v>116508</v>
      </c>
      <c r="W8" s="154">
        <f>T8/T$8</f>
        <v>1</v>
      </c>
    </row>
    <row r="9" spans="1:23" x14ac:dyDescent="0.25">
      <c r="A9" s="1" t="s">
        <v>96</v>
      </c>
      <c r="B9" s="155" t="s">
        <v>97</v>
      </c>
      <c r="C9" s="156">
        <v>1047557</v>
      </c>
      <c r="D9" s="156">
        <v>456683</v>
      </c>
      <c r="E9" s="156">
        <v>800301</v>
      </c>
      <c r="F9" s="156">
        <v>1016781</v>
      </c>
      <c r="G9" s="156">
        <v>1041269</v>
      </c>
      <c r="H9" s="156">
        <v>1058434</v>
      </c>
      <c r="I9" s="157">
        <f>IFERROR(H9/G9-1,"-")</f>
        <v>1.6484693196474609E-2</v>
      </c>
      <c r="J9" s="156">
        <f t="shared" si="0"/>
        <v>17165</v>
      </c>
      <c r="K9" s="157">
        <f t="shared" si="1"/>
        <v>0.19313502229813076</v>
      </c>
      <c r="L9" s="79"/>
      <c r="N9" s="155" t="s">
        <v>97</v>
      </c>
      <c r="O9" s="156">
        <v>356283</v>
      </c>
      <c r="P9" s="156">
        <v>103133</v>
      </c>
      <c r="Q9" s="156">
        <v>181693</v>
      </c>
      <c r="R9" s="156">
        <v>342343</v>
      </c>
      <c r="S9" s="156">
        <v>341923</v>
      </c>
      <c r="T9" s="156">
        <v>382237</v>
      </c>
      <c r="U9" s="157">
        <f>IFERROR(T9/S9-1,"-")</f>
        <v>0.1179037385610211</v>
      </c>
      <c r="V9" s="156">
        <f t="shared" ref="V9:V19" si="2">T9-S9</f>
        <v>40314</v>
      </c>
      <c r="W9" s="157">
        <f>T9/T$8</f>
        <v>0.41803958195713703</v>
      </c>
    </row>
    <row r="10" spans="1:23" x14ac:dyDescent="0.25">
      <c r="A10" s="158" t="s">
        <v>103</v>
      </c>
      <c r="B10" s="159" t="s">
        <v>103</v>
      </c>
      <c r="C10" s="160">
        <v>415150</v>
      </c>
      <c r="D10" s="160">
        <v>208389</v>
      </c>
      <c r="E10" s="160">
        <v>416048</v>
      </c>
      <c r="F10" s="160">
        <v>423208</v>
      </c>
      <c r="G10" s="160">
        <v>428791</v>
      </c>
      <c r="H10" s="160">
        <v>421973</v>
      </c>
      <c r="I10" s="161">
        <f>IFERROR(H10/G10-1,"-")</f>
        <v>-1.5900520300099585E-2</v>
      </c>
      <c r="J10" s="160">
        <f t="shared" si="0"/>
        <v>-6818</v>
      </c>
      <c r="K10" s="161">
        <f t="shared" si="1"/>
        <v>7.6998438036012765E-2</v>
      </c>
      <c r="L10" s="79"/>
      <c r="N10" s="159" t="s">
        <v>103</v>
      </c>
      <c r="O10" s="160">
        <v>72064</v>
      </c>
      <c r="P10" s="160">
        <v>28320</v>
      </c>
      <c r="Q10" s="160">
        <v>66989</v>
      </c>
      <c r="R10" s="160">
        <v>97391</v>
      </c>
      <c r="S10" s="160">
        <v>92103</v>
      </c>
      <c r="T10" s="160">
        <v>106284</v>
      </c>
      <c r="U10" s="161">
        <f>IFERROR(T10/S10-1,"-")</f>
        <v>0.15396892609361257</v>
      </c>
      <c r="V10" s="160">
        <f t="shared" si="2"/>
        <v>14181</v>
      </c>
      <c r="W10" s="161">
        <f>T10/T$8</f>
        <v>0.11623918911233699</v>
      </c>
    </row>
    <row r="11" spans="1:23" x14ac:dyDescent="0.25">
      <c r="A11" s="158" t="s">
        <v>100</v>
      </c>
      <c r="B11" s="159" t="s">
        <v>100</v>
      </c>
      <c r="C11" s="160">
        <v>632407</v>
      </c>
      <c r="D11" s="160">
        <v>248294</v>
      </c>
      <c r="E11" s="160">
        <v>384253</v>
      </c>
      <c r="F11" s="160">
        <v>593573</v>
      </c>
      <c r="G11" s="160">
        <v>612478</v>
      </c>
      <c r="H11" s="160">
        <v>636461</v>
      </c>
      <c r="I11" s="161">
        <f>IFERROR(H11/G11-1,"-")</f>
        <v>3.915732483452472E-2</v>
      </c>
      <c r="J11" s="160">
        <f t="shared" si="0"/>
        <v>23983</v>
      </c>
      <c r="K11" s="161">
        <f t="shared" si="1"/>
        <v>0.116136584262118</v>
      </c>
      <c r="L11" s="79"/>
      <c r="N11" s="159" t="s">
        <v>100</v>
      </c>
      <c r="O11" s="160">
        <v>284219</v>
      </c>
      <c r="P11" s="160">
        <v>74813</v>
      </c>
      <c r="Q11" s="160">
        <v>114704</v>
      </c>
      <c r="R11" s="160">
        <v>244952</v>
      </c>
      <c r="S11" s="160">
        <v>249820</v>
      </c>
      <c r="T11" s="160">
        <v>275953</v>
      </c>
      <c r="U11" s="161">
        <f>IFERROR(T11/S11-1,"-")</f>
        <v>0.1046073172684332</v>
      </c>
      <c r="V11" s="160">
        <f t="shared" si="2"/>
        <v>26133</v>
      </c>
      <c r="W11" s="161">
        <f>T11/T$8</f>
        <v>0.30180039284480004</v>
      </c>
    </row>
    <row r="12" spans="1:23" x14ac:dyDescent="0.25">
      <c r="A12" s="1"/>
      <c r="B12" s="155" t="s">
        <v>107</v>
      </c>
      <c r="C12" s="156">
        <v>3784016</v>
      </c>
      <c r="D12" s="156">
        <v>1108620</v>
      </c>
      <c r="E12" s="156">
        <v>1535137</v>
      </c>
      <c r="F12" s="156">
        <v>3740902</v>
      </c>
      <c r="G12" s="156">
        <v>4147538</v>
      </c>
      <c r="H12" s="156">
        <v>4421846</v>
      </c>
      <c r="I12" s="157">
        <f>IFERROR(H12/G12-1,"-")</f>
        <v>6.6137549553494157E-2</v>
      </c>
      <c r="J12" s="156">
        <f t="shared" si="0"/>
        <v>274308</v>
      </c>
      <c r="K12" s="157">
        <f t="shared" si="1"/>
        <v>0.80686497770186927</v>
      </c>
      <c r="L12" s="79"/>
      <c r="N12" s="155" t="s">
        <v>107</v>
      </c>
      <c r="O12" s="156">
        <v>435438</v>
      </c>
      <c r="P12" s="156">
        <v>122702</v>
      </c>
      <c r="Q12" s="156">
        <v>172511</v>
      </c>
      <c r="R12" s="156">
        <v>367882</v>
      </c>
      <c r="S12" s="156">
        <v>455925</v>
      </c>
      <c r="T12" s="156">
        <v>532119</v>
      </c>
      <c r="U12" s="157">
        <f>IFERROR(T12/S12-1,"-")</f>
        <v>0.16711959203816407</v>
      </c>
      <c r="V12" s="156">
        <f t="shared" si="2"/>
        <v>76194</v>
      </c>
      <c r="W12" s="157">
        <f>T12/T$8</f>
        <v>0.58196041804286291</v>
      </c>
    </row>
    <row r="13" spans="1:23" s="56" customFormat="1" x14ac:dyDescent="0.25">
      <c r="B13" s="159" t="s">
        <v>110</v>
      </c>
      <c r="C13" s="160">
        <v>1721079</v>
      </c>
      <c r="D13" s="160">
        <v>436137</v>
      </c>
      <c r="E13" s="160">
        <v>446045</v>
      </c>
      <c r="F13" s="160">
        <v>1722453</v>
      </c>
      <c r="G13" s="160">
        <v>1939344</v>
      </c>
      <c r="H13" s="160">
        <v>2075266</v>
      </c>
      <c r="I13" s="161">
        <f t="shared" ref="I13:I20" si="3">IFERROR(H13/G13-1,"-")</f>
        <v>7.0086585979588945E-2</v>
      </c>
      <c r="J13" s="160">
        <f t="shared" si="0"/>
        <v>135922</v>
      </c>
      <c r="K13" s="161">
        <f t="shared" si="1"/>
        <v>0.37867882662929631</v>
      </c>
      <c r="L13" s="162"/>
      <c r="N13" s="159" t="s">
        <v>110</v>
      </c>
      <c r="O13" s="160">
        <v>75049</v>
      </c>
      <c r="P13" s="160">
        <v>21332</v>
      </c>
      <c r="Q13" s="160">
        <v>16695</v>
      </c>
      <c r="R13" s="160">
        <v>71554</v>
      </c>
      <c r="S13" s="160">
        <v>93860</v>
      </c>
      <c r="T13" s="160">
        <v>110313</v>
      </c>
      <c r="U13" s="161">
        <f t="shared" ref="U13:U20" si="4">IFERROR(T13/S13-1,"-")</f>
        <v>0.17529298955891748</v>
      </c>
      <c r="V13" s="160">
        <f t="shared" si="2"/>
        <v>16453</v>
      </c>
      <c r="W13" s="161">
        <f t="shared" ref="W13:W20" si="5">T13/T$8</f>
        <v>0.12064556912187376</v>
      </c>
    </row>
    <row r="14" spans="1:23" s="56" customFormat="1" x14ac:dyDescent="0.25">
      <c r="B14" s="159" t="s">
        <v>113</v>
      </c>
      <c r="C14" s="160">
        <v>491040</v>
      </c>
      <c r="D14" s="160">
        <v>138922</v>
      </c>
      <c r="E14" s="160">
        <v>222501</v>
      </c>
      <c r="F14" s="160">
        <v>385709</v>
      </c>
      <c r="G14" s="160">
        <v>431586</v>
      </c>
      <c r="H14" s="160">
        <v>447017</v>
      </c>
      <c r="I14" s="161">
        <f t="shared" si="3"/>
        <v>3.5754171822070191E-2</v>
      </c>
      <c r="J14" s="160">
        <f t="shared" si="0"/>
        <v>15431</v>
      </c>
      <c r="K14" s="161">
        <f t="shared" si="1"/>
        <v>8.1568277533264719E-2</v>
      </c>
      <c r="L14" s="162"/>
      <c r="N14" s="159" t="s">
        <v>113</v>
      </c>
      <c r="O14" s="160">
        <v>159354</v>
      </c>
      <c r="P14" s="160">
        <v>39522</v>
      </c>
      <c r="Q14" s="160">
        <v>53227</v>
      </c>
      <c r="R14" s="160">
        <v>113120</v>
      </c>
      <c r="S14" s="160">
        <v>127349</v>
      </c>
      <c r="T14" s="160">
        <v>141364</v>
      </c>
      <c r="U14" s="161">
        <f t="shared" si="4"/>
        <v>0.11005190460859526</v>
      </c>
      <c r="V14" s="160">
        <f t="shared" si="2"/>
        <v>14015</v>
      </c>
      <c r="W14" s="161">
        <f t="shared" si="5"/>
        <v>0.15460498974141362</v>
      </c>
    </row>
    <row r="15" spans="1:23" x14ac:dyDescent="0.25">
      <c r="A15" s="1"/>
      <c r="B15" s="159" t="s">
        <v>116</v>
      </c>
      <c r="C15" s="160">
        <v>166950</v>
      </c>
      <c r="D15" s="160">
        <v>58766</v>
      </c>
      <c r="E15" s="160">
        <v>128102</v>
      </c>
      <c r="F15" s="160">
        <v>197280</v>
      </c>
      <c r="G15" s="160">
        <v>216824</v>
      </c>
      <c r="H15" s="160">
        <v>230379</v>
      </c>
      <c r="I15" s="161">
        <f t="shared" si="3"/>
        <v>6.2516142124487972E-2</v>
      </c>
      <c r="J15" s="160">
        <f t="shared" si="0"/>
        <v>13555</v>
      </c>
      <c r="K15" s="161">
        <f t="shared" si="1"/>
        <v>4.2037815586064946E-2</v>
      </c>
      <c r="L15" s="79"/>
      <c r="N15" s="159" t="s">
        <v>116</v>
      </c>
      <c r="O15" s="160">
        <v>25447</v>
      </c>
      <c r="P15" s="160">
        <v>8286</v>
      </c>
      <c r="Q15" s="160">
        <v>19927</v>
      </c>
      <c r="R15" s="160">
        <v>30758</v>
      </c>
      <c r="S15" s="160">
        <v>42539</v>
      </c>
      <c r="T15" s="160">
        <v>57925</v>
      </c>
      <c r="U15" s="161">
        <f t="shared" si="4"/>
        <v>0.36169162415665634</v>
      </c>
      <c r="V15" s="160">
        <f t="shared" si="2"/>
        <v>15386</v>
      </c>
      <c r="W15" s="161">
        <f t="shared" si="5"/>
        <v>6.3350598672727035E-2</v>
      </c>
    </row>
    <row r="16" spans="1:23" x14ac:dyDescent="0.25">
      <c r="A16" s="1"/>
      <c r="B16" s="159" t="s">
        <v>123</v>
      </c>
      <c r="C16" s="160">
        <v>137818</v>
      </c>
      <c r="D16" s="160">
        <v>39662</v>
      </c>
      <c r="E16" s="160">
        <v>93209</v>
      </c>
      <c r="F16" s="160">
        <v>169583</v>
      </c>
      <c r="G16" s="160">
        <v>165044</v>
      </c>
      <c r="H16" s="160">
        <v>174675</v>
      </c>
      <c r="I16" s="161">
        <f t="shared" si="3"/>
        <v>5.8354135866799162E-2</v>
      </c>
      <c r="J16" s="160">
        <f t="shared" si="0"/>
        <v>9631</v>
      </c>
      <c r="K16" s="161">
        <f t="shared" si="1"/>
        <v>3.1873371433576388E-2</v>
      </c>
      <c r="L16" s="79"/>
      <c r="N16" s="159" t="s">
        <v>123</v>
      </c>
      <c r="O16" s="160">
        <v>9296</v>
      </c>
      <c r="P16" s="160">
        <v>2074</v>
      </c>
      <c r="Q16" s="160">
        <v>5996</v>
      </c>
      <c r="R16" s="160">
        <v>10713</v>
      </c>
      <c r="S16" s="160">
        <v>12911</v>
      </c>
      <c r="T16" s="160">
        <v>18498</v>
      </c>
      <c r="U16" s="161">
        <f t="shared" si="4"/>
        <v>0.43273177910309046</v>
      </c>
      <c r="V16" s="160">
        <f t="shared" si="2"/>
        <v>5587</v>
      </c>
      <c r="W16" s="161">
        <f t="shared" si="5"/>
        <v>2.0230632270144232E-2</v>
      </c>
    </row>
    <row r="17" spans="1:23" x14ac:dyDescent="0.25">
      <c r="A17" s="1"/>
      <c r="B17" s="159" t="s">
        <v>119</v>
      </c>
      <c r="C17" s="160">
        <v>133862</v>
      </c>
      <c r="D17" s="160">
        <v>55544</v>
      </c>
      <c r="E17" s="160">
        <v>93337</v>
      </c>
      <c r="F17" s="160">
        <v>146133</v>
      </c>
      <c r="G17" s="160">
        <v>151265</v>
      </c>
      <c r="H17" s="160">
        <v>157483</v>
      </c>
      <c r="I17" s="161">
        <f t="shared" si="3"/>
        <v>4.1106667107394301E-2</v>
      </c>
      <c r="J17" s="160">
        <f t="shared" si="0"/>
        <v>6218</v>
      </c>
      <c r="K17" s="161">
        <f t="shared" si="1"/>
        <v>2.8736305444247375E-2</v>
      </c>
      <c r="L17" s="79"/>
      <c r="N17" s="159" t="s">
        <v>119</v>
      </c>
      <c r="O17" s="160">
        <v>6249</v>
      </c>
      <c r="P17" s="160">
        <v>2082</v>
      </c>
      <c r="Q17" s="160">
        <v>5201</v>
      </c>
      <c r="R17" s="160">
        <v>5872</v>
      </c>
      <c r="S17" s="160">
        <v>6968</v>
      </c>
      <c r="T17" s="160">
        <v>8896</v>
      </c>
      <c r="U17" s="161">
        <f t="shared" si="4"/>
        <v>0.27669345579793347</v>
      </c>
      <c r="V17" s="160">
        <f t="shared" si="2"/>
        <v>1928</v>
      </c>
      <c r="W17" s="161">
        <f t="shared" si="5"/>
        <v>9.7292520637475999E-3</v>
      </c>
    </row>
    <row r="18" spans="1:23" x14ac:dyDescent="0.25">
      <c r="A18" s="1"/>
      <c r="B18" s="159" t="s">
        <v>128</v>
      </c>
      <c r="C18" s="160">
        <v>74390</v>
      </c>
      <c r="D18" s="160">
        <v>28784</v>
      </c>
      <c r="E18" s="160">
        <v>25400</v>
      </c>
      <c r="F18" s="160">
        <v>62340</v>
      </c>
      <c r="G18" s="160">
        <v>67966</v>
      </c>
      <c r="H18" s="160">
        <v>63716</v>
      </c>
      <c r="I18" s="161">
        <f t="shared" si="3"/>
        <v>-6.2531265632816413E-2</v>
      </c>
      <c r="J18" s="160">
        <f t="shared" si="0"/>
        <v>-4250</v>
      </c>
      <c r="K18" s="161">
        <f t="shared" si="1"/>
        <v>1.1626413248958082E-2</v>
      </c>
      <c r="L18" s="79"/>
      <c r="N18" s="159" t="s">
        <v>128</v>
      </c>
      <c r="O18" s="160">
        <v>8520</v>
      </c>
      <c r="P18" s="160">
        <v>3046</v>
      </c>
      <c r="Q18" s="160">
        <v>2575</v>
      </c>
      <c r="R18" s="160">
        <v>7581</v>
      </c>
      <c r="S18" s="160">
        <v>8524</v>
      </c>
      <c r="T18" s="160">
        <v>7383</v>
      </c>
      <c r="U18" s="161">
        <f t="shared" si="4"/>
        <v>-0.13385734396996718</v>
      </c>
      <c r="V18" s="160">
        <f t="shared" si="2"/>
        <v>-1141</v>
      </c>
      <c r="W18" s="161">
        <f t="shared" si="5"/>
        <v>8.0745355200818932E-3</v>
      </c>
    </row>
    <row r="19" spans="1:23" x14ac:dyDescent="0.25">
      <c r="A19" s="158" t="s">
        <v>144</v>
      </c>
      <c r="B19" s="159" t="s">
        <v>131</v>
      </c>
      <c r="C19" s="160">
        <v>106028</v>
      </c>
      <c r="D19" s="160">
        <v>42711</v>
      </c>
      <c r="E19" s="160">
        <v>22147</v>
      </c>
      <c r="F19" s="160">
        <v>56752</v>
      </c>
      <c r="G19" s="160">
        <v>70972</v>
      </c>
      <c r="H19" s="160">
        <v>68752</v>
      </c>
      <c r="I19" s="161">
        <f t="shared" si="3"/>
        <v>-3.1279941385335075E-2</v>
      </c>
      <c r="J19" s="160">
        <f t="shared" si="0"/>
        <v>-2220</v>
      </c>
      <c r="K19" s="161">
        <f t="shared" si="1"/>
        <v>1.2545344398461392E-2</v>
      </c>
      <c r="L19" s="79"/>
      <c r="N19" s="159" t="s">
        <v>131</v>
      </c>
      <c r="O19" s="160">
        <v>13181</v>
      </c>
      <c r="P19" s="160">
        <v>4839</v>
      </c>
      <c r="Q19" s="160">
        <v>2819</v>
      </c>
      <c r="R19" s="160">
        <v>7599</v>
      </c>
      <c r="S19" s="160">
        <v>9961</v>
      </c>
      <c r="T19" s="160">
        <v>9541</v>
      </c>
      <c r="U19" s="161">
        <f t="shared" si="4"/>
        <v>-4.216444132115249E-2</v>
      </c>
      <c r="V19" s="160">
        <f t="shared" si="2"/>
        <v>-420</v>
      </c>
      <c r="W19" s="161">
        <f t="shared" si="5"/>
        <v>1.0434666585006278E-2</v>
      </c>
    </row>
    <row r="20" spans="1:23" x14ac:dyDescent="0.25">
      <c r="A20" s="163" t="s">
        <v>145</v>
      </c>
      <c r="B20" s="164" t="s">
        <v>145</v>
      </c>
      <c r="C20" s="165">
        <f t="shared" ref="C20:H20" si="6">C12-SUM(C13:C19)</f>
        <v>952849</v>
      </c>
      <c r="D20" s="165">
        <f t="shared" si="6"/>
        <v>308094</v>
      </c>
      <c r="E20" s="165">
        <f t="shared" si="6"/>
        <v>504396</v>
      </c>
      <c r="F20" s="165">
        <f t="shared" si="6"/>
        <v>1000652</v>
      </c>
      <c r="G20" s="165">
        <f t="shared" si="6"/>
        <v>1104537</v>
      </c>
      <c r="H20" s="165">
        <f t="shared" si="6"/>
        <v>1204558</v>
      </c>
      <c r="I20" s="166">
        <f t="shared" si="3"/>
        <v>9.0554684904172511E-2</v>
      </c>
      <c r="J20" s="165">
        <f t="shared" si="0"/>
        <v>100021</v>
      </c>
      <c r="K20" s="166">
        <f t="shared" si="1"/>
        <v>0.21979862342800002</v>
      </c>
      <c r="L20" s="79"/>
      <c r="N20" s="164" t="s">
        <v>145</v>
      </c>
      <c r="O20" s="165">
        <f t="shared" ref="O20:T20" si="7">O12-SUM(O13:O19)</f>
        <v>138342</v>
      </c>
      <c r="P20" s="165">
        <f t="shared" si="7"/>
        <v>41521</v>
      </c>
      <c r="Q20" s="165">
        <f t="shared" si="7"/>
        <v>66071</v>
      </c>
      <c r="R20" s="165">
        <f t="shared" si="7"/>
        <v>120685</v>
      </c>
      <c r="S20" s="165">
        <f t="shared" si="7"/>
        <v>153813</v>
      </c>
      <c r="T20" s="165">
        <f t="shared" si="7"/>
        <v>178199</v>
      </c>
      <c r="U20" s="166">
        <f t="shared" si="4"/>
        <v>0.15854316605228425</v>
      </c>
      <c r="V20" s="165">
        <f>T20-S20</f>
        <v>24386</v>
      </c>
      <c r="W20" s="166">
        <f t="shared" si="5"/>
        <v>0.19489017406786854</v>
      </c>
    </row>
    <row r="21" spans="1:23" x14ac:dyDescent="0.25">
      <c r="B21" s="151" t="s">
        <v>44</v>
      </c>
      <c r="C21" s="149"/>
      <c r="D21" s="149"/>
      <c r="E21" s="149"/>
      <c r="F21" s="149"/>
      <c r="G21" s="149"/>
      <c r="H21" s="150"/>
      <c r="I21" s="150"/>
      <c r="J21" s="150"/>
      <c r="K21" s="149"/>
      <c r="L21" s="167"/>
      <c r="M21" s="167"/>
      <c r="N21" s="167"/>
    </row>
    <row r="22" spans="1:23" x14ac:dyDescent="0.25">
      <c r="B22" s="152" t="s">
        <v>68</v>
      </c>
      <c r="C22" s="153">
        <v>1762715</v>
      </c>
      <c r="D22" s="153">
        <v>550867</v>
      </c>
      <c r="E22" s="153">
        <v>881045</v>
      </c>
      <c r="F22" s="153">
        <v>1757049</v>
      </c>
      <c r="G22" s="153">
        <v>1888332</v>
      </c>
      <c r="H22" s="153">
        <v>1938898</v>
      </c>
      <c r="I22" s="154">
        <f>IFERROR(H22/G22-1,"-")</f>
        <v>2.677813011694985E-2</v>
      </c>
      <c r="J22" s="153">
        <f>H22-G22</f>
        <v>50566</v>
      </c>
      <c r="K22" s="154">
        <f>H22/H$8</f>
        <v>0.35379542651105417</v>
      </c>
      <c r="L22" s="105"/>
      <c r="M22" s="105"/>
      <c r="N22" s="105"/>
    </row>
    <row r="23" spans="1:23" x14ac:dyDescent="0.25">
      <c r="B23" s="155" t="s">
        <v>97</v>
      </c>
      <c r="C23" s="156">
        <v>222987</v>
      </c>
      <c r="D23" s="156">
        <v>117997</v>
      </c>
      <c r="E23" s="156">
        <v>247584</v>
      </c>
      <c r="F23" s="156">
        <v>207208</v>
      </c>
      <c r="G23" s="156">
        <v>181512</v>
      </c>
      <c r="H23" s="156">
        <v>161819</v>
      </c>
      <c r="I23" s="157">
        <f>IFERROR(H23/G23-1,"-")</f>
        <v>-0.10849420423994005</v>
      </c>
      <c r="J23" s="156">
        <f t="shared" ref="J23:J33" si="8">H23-G23</f>
        <v>-19693</v>
      </c>
      <c r="K23" s="157">
        <f>H23/H$8</f>
        <v>2.9527505893859437E-2</v>
      </c>
    </row>
    <row r="24" spans="1:23" x14ac:dyDescent="0.25">
      <c r="B24" s="159" t="s">
        <v>103</v>
      </c>
      <c r="C24" s="160">
        <v>113067</v>
      </c>
      <c r="D24" s="160">
        <v>68476</v>
      </c>
      <c r="E24" s="160">
        <v>126666</v>
      </c>
      <c r="F24" s="160">
        <v>86811</v>
      </c>
      <c r="G24" s="160">
        <v>75374</v>
      </c>
      <c r="H24" s="160">
        <v>60650</v>
      </c>
      <c r="I24" s="161">
        <f>IFERROR(H24/G24-1,"-")</f>
        <v>-0.19534587523549229</v>
      </c>
      <c r="J24" s="160">
        <f t="shared" si="8"/>
        <v>-14724</v>
      </c>
      <c r="K24" s="161">
        <f>H24/H$8</f>
        <v>1.1066952783434423E-2</v>
      </c>
    </row>
    <row r="25" spans="1:23" x14ac:dyDescent="0.25">
      <c r="B25" s="159" t="s">
        <v>100</v>
      </c>
      <c r="C25" s="160">
        <v>109920</v>
      </c>
      <c r="D25" s="160">
        <v>49521</v>
      </c>
      <c r="E25" s="160">
        <v>120918</v>
      </c>
      <c r="F25" s="160">
        <v>120397</v>
      </c>
      <c r="G25" s="160">
        <v>106138</v>
      </c>
      <c r="H25" s="160">
        <v>101169</v>
      </c>
      <c r="I25" s="161">
        <f>IFERROR(H25/G25-1,"-")</f>
        <v>-4.6816408826245048E-2</v>
      </c>
      <c r="J25" s="160">
        <f t="shared" si="8"/>
        <v>-4969</v>
      </c>
      <c r="K25" s="161">
        <f>H25/H$8</f>
        <v>1.8460553110425014E-2</v>
      </c>
    </row>
    <row r="26" spans="1:23" x14ac:dyDescent="0.25">
      <c r="B26" s="155" t="s">
        <v>107</v>
      </c>
      <c r="C26" s="156">
        <v>1539728</v>
      </c>
      <c r="D26" s="156">
        <v>432870</v>
      </c>
      <c r="E26" s="156">
        <v>633461</v>
      </c>
      <c r="F26" s="156">
        <v>1549841</v>
      </c>
      <c r="G26" s="156">
        <v>1706820</v>
      </c>
      <c r="H26" s="156">
        <v>1777079</v>
      </c>
      <c r="I26" s="157">
        <f>IFERROR(H26/G26-1,"-")</f>
        <v>4.1163684512719456E-2</v>
      </c>
      <c r="J26" s="156">
        <f t="shared" si="8"/>
        <v>70259</v>
      </c>
      <c r="K26" s="157">
        <f>H26/H$8</f>
        <v>0.32426792061719473</v>
      </c>
    </row>
    <row r="27" spans="1:23" x14ac:dyDescent="0.25">
      <c r="B27" s="159" t="s">
        <v>110</v>
      </c>
      <c r="C27" s="160">
        <v>757594</v>
      </c>
      <c r="D27" s="160">
        <v>187852</v>
      </c>
      <c r="E27" s="160">
        <v>208305</v>
      </c>
      <c r="F27" s="160">
        <v>783677</v>
      </c>
      <c r="G27" s="160">
        <v>883653</v>
      </c>
      <c r="H27" s="160">
        <v>930359</v>
      </c>
      <c r="I27" s="161">
        <f t="shared" ref="I27:I34" si="9">IFERROR(H27/G27-1,"-")</f>
        <v>5.2855589241478373E-2</v>
      </c>
      <c r="J27" s="160">
        <f t="shared" si="8"/>
        <v>46706</v>
      </c>
      <c r="K27" s="161">
        <f t="shared" ref="K27:K34" si="10">H27/H$8</f>
        <v>0.16976486602874305</v>
      </c>
    </row>
    <row r="28" spans="1:23" x14ac:dyDescent="0.25">
      <c r="B28" s="159" t="s">
        <v>113</v>
      </c>
      <c r="C28" s="160">
        <v>201016</v>
      </c>
      <c r="D28" s="160">
        <v>57141</v>
      </c>
      <c r="E28" s="160">
        <v>103865</v>
      </c>
      <c r="F28" s="160">
        <v>169299</v>
      </c>
      <c r="G28" s="160">
        <v>182538</v>
      </c>
      <c r="H28" s="160">
        <v>183463</v>
      </c>
      <c r="I28" s="161">
        <f t="shared" si="9"/>
        <v>5.0674380129069885E-3</v>
      </c>
      <c r="J28" s="160">
        <f t="shared" si="8"/>
        <v>925</v>
      </c>
      <c r="K28" s="161">
        <f t="shared" si="10"/>
        <v>3.3476939134496779E-2</v>
      </c>
    </row>
    <row r="29" spans="1:23" x14ac:dyDescent="0.25">
      <c r="B29" s="159" t="s">
        <v>116</v>
      </c>
      <c r="C29" s="160">
        <v>52571</v>
      </c>
      <c r="D29" s="160">
        <v>20504</v>
      </c>
      <c r="E29" s="160">
        <v>42447</v>
      </c>
      <c r="F29" s="160">
        <v>63176</v>
      </c>
      <c r="G29" s="160">
        <v>65334</v>
      </c>
      <c r="H29" s="160">
        <v>57978</v>
      </c>
      <c r="I29" s="161">
        <f t="shared" si="9"/>
        <v>-0.11259068785012394</v>
      </c>
      <c r="J29" s="160">
        <f t="shared" si="8"/>
        <v>-7356</v>
      </c>
      <c r="K29" s="161">
        <f t="shared" si="10"/>
        <v>1.0579386454706694E-2</v>
      </c>
    </row>
    <row r="30" spans="1:23" x14ac:dyDescent="0.25">
      <c r="B30" s="159" t="s">
        <v>123</v>
      </c>
      <c r="C30" s="160">
        <v>61428</v>
      </c>
      <c r="D30" s="160">
        <v>17078</v>
      </c>
      <c r="E30" s="160">
        <v>41550</v>
      </c>
      <c r="F30" s="160">
        <v>75901</v>
      </c>
      <c r="G30" s="160">
        <v>70878</v>
      </c>
      <c r="H30" s="160">
        <v>71598</v>
      </c>
      <c r="I30" s="161">
        <f t="shared" si="9"/>
        <v>1.0158300177770307E-2</v>
      </c>
      <c r="J30" s="160">
        <f t="shared" si="8"/>
        <v>720</v>
      </c>
      <c r="K30" s="161">
        <f t="shared" si="10"/>
        <v>1.3064660929733518E-2</v>
      </c>
    </row>
    <row r="31" spans="1:23" x14ac:dyDescent="0.25">
      <c r="B31" s="159" t="s">
        <v>119</v>
      </c>
      <c r="C31" s="160">
        <v>70272</v>
      </c>
      <c r="D31" s="160">
        <v>28980</v>
      </c>
      <c r="E31" s="160">
        <v>51893</v>
      </c>
      <c r="F31" s="160">
        <v>82793</v>
      </c>
      <c r="G31" s="160">
        <v>80226</v>
      </c>
      <c r="H31" s="160">
        <v>81717</v>
      </c>
      <c r="I31" s="161">
        <f t="shared" si="9"/>
        <v>1.858499738239483E-2</v>
      </c>
      <c r="J31" s="160">
        <f t="shared" si="8"/>
        <v>1491</v>
      </c>
      <c r="K31" s="161">
        <f t="shared" si="10"/>
        <v>1.4911099432875692E-2</v>
      </c>
    </row>
    <row r="32" spans="1:23" x14ac:dyDescent="0.25">
      <c r="B32" s="159" t="s">
        <v>128</v>
      </c>
      <c r="C32" s="160">
        <v>30964</v>
      </c>
      <c r="D32" s="160">
        <v>11625</v>
      </c>
      <c r="E32" s="160">
        <v>7603</v>
      </c>
      <c r="F32" s="160">
        <v>22864</v>
      </c>
      <c r="G32" s="160">
        <v>24590</v>
      </c>
      <c r="H32" s="160">
        <v>24160</v>
      </c>
      <c r="I32" s="161">
        <f t="shared" si="9"/>
        <v>-1.7486783245221682E-2</v>
      </c>
      <c r="J32" s="160">
        <f t="shared" si="8"/>
        <v>-430</v>
      </c>
      <c r="K32" s="161">
        <f t="shared" si="10"/>
        <v>4.4085338705321629E-3</v>
      </c>
    </row>
    <row r="33" spans="2:14" x14ac:dyDescent="0.25">
      <c r="B33" s="159" t="s">
        <v>131</v>
      </c>
      <c r="C33" s="160">
        <v>35546</v>
      </c>
      <c r="D33" s="160">
        <v>13377</v>
      </c>
      <c r="E33" s="160">
        <v>5465</v>
      </c>
      <c r="F33" s="160">
        <v>19705</v>
      </c>
      <c r="G33" s="160">
        <v>25667</v>
      </c>
      <c r="H33" s="160">
        <v>23273</v>
      </c>
      <c r="I33" s="161">
        <f t="shared" si="9"/>
        <v>-9.3271515954338247E-2</v>
      </c>
      <c r="J33" s="160">
        <f t="shared" si="8"/>
        <v>-2394</v>
      </c>
      <c r="K33" s="161">
        <f t="shared" si="10"/>
        <v>4.2466808265271116E-3</v>
      </c>
    </row>
    <row r="34" spans="2:14" x14ac:dyDescent="0.25">
      <c r="B34" s="164" t="s">
        <v>145</v>
      </c>
      <c r="C34" s="165">
        <f t="shared" ref="C34:H34" si="11">C26-SUM(C27:C33)</f>
        <v>330337</v>
      </c>
      <c r="D34" s="165">
        <f t="shared" si="11"/>
        <v>96313</v>
      </c>
      <c r="E34" s="165">
        <f t="shared" si="11"/>
        <v>172333</v>
      </c>
      <c r="F34" s="165">
        <f t="shared" si="11"/>
        <v>332426</v>
      </c>
      <c r="G34" s="165">
        <f t="shared" si="11"/>
        <v>373934</v>
      </c>
      <c r="H34" s="165">
        <f t="shared" si="11"/>
        <v>404531</v>
      </c>
      <c r="I34" s="166">
        <f t="shared" si="9"/>
        <v>8.1824600063112651E-2</v>
      </c>
      <c r="J34" s="165">
        <f>H34-G34</f>
        <v>30597</v>
      </c>
      <c r="K34" s="166">
        <f t="shared" si="10"/>
        <v>7.3815753939579731E-2</v>
      </c>
    </row>
    <row r="35" spans="2:14" x14ac:dyDescent="0.25">
      <c r="B35" s="151" t="s">
        <v>45</v>
      </c>
      <c r="C35" s="149"/>
      <c r="D35" s="149"/>
      <c r="E35" s="149"/>
      <c r="F35" s="149"/>
      <c r="G35" s="149"/>
      <c r="H35" s="150"/>
      <c r="I35" s="150"/>
      <c r="J35" s="150"/>
      <c r="K35" s="149"/>
      <c r="L35" s="167"/>
      <c r="M35" s="167"/>
      <c r="N35" s="167"/>
    </row>
    <row r="36" spans="2:14" x14ac:dyDescent="0.25">
      <c r="B36" s="152" t="s">
        <v>68</v>
      </c>
      <c r="C36" s="153">
        <v>1299411</v>
      </c>
      <c r="D36" s="153">
        <v>375345</v>
      </c>
      <c r="E36" s="153">
        <v>492258</v>
      </c>
      <c r="F36" s="153">
        <v>1243535</v>
      </c>
      <c r="G36" s="153">
        <v>1319978</v>
      </c>
      <c r="H36" s="153">
        <v>1387823</v>
      </c>
      <c r="I36" s="154">
        <f>IFERROR(H36/G36-1,"-")</f>
        <v>5.139858391579244E-2</v>
      </c>
      <c r="J36" s="153">
        <f>H36-G36</f>
        <v>67845</v>
      </c>
      <c r="K36" s="154">
        <f>H36/H$8</f>
        <v>0.2532394330216704</v>
      </c>
      <c r="L36" s="105"/>
      <c r="M36" s="105"/>
      <c r="N36" s="105"/>
    </row>
    <row r="37" spans="2:14" x14ac:dyDescent="0.25">
      <c r="B37" s="155" t="s">
        <v>97</v>
      </c>
      <c r="C37" s="156">
        <v>127819</v>
      </c>
      <c r="D37" s="156">
        <v>51760</v>
      </c>
      <c r="E37" s="156">
        <v>83468</v>
      </c>
      <c r="F37" s="156">
        <v>123951</v>
      </c>
      <c r="G37" s="156">
        <v>118966</v>
      </c>
      <c r="H37" s="156">
        <v>114660</v>
      </c>
      <c r="I37" s="157">
        <f>IFERROR(H37/G37-1,"-")</f>
        <v>-3.6195215439705497E-2</v>
      </c>
      <c r="J37" s="156">
        <f t="shared" ref="J37:J47" si="12">H37-G37</f>
        <v>-4306</v>
      </c>
      <c r="K37" s="157">
        <f>H37/H$8</f>
        <v>2.0922288642186166E-2</v>
      </c>
    </row>
    <row r="38" spans="2:14" x14ac:dyDescent="0.25">
      <c r="B38" s="159" t="s">
        <v>103</v>
      </c>
      <c r="C38" s="160">
        <v>51328</v>
      </c>
      <c r="D38" s="160">
        <v>24912</v>
      </c>
      <c r="E38" s="160">
        <v>43482</v>
      </c>
      <c r="F38" s="160">
        <v>48094</v>
      </c>
      <c r="G38" s="160">
        <v>51902</v>
      </c>
      <c r="H38" s="160">
        <v>50245</v>
      </c>
      <c r="I38" s="161">
        <f>IFERROR(H38/G38-1,"-")</f>
        <v>-3.1925552001849655E-2</v>
      </c>
      <c r="J38" s="160">
        <f t="shared" si="12"/>
        <v>-1657</v>
      </c>
      <c r="K38" s="161">
        <f>H38/H$8</f>
        <v>9.1683271657652526E-3</v>
      </c>
    </row>
    <row r="39" spans="2:14" x14ac:dyDescent="0.25">
      <c r="B39" s="159" t="s">
        <v>100</v>
      </c>
      <c r="C39" s="160">
        <v>76491</v>
      </c>
      <c r="D39" s="160">
        <v>26848</v>
      </c>
      <c r="E39" s="160">
        <v>39986</v>
      </c>
      <c r="F39" s="160">
        <v>75857</v>
      </c>
      <c r="G39" s="160">
        <v>67064</v>
      </c>
      <c r="H39" s="160">
        <v>64415</v>
      </c>
      <c r="I39" s="161">
        <f>IFERROR(H39/G39-1,"-")</f>
        <v>-3.9499582488369267E-2</v>
      </c>
      <c r="J39" s="160">
        <f t="shared" si="12"/>
        <v>-2649</v>
      </c>
      <c r="K39" s="161">
        <f>H39/H$8</f>
        <v>1.1753961476420913E-2</v>
      </c>
    </row>
    <row r="40" spans="2:14" x14ac:dyDescent="0.25">
      <c r="B40" s="155" t="s">
        <v>107</v>
      </c>
      <c r="C40" s="156">
        <v>1171592</v>
      </c>
      <c r="D40" s="156">
        <v>323585</v>
      </c>
      <c r="E40" s="156">
        <v>408790</v>
      </c>
      <c r="F40" s="156">
        <v>1119584</v>
      </c>
      <c r="G40" s="156">
        <v>1201012</v>
      </c>
      <c r="H40" s="156">
        <v>1273163</v>
      </c>
      <c r="I40" s="157">
        <f>IFERROR(H40/G40-1,"-")</f>
        <v>6.007516994001727E-2</v>
      </c>
      <c r="J40" s="156">
        <f t="shared" si="12"/>
        <v>72151</v>
      </c>
      <c r="K40" s="157">
        <f>H40/H$8</f>
        <v>0.23231714437948425</v>
      </c>
    </row>
    <row r="41" spans="2:14" x14ac:dyDescent="0.25">
      <c r="B41" s="159" t="s">
        <v>110</v>
      </c>
      <c r="C41" s="160">
        <v>640459</v>
      </c>
      <c r="D41" s="160">
        <v>146501</v>
      </c>
      <c r="E41" s="160">
        <v>142606</v>
      </c>
      <c r="F41" s="160">
        <v>581865</v>
      </c>
      <c r="G41" s="160">
        <v>634691</v>
      </c>
      <c r="H41" s="160">
        <v>683651</v>
      </c>
      <c r="I41" s="161">
        <f t="shared" ref="I41:I48" si="13">IFERROR(H41/G41-1,"-")</f>
        <v>7.7139899573178239E-2</v>
      </c>
      <c r="J41" s="160">
        <f t="shared" si="12"/>
        <v>48960</v>
      </c>
      <c r="K41" s="161">
        <f t="shared" ref="K41:K48" si="14">H41/H$8</f>
        <v>0.12474745815907216</v>
      </c>
    </row>
    <row r="42" spans="2:14" x14ac:dyDescent="0.25">
      <c r="B42" s="159" t="s">
        <v>113</v>
      </c>
      <c r="C42" s="160">
        <v>52401</v>
      </c>
      <c r="D42" s="160">
        <v>16159</v>
      </c>
      <c r="E42" s="160">
        <v>21846</v>
      </c>
      <c r="F42" s="160">
        <v>39072</v>
      </c>
      <c r="G42" s="160">
        <v>45133</v>
      </c>
      <c r="H42" s="160">
        <v>44501</v>
      </c>
      <c r="I42" s="161">
        <f t="shared" si="13"/>
        <v>-1.4003057629672355E-2</v>
      </c>
      <c r="J42" s="160">
        <f t="shared" si="12"/>
        <v>-632</v>
      </c>
      <c r="K42" s="161">
        <f t="shared" si="14"/>
        <v>8.1202055369433684E-3</v>
      </c>
    </row>
    <row r="43" spans="2:14" x14ac:dyDescent="0.25">
      <c r="B43" s="159" t="s">
        <v>116</v>
      </c>
      <c r="C43" s="160">
        <v>24405</v>
      </c>
      <c r="D43" s="160">
        <v>9702</v>
      </c>
      <c r="E43" s="160">
        <v>19919</v>
      </c>
      <c r="F43" s="160">
        <v>27268</v>
      </c>
      <c r="G43" s="160">
        <v>28898</v>
      </c>
      <c r="H43" s="160">
        <v>29098</v>
      </c>
      <c r="I43" s="161">
        <f t="shared" si="13"/>
        <v>6.9208941795280143E-3</v>
      </c>
      <c r="J43" s="160">
        <f t="shared" si="12"/>
        <v>200</v>
      </c>
      <c r="K43" s="161">
        <f t="shared" si="14"/>
        <v>5.3095827220506981E-3</v>
      </c>
    </row>
    <row r="44" spans="2:14" x14ac:dyDescent="0.25">
      <c r="B44" s="159" t="s">
        <v>123</v>
      </c>
      <c r="C44" s="160">
        <v>53890</v>
      </c>
      <c r="D44" s="160">
        <v>15410</v>
      </c>
      <c r="E44" s="160">
        <v>30677</v>
      </c>
      <c r="F44" s="160">
        <v>57015</v>
      </c>
      <c r="G44" s="160">
        <v>55478</v>
      </c>
      <c r="H44" s="160">
        <v>57898</v>
      </c>
      <c r="I44" s="161">
        <f t="shared" si="13"/>
        <v>4.3620894769097696E-2</v>
      </c>
      <c r="J44" s="160">
        <f t="shared" si="12"/>
        <v>2420</v>
      </c>
      <c r="K44" s="161">
        <f t="shared" si="14"/>
        <v>1.0564788660433408E-2</v>
      </c>
    </row>
    <row r="45" spans="2:14" x14ac:dyDescent="0.25">
      <c r="B45" s="159" t="s">
        <v>119</v>
      </c>
      <c r="C45" s="160">
        <v>41202</v>
      </c>
      <c r="D45" s="160">
        <v>15534</v>
      </c>
      <c r="E45" s="160">
        <v>22807</v>
      </c>
      <c r="F45" s="160">
        <v>38767</v>
      </c>
      <c r="G45" s="160">
        <v>44187</v>
      </c>
      <c r="H45" s="160">
        <v>44633</v>
      </c>
      <c r="I45" s="161">
        <f t="shared" si="13"/>
        <v>1.0093466404146101E-2</v>
      </c>
      <c r="J45" s="160">
        <f t="shared" si="12"/>
        <v>446</v>
      </c>
      <c r="K45" s="161">
        <f t="shared" si="14"/>
        <v>8.1442918974942886E-3</v>
      </c>
    </row>
    <row r="46" spans="2:14" x14ac:dyDescent="0.25">
      <c r="B46" s="159" t="s">
        <v>128</v>
      </c>
      <c r="C46" s="160">
        <v>26919</v>
      </c>
      <c r="D46" s="160">
        <v>9750</v>
      </c>
      <c r="E46" s="160">
        <v>10533</v>
      </c>
      <c r="F46" s="160">
        <v>22457</v>
      </c>
      <c r="G46" s="160">
        <v>23505</v>
      </c>
      <c r="H46" s="160">
        <v>22219</v>
      </c>
      <c r="I46" s="161">
        <f t="shared" si="13"/>
        <v>-5.4711763454584172E-2</v>
      </c>
      <c r="J46" s="160">
        <f t="shared" si="12"/>
        <v>-1286</v>
      </c>
      <c r="K46" s="161">
        <f t="shared" si="14"/>
        <v>4.0543548869765777E-3</v>
      </c>
    </row>
    <row r="47" spans="2:14" x14ac:dyDescent="0.25">
      <c r="B47" s="159" t="s">
        <v>131</v>
      </c>
      <c r="C47" s="160">
        <v>42509</v>
      </c>
      <c r="D47" s="160">
        <v>16737</v>
      </c>
      <c r="E47" s="160">
        <v>10472</v>
      </c>
      <c r="F47" s="160">
        <v>22560</v>
      </c>
      <c r="G47" s="160">
        <v>26526</v>
      </c>
      <c r="H47" s="160">
        <v>24735</v>
      </c>
      <c r="I47" s="161">
        <f t="shared" si="13"/>
        <v>-6.7518660936439767E-2</v>
      </c>
      <c r="J47" s="160">
        <f t="shared" si="12"/>
        <v>-1791</v>
      </c>
      <c r="K47" s="161">
        <f t="shared" si="14"/>
        <v>4.5134555168714011E-3</v>
      </c>
    </row>
    <row r="48" spans="2:14" x14ac:dyDescent="0.25">
      <c r="B48" s="164" t="s">
        <v>145</v>
      </c>
      <c r="C48" s="165">
        <f t="shared" ref="C48:H48" si="15">C40-SUM(C41:C47)</f>
        <v>289807</v>
      </c>
      <c r="D48" s="165">
        <f t="shared" si="15"/>
        <v>93792</v>
      </c>
      <c r="E48" s="165">
        <f t="shared" si="15"/>
        <v>149930</v>
      </c>
      <c r="F48" s="165">
        <f t="shared" si="15"/>
        <v>330580</v>
      </c>
      <c r="G48" s="165">
        <f t="shared" si="15"/>
        <v>342594</v>
      </c>
      <c r="H48" s="165">
        <f t="shared" si="15"/>
        <v>366428</v>
      </c>
      <c r="I48" s="166">
        <f t="shared" si="13"/>
        <v>6.9569227715605031E-2</v>
      </c>
      <c r="J48" s="165">
        <f>H48-G48</f>
        <v>23834</v>
      </c>
      <c r="K48" s="166">
        <f t="shared" si="14"/>
        <v>6.6863006999642358E-2</v>
      </c>
    </row>
    <row r="49" spans="2:14" x14ac:dyDescent="0.25">
      <c r="B49" s="151" t="s">
        <v>46</v>
      </c>
      <c r="C49" s="149"/>
      <c r="D49" s="149"/>
      <c r="E49" s="149"/>
      <c r="F49" s="149"/>
      <c r="G49" s="149"/>
      <c r="H49" s="150"/>
      <c r="I49" s="150"/>
      <c r="J49" s="150"/>
      <c r="K49" s="149"/>
      <c r="L49" s="167"/>
      <c r="M49" s="167"/>
      <c r="N49" s="167"/>
    </row>
    <row r="50" spans="2:14" x14ac:dyDescent="0.25">
      <c r="B50" s="152" t="s">
        <v>68</v>
      </c>
      <c r="C50" s="153">
        <v>45076</v>
      </c>
      <c r="D50" s="153">
        <v>12633</v>
      </c>
      <c r="E50" s="153">
        <v>20161</v>
      </c>
      <c r="F50" s="153">
        <v>37751</v>
      </c>
      <c r="G50" s="153">
        <v>51166</v>
      </c>
      <c r="H50" s="153">
        <v>43737</v>
      </c>
      <c r="I50" s="154">
        <f>IFERROR(H50/G50-1,"-")</f>
        <v>-0.14519407418989172</v>
      </c>
      <c r="J50" s="153">
        <f>H50-G50</f>
        <v>-7429</v>
      </c>
      <c r="K50" s="154">
        <f>H50/H$8</f>
        <v>7.9807966016334931E-3</v>
      </c>
      <c r="L50" s="105"/>
      <c r="M50" s="105"/>
      <c r="N50" s="105"/>
    </row>
    <row r="51" spans="2:14" x14ac:dyDescent="0.25">
      <c r="B51" s="155" t="s">
        <v>97</v>
      </c>
      <c r="C51" s="156">
        <v>10509</v>
      </c>
      <c r="D51" s="156">
        <v>2339</v>
      </c>
      <c r="E51" s="156">
        <v>4950</v>
      </c>
      <c r="F51" s="156">
        <v>6762</v>
      </c>
      <c r="G51" s="156">
        <v>20250</v>
      </c>
      <c r="H51" s="156">
        <v>11054</v>
      </c>
      <c r="I51" s="157">
        <f>IFERROR(H51/G51-1,"-")</f>
        <v>-0.45412345679012345</v>
      </c>
      <c r="J51" s="156">
        <f t="shared" ref="J51:J61" si="16">H51-G51</f>
        <v>-9196</v>
      </c>
      <c r="K51" s="157">
        <f>H51/H$8</f>
        <v>2.0170502237111974E-3</v>
      </c>
    </row>
    <row r="52" spans="2:14" x14ac:dyDescent="0.25">
      <c r="B52" s="159" t="s">
        <v>103</v>
      </c>
      <c r="C52" s="160">
        <v>5944</v>
      </c>
      <c r="D52" s="160">
        <v>1658</v>
      </c>
      <c r="E52" s="160">
        <v>2415</v>
      </c>
      <c r="F52" s="160">
        <v>3515</v>
      </c>
      <c r="G52" s="160">
        <v>14811</v>
      </c>
      <c r="H52" s="160">
        <v>7251</v>
      </c>
      <c r="I52" s="161">
        <f>IFERROR(H52/G52-1,"-")</f>
        <v>-0.51043143609479436</v>
      </c>
      <c r="J52" s="160">
        <f t="shared" si="16"/>
        <v>-7560</v>
      </c>
      <c r="K52" s="161">
        <f>H52/H$8</f>
        <v>1.323107578444897E-3</v>
      </c>
    </row>
    <row r="53" spans="2:14" x14ac:dyDescent="0.25">
      <c r="B53" s="159" t="s">
        <v>100</v>
      </c>
      <c r="C53" s="160">
        <v>4565</v>
      </c>
      <c r="D53" s="160">
        <v>681</v>
      </c>
      <c r="E53" s="160">
        <v>2535</v>
      </c>
      <c r="F53" s="160">
        <v>3247</v>
      </c>
      <c r="G53" s="160">
        <v>5439</v>
      </c>
      <c r="H53" s="160">
        <v>3803</v>
      </c>
      <c r="I53" s="161">
        <f>IFERROR(H53/G53-1,"-")</f>
        <v>-0.30079058650487223</v>
      </c>
      <c r="J53" s="160">
        <f t="shared" si="16"/>
        <v>-1636</v>
      </c>
      <c r="K53" s="161">
        <f>H53/H$8</f>
        <v>6.9394264526630026E-4</v>
      </c>
    </row>
    <row r="54" spans="2:14" x14ac:dyDescent="0.25">
      <c r="B54" s="155" t="s">
        <v>107</v>
      </c>
      <c r="C54" s="156">
        <v>34567</v>
      </c>
      <c r="D54" s="156">
        <v>10294</v>
      </c>
      <c r="E54" s="156">
        <v>15211</v>
      </c>
      <c r="F54" s="156">
        <v>30989</v>
      </c>
      <c r="G54" s="156">
        <v>30916</v>
      </c>
      <c r="H54" s="156">
        <v>32683</v>
      </c>
      <c r="I54" s="157">
        <f>IFERROR(H54/G54-1,"-")</f>
        <v>5.7154871264070373E-2</v>
      </c>
      <c r="J54" s="156">
        <f t="shared" si="16"/>
        <v>1767</v>
      </c>
      <c r="K54" s="157">
        <f>H54/H$8</f>
        <v>5.9637463779222957E-3</v>
      </c>
    </row>
    <row r="55" spans="2:14" x14ac:dyDescent="0.25">
      <c r="B55" s="159" t="s">
        <v>110</v>
      </c>
      <c r="C55" s="160">
        <v>10275</v>
      </c>
      <c r="D55" s="160">
        <v>3060</v>
      </c>
      <c r="E55" s="160">
        <v>3030</v>
      </c>
      <c r="F55" s="160">
        <v>10352</v>
      </c>
      <c r="G55" s="160">
        <v>9308</v>
      </c>
      <c r="H55" s="160">
        <v>11037</v>
      </c>
      <c r="I55" s="161">
        <f t="shared" ref="I55:I62" si="17">IFERROR(H55/G55-1,"-")</f>
        <v>0.18575418994413417</v>
      </c>
      <c r="J55" s="160">
        <f t="shared" si="16"/>
        <v>1729</v>
      </c>
      <c r="K55" s="161">
        <f t="shared" ref="K55:K62" si="18">H55/H$8</f>
        <v>2.013948192428124E-3</v>
      </c>
    </row>
    <row r="56" spans="2:14" x14ac:dyDescent="0.25">
      <c r="B56" s="159" t="s">
        <v>113</v>
      </c>
      <c r="C56" s="160">
        <v>9881</v>
      </c>
      <c r="D56" s="160">
        <v>2874</v>
      </c>
      <c r="E56" s="160">
        <v>5150</v>
      </c>
      <c r="F56" s="160">
        <v>6811</v>
      </c>
      <c r="G56" s="160">
        <v>6211</v>
      </c>
      <c r="H56" s="160">
        <v>6595</v>
      </c>
      <c r="I56" s="161">
        <f t="shared" si="17"/>
        <v>6.1825792947995506E-2</v>
      </c>
      <c r="J56" s="160">
        <f t="shared" si="16"/>
        <v>384</v>
      </c>
      <c r="K56" s="161">
        <f t="shared" si="18"/>
        <v>1.2034056654039575E-3</v>
      </c>
    </row>
    <row r="57" spans="2:14" x14ac:dyDescent="0.25">
      <c r="B57" s="159" t="s">
        <v>116</v>
      </c>
      <c r="C57" s="160">
        <v>2186</v>
      </c>
      <c r="D57" s="160">
        <v>544</v>
      </c>
      <c r="E57" s="160">
        <v>1642</v>
      </c>
      <c r="F57" s="160">
        <v>2746</v>
      </c>
      <c r="G57" s="160">
        <v>2942</v>
      </c>
      <c r="H57" s="160">
        <v>2300</v>
      </c>
      <c r="I57" s="161">
        <f t="shared" si="17"/>
        <v>-0.21821889870836164</v>
      </c>
      <c r="J57" s="160">
        <f t="shared" si="16"/>
        <v>-642</v>
      </c>
      <c r="K57" s="161">
        <f t="shared" si="18"/>
        <v>4.1968658535695259E-4</v>
      </c>
    </row>
    <row r="58" spans="2:14" x14ac:dyDescent="0.25">
      <c r="B58" s="159" t="s">
        <v>123</v>
      </c>
      <c r="C58" s="160">
        <v>731</v>
      </c>
      <c r="D58" s="160">
        <v>284</v>
      </c>
      <c r="E58" s="160">
        <v>377</v>
      </c>
      <c r="F58" s="160">
        <v>868</v>
      </c>
      <c r="G58" s="160">
        <v>832</v>
      </c>
      <c r="H58" s="160">
        <v>1093</v>
      </c>
      <c r="I58" s="161">
        <f t="shared" si="17"/>
        <v>0.31370192307692313</v>
      </c>
      <c r="J58" s="160">
        <f t="shared" si="16"/>
        <v>261</v>
      </c>
      <c r="K58" s="161">
        <f t="shared" si="18"/>
        <v>1.994423642587605E-4</v>
      </c>
    </row>
    <row r="59" spans="2:14" x14ac:dyDescent="0.25">
      <c r="B59" s="159" t="s">
        <v>119</v>
      </c>
      <c r="C59" s="160">
        <v>686</v>
      </c>
      <c r="D59" s="160">
        <v>229</v>
      </c>
      <c r="E59" s="160">
        <v>476</v>
      </c>
      <c r="F59" s="160">
        <v>657</v>
      </c>
      <c r="G59" s="160">
        <v>709</v>
      </c>
      <c r="H59" s="160">
        <v>810</v>
      </c>
      <c r="I59" s="161">
        <f t="shared" si="17"/>
        <v>0.14245416078984485</v>
      </c>
      <c r="J59" s="160">
        <f t="shared" si="16"/>
        <v>101</v>
      </c>
      <c r="K59" s="161">
        <f t="shared" si="18"/>
        <v>1.4780266701701372E-4</v>
      </c>
    </row>
    <row r="60" spans="2:14" x14ac:dyDescent="0.25">
      <c r="B60" s="159" t="s">
        <v>128</v>
      </c>
      <c r="C60" s="160">
        <v>281</v>
      </c>
      <c r="D60" s="160">
        <v>136</v>
      </c>
      <c r="E60" s="160">
        <v>98</v>
      </c>
      <c r="F60" s="160">
        <v>136</v>
      </c>
      <c r="G60" s="160">
        <v>243</v>
      </c>
      <c r="H60" s="160">
        <v>141</v>
      </c>
      <c r="I60" s="161">
        <f t="shared" si="17"/>
        <v>-0.41975308641975306</v>
      </c>
      <c r="J60" s="160">
        <f t="shared" si="16"/>
        <v>-102</v>
      </c>
      <c r="K60" s="161">
        <f t="shared" si="18"/>
        <v>2.5728612406665352E-5</v>
      </c>
    </row>
    <row r="61" spans="2:14" x14ac:dyDescent="0.25">
      <c r="B61" s="159" t="s">
        <v>131</v>
      </c>
      <c r="C61" s="160">
        <v>591</v>
      </c>
      <c r="D61" s="160">
        <v>217</v>
      </c>
      <c r="E61" s="160">
        <v>91</v>
      </c>
      <c r="F61" s="160">
        <v>153</v>
      </c>
      <c r="G61" s="160">
        <v>195</v>
      </c>
      <c r="H61" s="160">
        <v>156</v>
      </c>
      <c r="I61" s="161">
        <f t="shared" si="17"/>
        <v>-0.19999999999999996</v>
      </c>
      <c r="J61" s="160">
        <f t="shared" si="16"/>
        <v>-39</v>
      </c>
      <c r="K61" s="161">
        <f t="shared" si="18"/>
        <v>2.8465698832906347E-5</v>
      </c>
    </row>
    <row r="62" spans="2:14" x14ac:dyDescent="0.25">
      <c r="B62" s="164" t="s">
        <v>145</v>
      </c>
      <c r="C62" s="165">
        <f t="shared" ref="C62:H62" si="19">C54-SUM(C55:C61)</f>
        <v>9936</v>
      </c>
      <c r="D62" s="165">
        <f t="shared" si="19"/>
        <v>2950</v>
      </c>
      <c r="E62" s="165">
        <f t="shared" si="19"/>
        <v>4347</v>
      </c>
      <c r="F62" s="165">
        <f t="shared" si="19"/>
        <v>9266</v>
      </c>
      <c r="G62" s="165">
        <f t="shared" si="19"/>
        <v>10476</v>
      </c>
      <c r="H62" s="165">
        <f t="shared" si="19"/>
        <v>10551</v>
      </c>
      <c r="I62" s="166">
        <f t="shared" si="17"/>
        <v>7.1592210767468245E-3</v>
      </c>
      <c r="J62" s="165">
        <f>H62-G62</f>
        <v>75</v>
      </c>
      <c r="K62" s="166">
        <f t="shared" si="18"/>
        <v>1.9252665922179159E-3</v>
      </c>
    </row>
    <row r="63" spans="2:14" x14ac:dyDescent="0.25">
      <c r="B63" s="151" t="s">
        <v>47</v>
      </c>
      <c r="C63" s="149"/>
      <c r="D63" s="149"/>
      <c r="E63" s="149"/>
      <c r="F63" s="149"/>
      <c r="G63" s="149"/>
      <c r="H63" s="150"/>
      <c r="I63" s="150"/>
      <c r="J63" s="150"/>
      <c r="K63" s="149"/>
      <c r="L63" s="167"/>
      <c r="M63" s="167"/>
      <c r="N63" s="167"/>
    </row>
    <row r="64" spans="2:14" x14ac:dyDescent="0.25">
      <c r="B64" s="152" t="s">
        <v>68</v>
      </c>
      <c r="C64" s="153">
        <v>137126</v>
      </c>
      <c r="D64" s="153">
        <v>55313</v>
      </c>
      <c r="E64" s="153">
        <v>70304</v>
      </c>
      <c r="F64" s="153">
        <v>161080</v>
      </c>
      <c r="G64" s="153">
        <v>179837</v>
      </c>
      <c r="H64" s="153">
        <v>231856</v>
      </c>
      <c r="I64" s="154">
        <f>IFERROR(H64/G64-1,"-")</f>
        <v>0.28925638216829674</v>
      </c>
      <c r="J64" s="153">
        <f>H64-G64</f>
        <v>52019</v>
      </c>
      <c r="K64" s="154">
        <f>H64/H$8</f>
        <v>4.2307327362835476E-2</v>
      </c>
      <c r="L64" s="105"/>
      <c r="M64" s="105"/>
      <c r="N64" s="105"/>
    </row>
    <row r="65" spans="2:14" x14ac:dyDescent="0.25">
      <c r="B65" s="155" t="s">
        <v>97</v>
      </c>
      <c r="C65" s="156">
        <v>41904</v>
      </c>
      <c r="D65" s="156">
        <v>24273</v>
      </c>
      <c r="E65" s="156">
        <v>26311</v>
      </c>
      <c r="F65" s="156">
        <v>32375</v>
      </c>
      <c r="G65" s="156">
        <v>47068</v>
      </c>
      <c r="H65" s="156">
        <v>61312</v>
      </c>
      <c r="I65" s="157">
        <f>IFERROR(H65/G65-1,"-")</f>
        <v>0.30262598793235318</v>
      </c>
      <c r="J65" s="156">
        <f t="shared" ref="J65:J75" si="20">H65-G65</f>
        <v>14244</v>
      </c>
      <c r="K65" s="157">
        <f>H65/H$8</f>
        <v>1.1187749531045859E-2</v>
      </c>
    </row>
    <row r="66" spans="2:14" x14ac:dyDescent="0.25">
      <c r="B66" s="159" t="s">
        <v>103</v>
      </c>
      <c r="C66" s="160">
        <v>22752</v>
      </c>
      <c r="D66" s="160">
        <v>8930</v>
      </c>
      <c r="E66" s="160">
        <v>21567</v>
      </c>
      <c r="F66" s="160">
        <v>23338</v>
      </c>
      <c r="G66" s="160">
        <v>31999</v>
      </c>
      <c r="H66" s="160">
        <v>37562</v>
      </c>
      <c r="I66" s="161">
        <f>IFERROR(H66/G66-1,"-")</f>
        <v>0.17384918278696215</v>
      </c>
      <c r="J66" s="160">
        <f t="shared" si="20"/>
        <v>5563</v>
      </c>
      <c r="K66" s="161">
        <f>H66/H$8</f>
        <v>6.8540293561642832E-3</v>
      </c>
    </row>
    <row r="67" spans="2:14" x14ac:dyDescent="0.25">
      <c r="B67" s="159" t="s">
        <v>100</v>
      </c>
      <c r="C67" s="160">
        <v>19152</v>
      </c>
      <c r="D67" s="160">
        <v>15343</v>
      </c>
      <c r="E67" s="160">
        <v>4744</v>
      </c>
      <c r="F67" s="160">
        <v>9037</v>
      </c>
      <c r="G67" s="160">
        <v>15069</v>
      </c>
      <c r="H67" s="160">
        <v>23750</v>
      </c>
      <c r="I67" s="161">
        <f>IFERROR(H67/G67-1,"-")</f>
        <v>0.57608334992368437</v>
      </c>
      <c r="J67" s="160">
        <f t="shared" si="20"/>
        <v>8681</v>
      </c>
      <c r="K67" s="161">
        <f>H67/H$8</f>
        <v>4.3337201748815755E-3</v>
      </c>
    </row>
    <row r="68" spans="2:14" x14ac:dyDescent="0.25">
      <c r="B68" s="155" t="s">
        <v>107</v>
      </c>
      <c r="C68" s="156">
        <v>95222</v>
      </c>
      <c r="D68" s="156">
        <v>31040</v>
      </c>
      <c r="E68" s="156">
        <v>43993</v>
      </c>
      <c r="F68" s="156">
        <v>128705</v>
      </c>
      <c r="G68" s="156">
        <v>132769</v>
      </c>
      <c r="H68" s="156">
        <v>170544</v>
      </c>
      <c r="I68" s="157">
        <f>IFERROR(H68/G68-1,"-")</f>
        <v>0.28451671700472247</v>
      </c>
      <c r="J68" s="156">
        <f t="shared" si="20"/>
        <v>37775</v>
      </c>
      <c r="K68" s="157">
        <f>H68/H$8</f>
        <v>3.1119577831789615E-2</v>
      </c>
    </row>
    <row r="69" spans="2:14" x14ac:dyDescent="0.25">
      <c r="B69" s="159" t="s">
        <v>110</v>
      </c>
      <c r="C69" s="160">
        <v>41026</v>
      </c>
      <c r="D69" s="160">
        <v>13899</v>
      </c>
      <c r="E69" s="160">
        <v>12264</v>
      </c>
      <c r="F69" s="160">
        <v>56081</v>
      </c>
      <c r="G69" s="160">
        <v>50457</v>
      </c>
      <c r="H69" s="160">
        <v>73242</v>
      </c>
      <c r="I69" s="161">
        <f t="shared" ref="I69:I76" si="21">IFERROR(H69/G69-1,"-")</f>
        <v>0.45157262619656335</v>
      </c>
      <c r="J69" s="160">
        <f t="shared" si="20"/>
        <v>22785</v>
      </c>
      <c r="K69" s="161">
        <f t="shared" ref="K69:K76" si="22">H69/H$8</f>
        <v>1.336464560204953E-2</v>
      </c>
    </row>
    <row r="70" spans="2:14" x14ac:dyDescent="0.25">
      <c r="B70" s="159" t="s">
        <v>113</v>
      </c>
      <c r="C70" s="160">
        <v>11534</v>
      </c>
      <c r="D70" s="160">
        <v>3374</v>
      </c>
      <c r="E70" s="160">
        <v>3586</v>
      </c>
      <c r="F70" s="160">
        <v>7748</v>
      </c>
      <c r="G70" s="160">
        <v>10955</v>
      </c>
      <c r="H70" s="160">
        <v>10731</v>
      </c>
      <c r="I70" s="161">
        <f t="shared" si="21"/>
        <v>-2.0447284345047945E-2</v>
      </c>
      <c r="J70" s="160">
        <f t="shared" si="20"/>
        <v>-224</v>
      </c>
      <c r="K70" s="161">
        <f t="shared" si="22"/>
        <v>1.9581116293328079E-3</v>
      </c>
    </row>
    <row r="71" spans="2:14" x14ac:dyDescent="0.25">
      <c r="B71" s="159" t="s">
        <v>116</v>
      </c>
      <c r="C71" s="160">
        <v>10880</v>
      </c>
      <c r="D71" s="160">
        <v>3449</v>
      </c>
      <c r="E71" s="160">
        <v>6294</v>
      </c>
      <c r="F71" s="160">
        <v>18047</v>
      </c>
      <c r="G71" s="160">
        <v>15837</v>
      </c>
      <c r="H71" s="160">
        <v>19123</v>
      </c>
      <c r="I71" s="161">
        <f t="shared" si="21"/>
        <v>0.20748879206920501</v>
      </c>
      <c r="J71" s="160">
        <f t="shared" si="20"/>
        <v>3286</v>
      </c>
      <c r="K71" s="161">
        <f t="shared" si="22"/>
        <v>3.4894202486004363E-3</v>
      </c>
    </row>
    <row r="72" spans="2:14" x14ac:dyDescent="0.25">
      <c r="B72" s="159" t="s">
        <v>123</v>
      </c>
      <c r="C72" s="160">
        <v>1784</v>
      </c>
      <c r="D72" s="160">
        <v>536</v>
      </c>
      <c r="E72" s="160">
        <v>3888</v>
      </c>
      <c r="F72" s="160">
        <v>3396</v>
      </c>
      <c r="G72" s="160">
        <v>3947</v>
      </c>
      <c r="H72" s="160">
        <v>6454</v>
      </c>
      <c r="I72" s="161">
        <f t="shared" si="21"/>
        <v>0.63516594882189015</v>
      </c>
      <c r="J72" s="160">
        <f t="shared" si="20"/>
        <v>2507</v>
      </c>
      <c r="K72" s="161">
        <f t="shared" si="22"/>
        <v>1.1776770529972921E-3</v>
      </c>
    </row>
    <row r="73" spans="2:14" x14ac:dyDescent="0.25">
      <c r="B73" s="159" t="s">
        <v>119</v>
      </c>
      <c r="C73" s="160">
        <v>2469</v>
      </c>
      <c r="D73" s="160">
        <v>1278</v>
      </c>
      <c r="E73" s="160">
        <v>1635</v>
      </c>
      <c r="F73" s="160">
        <v>3248</v>
      </c>
      <c r="G73" s="160">
        <v>2699</v>
      </c>
      <c r="H73" s="160">
        <v>4219</v>
      </c>
      <c r="I73" s="161">
        <f t="shared" si="21"/>
        <v>0.56317154501667277</v>
      </c>
      <c r="J73" s="160">
        <f t="shared" si="20"/>
        <v>1520</v>
      </c>
      <c r="K73" s="161">
        <f t="shared" si="22"/>
        <v>7.6985117548738385E-4</v>
      </c>
    </row>
    <row r="74" spans="2:14" x14ac:dyDescent="0.25">
      <c r="B74" s="159" t="s">
        <v>128</v>
      </c>
      <c r="C74" s="160">
        <v>2202</v>
      </c>
      <c r="D74" s="160">
        <v>686</v>
      </c>
      <c r="E74" s="160">
        <v>1848</v>
      </c>
      <c r="F74" s="160">
        <v>2875</v>
      </c>
      <c r="G74" s="160">
        <v>3786</v>
      </c>
      <c r="H74" s="160">
        <v>3186</v>
      </c>
      <c r="I74" s="161">
        <f t="shared" si="21"/>
        <v>-0.15847860538827263</v>
      </c>
      <c r="J74" s="160">
        <f t="shared" si="20"/>
        <v>-600</v>
      </c>
      <c r="K74" s="161">
        <f t="shared" si="22"/>
        <v>5.8135715693358734E-4</v>
      </c>
    </row>
    <row r="75" spans="2:14" x14ac:dyDescent="0.25">
      <c r="B75" s="159" t="s">
        <v>131</v>
      </c>
      <c r="C75" s="160">
        <v>2302</v>
      </c>
      <c r="D75" s="160">
        <v>932</v>
      </c>
      <c r="E75" s="160">
        <v>363</v>
      </c>
      <c r="F75" s="160">
        <v>967</v>
      </c>
      <c r="G75" s="160">
        <v>1128</v>
      </c>
      <c r="H75" s="160">
        <v>3135</v>
      </c>
      <c r="I75" s="161">
        <f t="shared" si="21"/>
        <v>1.7792553191489362</v>
      </c>
      <c r="J75" s="160">
        <f t="shared" si="20"/>
        <v>2007</v>
      </c>
      <c r="K75" s="161">
        <f t="shared" si="22"/>
        <v>5.7205106308436799E-4</v>
      </c>
    </row>
    <row r="76" spans="2:14" x14ac:dyDescent="0.25">
      <c r="B76" s="164" t="s">
        <v>145</v>
      </c>
      <c r="C76" s="165">
        <f t="shared" ref="C76:H76" si="23">C68-SUM(C69:C75)</f>
        <v>23025</v>
      </c>
      <c r="D76" s="165">
        <f t="shared" si="23"/>
        <v>6886</v>
      </c>
      <c r="E76" s="165">
        <f t="shared" si="23"/>
        <v>14115</v>
      </c>
      <c r="F76" s="165">
        <f t="shared" si="23"/>
        <v>36343</v>
      </c>
      <c r="G76" s="165">
        <f t="shared" si="23"/>
        <v>43960</v>
      </c>
      <c r="H76" s="165">
        <f t="shared" si="23"/>
        <v>50454</v>
      </c>
      <c r="I76" s="166">
        <f t="shared" si="21"/>
        <v>0.14772520473157424</v>
      </c>
      <c r="J76" s="165">
        <f>H76-G76</f>
        <v>6494</v>
      </c>
      <c r="K76" s="166">
        <f t="shared" si="22"/>
        <v>9.2064639033042107E-3</v>
      </c>
    </row>
    <row r="77" spans="2:14" x14ac:dyDescent="0.25">
      <c r="B77" s="151" t="s">
        <v>48</v>
      </c>
      <c r="C77" s="149"/>
      <c r="D77" s="149"/>
      <c r="E77" s="149"/>
      <c r="F77" s="149"/>
      <c r="G77" s="149"/>
      <c r="H77" s="150"/>
      <c r="I77" s="150"/>
      <c r="J77" s="150"/>
      <c r="K77" s="149"/>
      <c r="L77" s="167"/>
      <c r="M77" s="167"/>
      <c r="N77" s="167"/>
    </row>
    <row r="78" spans="2:14" x14ac:dyDescent="0.25">
      <c r="B78" s="152" t="s">
        <v>68</v>
      </c>
      <c r="C78" s="153">
        <v>791721</v>
      </c>
      <c r="D78" s="153">
        <v>225835</v>
      </c>
      <c r="E78" s="153">
        <v>354204</v>
      </c>
      <c r="F78" s="153">
        <v>710225</v>
      </c>
      <c r="G78" s="153">
        <v>797848</v>
      </c>
      <c r="H78" s="153">
        <v>914356</v>
      </c>
      <c r="I78" s="154">
        <f>IFERROR(H78/G78-1,"-")</f>
        <v>0.14602781482187077</v>
      </c>
      <c r="J78" s="153">
        <f>H78-G78</f>
        <v>116508</v>
      </c>
      <c r="K78" s="154">
        <f>H78/H$8</f>
        <v>0.16684475975680074</v>
      </c>
      <c r="L78" s="105"/>
      <c r="M78" s="105"/>
      <c r="N78" s="105"/>
    </row>
    <row r="79" spans="2:14" x14ac:dyDescent="0.25">
      <c r="B79" s="155" t="s">
        <v>97</v>
      </c>
      <c r="C79" s="156">
        <v>356283</v>
      </c>
      <c r="D79" s="156">
        <v>103133</v>
      </c>
      <c r="E79" s="156">
        <v>181693</v>
      </c>
      <c r="F79" s="156">
        <v>342343</v>
      </c>
      <c r="G79" s="156">
        <v>341923</v>
      </c>
      <c r="H79" s="156">
        <v>382237</v>
      </c>
      <c r="I79" s="157">
        <f>IFERROR(H79/G79-1,"-")</f>
        <v>0.1179037385610211</v>
      </c>
      <c r="J79" s="156">
        <f t="shared" ref="J79:J89" si="24">H79-G79</f>
        <v>40314</v>
      </c>
      <c r="K79" s="157">
        <f>H79/H$8</f>
        <v>6.9747713620471941E-2</v>
      </c>
    </row>
    <row r="80" spans="2:14" x14ac:dyDescent="0.25">
      <c r="B80" s="159" t="s">
        <v>103</v>
      </c>
      <c r="C80" s="160">
        <v>72064</v>
      </c>
      <c r="D80" s="160">
        <v>28320</v>
      </c>
      <c r="E80" s="160">
        <v>66989</v>
      </c>
      <c r="F80" s="160">
        <v>97391</v>
      </c>
      <c r="G80" s="160">
        <v>92103</v>
      </c>
      <c r="H80" s="160">
        <v>106284</v>
      </c>
      <c r="I80" s="161">
        <f>IFERROR(H80/G80-1,"-")</f>
        <v>0.15396892609361257</v>
      </c>
      <c r="J80" s="160">
        <f t="shared" si="24"/>
        <v>14181</v>
      </c>
      <c r="K80" s="161">
        <f>H80/H$8</f>
        <v>1.9393899581773195E-2</v>
      </c>
    </row>
    <row r="81" spans="2:14" x14ac:dyDescent="0.25">
      <c r="B81" s="159" t="s">
        <v>100</v>
      </c>
      <c r="C81" s="160">
        <v>284219</v>
      </c>
      <c r="D81" s="160">
        <v>74813</v>
      </c>
      <c r="E81" s="160">
        <v>114704</v>
      </c>
      <c r="F81" s="160">
        <v>244952</v>
      </c>
      <c r="G81" s="160">
        <v>249820</v>
      </c>
      <c r="H81" s="160">
        <v>275953</v>
      </c>
      <c r="I81" s="161">
        <f>IFERROR(H81/G81-1,"-")</f>
        <v>0.1046073172684332</v>
      </c>
      <c r="J81" s="160">
        <f t="shared" si="24"/>
        <v>26133</v>
      </c>
      <c r="K81" s="161">
        <f>H81/H$8</f>
        <v>5.0353814038698749E-2</v>
      </c>
    </row>
    <row r="82" spans="2:14" x14ac:dyDescent="0.25">
      <c r="B82" s="155" t="s">
        <v>107</v>
      </c>
      <c r="C82" s="156">
        <v>435438</v>
      </c>
      <c r="D82" s="156">
        <v>122702</v>
      </c>
      <c r="E82" s="156">
        <v>172511</v>
      </c>
      <c r="F82" s="156">
        <v>367882</v>
      </c>
      <c r="G82" s="156">
        <v>455925</v>
      </c>
      <c r="H82" s="156">
        <v>532119</v>
      </c>
      <c r="I82" s="157">
        <f>IFERROR(H82/G82-1,"-")</f>
        <v>0.16711959203816407</v>
      </c>
      <c r="J82" s="156">
        <f t="shared" si="24"/>
        <v>76194</v>
      </c>
      <c r="K82" s="157">
        <f>H82/H$8</f>
        <v>9.7097046136328802E-2</v>
      </c>
    </row>
    <row r="83" spans="2:14" x14ac:dyDescent="0.25">
      <c r="B83" s="159" t="s">
        <v>110</v>
      </c>
      <c r="C83" s="160">
        <v>75049</v>
      </c>
      <c r="D83" s="160">
        <v>21332</v>
      </c>
      <c r="E83" s="160">
        <v>16695</v>
      </c>
      <c r="F83" s="160">
        <v>71554</v>
      </c>
      <c r="G83" s="160">
        <v>93860</v>
      </c>
      <c r="H83" s="160">
        <v>110313</v>
      </c>
      <c r="I83" s="161">
        <f t="shared" ref="I83:I90" si="25">IFERROR(H83/G83-1,"-")</f>
        <v>0.17529298955891748</v>
      </c>
      <c r="J83" s="160">
        <f t="shared" si="24"/>
        <v>16453</v>
      </c>
      <c r="K83" s="161">
        <f t="shared" ref="K83:K90" si="26">H83/H$8</f>
        <v>2.0129080995861526E-2</v>
      </c>
    </row>
    <row r="84" spans="2:14" x14ac:dyDescent="0.25">
      <c r="B84" s="159" t="s">
        <v>113</v>
      </c>
      <c r="C84" s="160">
        <v>159354</v>
      </c>
      <c r="D84" s="160">
        <v>39522</v>
      </c>
      <c r="E84" s="160">
        <v>53227</v>
      </c>
      <c r="F84" s="160">
        <v>113120</v>
      </c>
      <c r="G84" s="160">
        <v>127349</v>
      </c>
      <c r="H84" s="160">
        <v>141364</v>
      </c>
      <c r="I84" s="161">
        <f t="shared" si="25"/>
        <v>0.11005190460859526</v>
      </c>
      <c r="J84" s="160">
        <f t="shared" si="24"/>
        <v>14015</v>
      </c>
      <c r="K84" s="161">
        <f t="shared" si="26"/>
        <v>2.57950323706088E-2</v>
      </c>
    </row>
    <row r="85" spans="2:14" x14ac:dyDescent="0.25">
      <c r="B85" s="159" t="s">
        <v>116</v>
      </c>
      <c r="C85" s="160">
        <v>25447</v>
      </c>
      <c r="D85" s="160">
        <v>8286</v>
      </c>
      <c r="E85" s="160">
        <v>19927</v>
      </c>
      <c r="F85" s="160">
        <v>30758</v>
      </c>
      <c r="G85" s="160">
        <v>42539</v>
      </c>
      <c r="H85" s="160">
        <v>57925</v>
      </c>
      <c r="I85" s="161">
        <f t="shared" si="25"/>
        <v>0.36169162415665634</v>
      </c>
      <c r="J85" s="160">
        <f t="shared" si="24"/>
        <v>15386</v>
      </c>
      <c r="K85" s="161">
        <f t="shared" si="26"/>
        <v>1.0569715416000642E-2</v>
      </c>
    </row>
    <row r="86" spans="2:14" x14ac:dyDescent="0.25">
      <c r="B86" s="159" t="s">
        <v>123</v>
      </c>
      <c r="C86" s="160">
        <v>9296</v>
      </c>
      <c r="D86" s="160">
        <v>2074</v>
      </c>
      <c r="E86" s="160">
        <v>5996</v>
      </c>
      <c r="F86" s="160">
        <v>10713</v>
      </c>
      <c r="G86" s="160">
        <v>12911</v>
      </c>
      <c r="H86" s="160">
        <v>18498</v>
      </c>
      <c r="I86" s="161">
        <f t="shared" si="25"/>
        <v>0.43273177910309046</v>
      </c>
      <c r="J86" s="160">
        <f t="shared" si="24"/>
        <v>5587</v>
      </c>
      <c r="K86" s="161">
        <f t="shared" si="26"/>
        <v>3.375374980840395E-3</v>
      </c>
    </row>
    <row r="87" spans="2:14" x14ac:dyDescent="0.25">
      <c r="B87" s="159" t="s">
        <v>119</v>
      </c>
      <c r="C87" s="160">
        <v>6249</v>
      </c>
      <c r="D87" s="160">
        <v>2082</v>
      </c>
      <c r="E87" s="160">
        <v>5201</v>
      </c>
      <c r="F87" s="160">
        <v>5872</v>
      </c>
      <c r="G87" s="160">
        <v>6968</v>
      </c>
      <c r="H87" s="160">
        <v>8896</v>
      </c>
      <c r="I87" s="161">
        <f t="shared" si="25"/>
        <v>0.27669345579793347</v>
      </c>
      <c r="J87" s="160">
        <f t="shared" si="24"/>
        <v>1928</v>
      </c>
      <c r="K87" s="161">
        <f t="shared" si="26"/>
        <v>1.623274723189326E-3</v>
      </c>
    </row>
    <row r="88" spans="2:14" x14ac:dyDescent="0.25">
      <c r="B88" s="159" t="s">
        <v>128</v>
      </c>
      <c r="C88" s="160">
        <v>8520</v>
      </c>
      <c r="D88" s="160">
        <v>3046</v>
      </c>
      <c r="E88" s="160">
        <v>2575</v>
      </c>
      <c r="F88" s="160">
        <v>7581</v>
      </c>
      <c r="G88" s="160">
        <v>8524</v>
      </c>
      <c r="H88" s="160">
        <v>7383</v>
      </c>
      <c r="I88" s="161">
        <f t="shared" si="25"/>
        <v>-0.13385734396996718</v>
      </c>
      <c r="J88" s="160">
        <f t="shared" si="24"/>
        <v>-1141</v>
      </c>
      <c r="K88" s="161">
        <f t="shared" si="26"/>
        <v>1.3471939389958177E-3</v>
      </c>
    </row>
    <row r="89" spans="2:14" x14ac:dyDescent="0.25">
      <c r="B89" s="159" t="s">
        <v>131</v>
      </c>
      <c r="C89" s="160">
        <v>13181</v>
      </c>
      <c r="D89" s="160">
        <v>4839</v>
      </c>
      <c r="E89" s="160">
        <v>2819</v>
      </c>
      <c r="F89" s="160">
        <v>7599</v>
      </c>
      <c r="G89" s="160">
        <v>9961</v>
      </c>
      <c r="H89" s="160">
        <v>9541</v>
      </c>
      <c r="I89" s="161">
        <f t="shared" si="25"/>
        <v>-4.216444132115249E-2</v>
      </c>
      <c r="J89" s="160">
        <f t="shared" si="24"/>
        <v>-420</v>
      </c>
      <c r="K89" s="161">
        <f t="shared" si="26"/>
        <v>1.7409694395176889E-3</v>
      </c>
    </row>
    <row r="90" spans="2:14" x14ac:dyDescent="0.25">
      <c r="B90" s="164" t="s">
        <v>145</v>
      </c>
      <c r="C90" s="165">
        <f t="shared" ref="C90:H90" si="27">C82-SUM(C83:C89)</f>
        <v>138342</v>
      </c>
      <c r="D90" s="165">
        <f t="shared" si="27"/>
        <v>41521</v>
      </c>
      <c r="E90" s="165">
        <f t="shared" si="27"/>
        <v>66071</v>
      </c>
      <c r="F90" s="165">
        <f t="shared" si="27"/>
        <v>120685</v>
      </c>
      <c r="G90" s="165">
        <f t="shared" si="27"/>
        <v>153813</v>
      </c>
      <c r="H90" s="165">
        <f t="shared" si="27"/>
        <v>178199</v>
      </c>
      <c r="I90" s="166">
        <f t="shared" si="25"/>
        <v>0.15854316605228425</v>
      </c>
      <c r="J90" s="165">
        <f>H90-G90</f>
        <v>24386</v>
      </c>
      <c r="K90" s="166">
        <f t="shared" si="26"/>
        <v>3.2516404271314601E-2</v>
      </c>
    </row>
    <row r="91" spans="2:14" x14ac:dyDescent="0.25">
      <c r="B91" s="151" t="s">
        <v>49</v>
      </c>
      <c r="C91" s="149"/>
      <c r="D91" s="149"/>
      <c r="E91" s="149"/>
      <c r="F91" s="149"/>
      <c r="G91" s="149"/>
      <c r="H91" s="150"/>
      <c r="I91" s="150"/>
      <c r="J91" s="150"/>
      <c r="K91" s="149"/>
      <c r="L91" s="167"/>
      <c r="M91" s="167"/>
      <c r="N91" s="167"/>
    </row>
    <row r="92" spans="2:14" x14ac:dyDescent="0.25">
      <c r="B92" s="152" t="s">
        <v>68</v>
      </c>
      <c r="C92" s="153">
        <v>55887</v>
      </c>
      <c r="D92" s="153">
        <v>24221</v>
      </c>
      <c r="E92" s="153">
        <v>33444</v>
      </c>
      <c r="F92" s="153">
        <v>51485</v>
      </c>
      <c r="G92" s="153">
        <v>58157</v>
      </c>
      <c r="H92" s="153">
        <v>57388</v>
      </c>
      <c r="I92" s="154">
        <f>IFERROR(H92/G92-1,"-")</f>
        <v>-1.3222827862510056E-2</v>
      </c>
      <c r="J92" s="153">
        <f>H92-G92</f>
        <v>-769</v>
      </c>
      <c r="K92" s="154">
        <f>H92/H$8</f>
        <v>1.0471727721941215E-2</v>
      </c>
      <c r="L92" s="105"/>
      <c r="M92" s="105"/>
      <c r="N92" s="105"/>
    </row>
    <row r="93" spans="2:14" x14ac:dyDescent="0.25">
      <c r="B93" s="155" t="s">
        <v>97</v>
      </c>
      <c r="C93" s="156">
        <v>37119</v>
      </c>
      <c r="D93" s="156">
        <v>16023</v>
      </c>
      <c r="E93" s="156">
        <v>21732</v>
      </c>
      <c r="F93" s="156">
        <v>33809</v>
      </c>
      <c r="G93" s="156">
        <v>37722</v>
      </c>
      <c r="H93" s="156">
        <v>35821</v>
      </c>
      <c r="I93" s="157">
        <f>IFERROR(H93/G93-1,"-")</f>
        <v>-5.0394994963151474E-2</v>
      </c>
      <c r="J93" s="156">
        <f t="shared" ref="J93:J103" si="28">H93-G93</f>
        <v>-1901</v>
      </c>
      <c r="K93" s="157">
        <f>H93/H$8</f>
        <v>6.5363448582919119E-3</v>
      </c>
    </row>
    <row r="94" spans="2:14" x14ac:dyDescent="0.25">
      <c r="B94" s="159" t="s">
        <v>103</v>
      </c>
      <c r="C94" s="160">
        <v>19153</v>
      </c>
      <c r="D94" s="160">
        <v>8684</v>
      </c>
      <c r="E94" s="160">
        <v>11001</v>
      </c>
      <c r="F94" s="160">
        <v>16289</v>
      </c>
      <c r="G94" s="160">
        <v>12024</v>
      </c>
      <c r="H94" s="160">
        <v>11877</v>
      </c>
      <c r="I94" s="161">
        <f>IFERROR(H94/G94-1,"-")</f>
        <v>-1.2225548902195627E-2</v>
      </c>
      <c r="J94" s="160">
        <f t="shared" si="28"/>
        <v>-147</v>
      </c>
      <c r="K94" s="161">
        <f>H94/H$8</f>
        <v>2.1672250322976199E-3</v>
      </c>
    </row>
    <row r="95" spans="2:14" x14ac:dyDescent="0.25">
      <c r="B95" s="159" t="s">
        <v>100</v>
      </c>
      <c r="C95" s="160">
        <v>17966</v>
      </c>
      <c r="D95" s="160">
        <v>7339</v>
      </c>
      <c r="E95" s="160">
        <v>10731</v>
      </c>
      <c r="F95" s="160">
        <v>17520</v>
      </c>
      <c r="G95" s="160">
        <v>25698</v>
      </c>
      <c r="H95" s="160">
        <v>23944</v>
      </c>
      <c r="I95" s="161">
        <f>IFERROR(H95/G95-1,"-")</f>
        <v>-6.8254338859055186E-2</v>
      </c>
      <c r="J95" s="160">
        <f t="shared" si="28"/>
        <v>-1754</v>
      </c>
      <c r="K95" s="161">
        <f>H95/H$8</f>
        <v>4.3691198259942924E-3</v>
      </c>
    </row>
    <row r="96" spans="2:14" x14ac:dyDescent="0.25">
      <c r="B96" s="155" t="s">
        <v>107</v>
      </c>
      <c r="C96" s="156">
        <v>18768</v>
      </c>
      <c r="D96" s="156">
        <v>8198</v>
      </c>
      <c r="E96" s="156">
        <v>11712</v>
      </c>
      <c r="F96" s="156">
        <v>17676</v>
      </c>
      <c r="G96" s="156">
        <v>20435</v>
      </c>
      <c r="H96" s="156">
        <v>21567</v>
      </c>
      <c r="I96" s="157">
        <f>IFERROR(H96/G96-1,"-")</f>
        <v>5.539515537068751E-2</v>
      </c>
      <c r="J96" s="156">
        <f t="shared" si="28"/>
        <v>1132</v>
      </c>
      <c r="K96" s="157">
        <f>H96/H$8</f>
        <v>3.9353828636493025E-3</v>
      </c>
    </row>
    <row r="97" spans="2:14" x14ac:dyDescent="0.25">
      <c r="B97" s="159" t="s">
        <v>110</v>
      </c>
      <c r="C97" s="160">
        <v>2421</v>
      </c>
      <c r="D97" s="160">
        <v>1288</v>
      </c>
      <c r="E97" s="160">
        <v>921</v>
      </c>
      <c r="F97" s="160">
        <v>2403</v>
      </c>
      <c r="G97" s="160">
        <v>2795</v>
      </c>
      <c r="H97" s="160">
        <v>3030</v>
      </c>
      <c r="I97" s="161">
        <f t="shared" ref="I97:I104" si="29">IFERROR(H97/G97-1,"-")</f>
        <v>8.4078711985688726E-2</v>
      </c>
      <c r="J97" s="160">
        <f t="shared" si="28"/>
        <v>235</v>
      </c>
      <c r="K97" s="161">
        <f t="shared" ref="K97:K104" si="30">H97/H$8</f>
        <v>5.5289145810068099E-4</v>
      </c>
    </row>
    <row r="98" spans="2:14" x14ac:dyDescent="0.25">
      <c r="B98" s="159" t="s">
        <v>113</v>
      </c>
      <c r="C98" s="160">
        <v>3905</v>
      </c>
      <c r="D98" s="160">
        <v>1481</v>
      </c>
      <c r="E98" s="160">
        <v>2395</v>
      </c>
      <c r="F98" s="160">
        <v>3482</v>
      </c>
      <c r="G98" s="160">
        <v>3814</v>
      </c>
      <c r="H98" s="160">
        <v>4234</v>
      </c>
      <c r="I98" s="161">
        <f t="shared" si="29"/>
        <v>0.11012060828526482</v>
      </c>
      <c r="J98" s="160">
        <f t="shared" si="28"/>
        <v>420</v>
      </c>
      <c r="K98" s="161">
        <f t="shared" si="30"/>
        <v>7.7258826191362485E-4</v>
      </c>
    </row>
    <row r="99" spans="2:14" x14ac:dyDescent="0.25">
      <c r="B99" s="159" t="s">
        <v>116</v>
      </c>
      <c r="C99" s="160">
        <v>3854</v>
      </c>
      <c r="D99" s="160">
        <v>1974</v>
      </c>
      <c r="E99" s="160">
        <v>3541</v>
      </c>
      <c r="F99" s="160">
        <v>3412</v>
      </c>
      <c r="G99" s="160">
        <v>3885</v>
      </c>
      <c r="H99" s="160">
        <v>3685</v>
      </c>
      <c r="I99" s="161">
        <f t="shared" si="29"/>
        <v>-5.1480051480051525E-2</v>
      </c>
      <c r="J99" s="160">
        <f t="shared" si="28"/>
        <v>-200</v>
      </c>
      <c r="K99" s="161">
        <f t="shared" si="30"/>
        <v>6.7241089871320446E-4</v>
      </c>
    </row>
    <row r="100" spans="2:14" x14ac:dyDescent="0.25">
      <c r="B100" s="159" t="s">
        <v>123</v>
      </c>
      <c r="C100" s="160">
        <v>699</v>
      </c>
      <c r="D100" s="160">
        <v>323</v>
      </c>
      <c r="E100" s="160">
        <v>432</v>
      </c>
      <c r="F100" s="160">
        <v>1172</v>
      </c>
      <c r="G100" s="160">
        <v>938</v>
      </c>
      <c r="H100" s="160">
        <v>933</v>
      </c>
      <c r="I100" s="161">
        <f t="shared" si="29"/>
        <v>-5.3304904051172386E-3</v>
      </c>
      <c r="J100" s="160">
        <f t="shared" si="28"/>
        <v>-5</v>
      </c>
      <c r="K100" s="161">
        <f t="shared" si="30"/>
        <v>1.7024677571218989E-4</v>
      </c>
    </row>
    <row r="101" spans="2:14" x14ac:dyDescent="0.25">
      <c r="B101" s="159" t="s">
        <v>119</v>
      </c>
      <c r="C101" s="160">
        <v>519</v>
      </c>
      <c r="D101" s="160">
        <v>351</v>
      </c>
      <c r="E101" s="160">
        <v>507</v>
      </c>
      <c r="F101" s="160">
        <v>682</v>
      </c>
      <c r="G101" s="160">
        <v>650</v>
      </c>
      <c r="H101" s="160">
        <v>903</v>
      </c>
      <c r="I101" s="161">
        <f t="shared" si="29"/>
        <v>0.38923076923076927</v>
      </c>
      <c r="J101" s="160">
        <f t="shared" si="28"/>
        <v>253</v>
      </c>
      <c r="K101" s="161">
        <f t="shared" si="30"/>
        <v>1.6477260285970789E-4</v>
      </c>
    </row>
    <row r="102" spans="2:14" x14ac:dyDescent="0.25">
      <c r="B102" s="159" t="s">
        <v>128</v>
      </c>
      <c r="C102" s="160">
        <v>155</v>
      </c>
      <c r="D102" s="160">
        <v>124</v>
      </c>
      <c r="E102" s="160">
        <v>105</v>
      </c>
      <c r="F102" s="160">
        <v>270</v>
      </c>
      <c r="G102" s="160">
        <v>153</v>
      </c>
      <c r="H102" s="160">
        <v>230</v>
      </c>
      <c r="I102" s="161">
        <f t="shared" si="29"/>
        <v>0.50326797385620914</v>
      </c>
      <c r="J102" s="160">
        <f t="shared" si="28"/>
        <v>77</v>
      </c>
      <c r="K102" s="161">
        <f t="shared" si="30"/>
        <v>4.1968658535695256E-5</v>
      </c>
    </row>
    <row r="103" spans="2:14" x14ac:dyDescent="0.25">
      <c r="B103" s="159" t="s">
        <v>131</v>
      </c>
      <c r="C103" s="160">
        <v>271</v>
      </c>
      <c r="D103" s="160">
        <v>89</v>
      </c>
      <c r="E103" s="160">
        <v>96</v>
      </c>
      <c r="F103" s="160">
        <v>168</v>
      </c>
      <c r="G103" s="160">
        <v>270</v>
      </c>
      <c r="H103" s="160">
        <v>384</v>
      </c>
      <c r="I103" s="161">
        <f t="shared" si="29"/>
        <v>0.42222222222222228</v>
      </c>
      <c r="J103" s="160">
        <f t="shared" si="28"/>
        <v>114</v>
      </c>
      <c r="K103" s="161">
        <f t="shared" si="30"/>
        <v>7.0069412511769477E-5</v>
      </c>
    </row>
    <row r="104" spans="2:14" x14ac:dyDescent="0.25">
      <c r="B104" s="164" t="s">
        <v>145</v>
      </c>
      <c r="C104" s="165">
        <f t="shared" ref="C104:H104" si="31">C96-SUM(C97:C103)</f>
        <v>6944</v>
      </c>
      <c r="D104" s="165">
        <f t="shared" si="31"/>
        <v>2568</v>
      </c>
      <c r="E104" s="165">
        <f t="shared" si="31"/>
        <v>3715</v>
      </c>
      <c r="F104" s="165">
        <f t="shared" si="31"/>
        <v>6087</v>
      </c>
      <c r="G104" s="165">
        <f t="shared" si="31"/>
        <v>7930</v>
      </c>
      <c r="H104" s="165">
        <f t="shared" si="31"/>
        <v>8168</v>
      </c>
      <c r="I104" s="166">
        <f t="shared" si="29"/>
        <v>3.0012610340479196E-2</v>
      </c>
      <c r="J104" s="165">
        <f>H104-G104</f>
        <v>238</v>
      </c>
      <c r="K104" s="166">
        <f t="shared" si="30"/>
        <v>1.4904347953024297E-3</v>
      </c>
    </row>
    <row r="105" spans="2:14" x14ac:dyDescent="0.25">
      <c r="B105" s="151" t="s">
        <v>50</v>
      </c>
      <c r="C105" s="149"/>
      <c r="D105" s="149"/>
      <c r="E105" s="149"/>
      <c r="F105" s="149"/>
      <c r="G105" s="149"/>
      <c r="H105" s="150"/>
      <c r="I105" s="150"/>
      <c r="J105" s="150"/>
      <c r="K105" s="149"/>
      <c r="L105" s="167"/>
      <c r="M105" s="167"/>
      <c r="N105" s="167"/>
    </row>
    <row r="106" spans="2:14" x14ac:dyDescent="0.25">
      <c r="B106" s="152" t="s">
        <v>68</v>
      </c>
      <c r="C106" s="153">
        <v>142901</v>
      </c>
      <c r="D106" s="153">
        <v>77467</v>
      </c>
      <c r="E106" s="153">
        <v>107459</v>
      </c>
      <c r="F106" s="153">
        <v>198873</v>
      </c>
      <c r="G106" s="153">
        <v>252588</v>
      </c>
      <c r="H106" s="153">
        <v>239146</v>
      </c>
      <c r="I106" s="154">
        <f>IFERROR(H106/G106-1,"-")</f>
        <v>-5.3217096615832848E-2</v>
      </c>
      <c r="J106" s="153">
        <f>H106-G106</f>
        <v>-13442</v>
      </c>
      <c r="K106" s="154">
        <f>H106/H$8</f>
        <v>4.3637551365988597E-2</v>
      </c>
      <c r="L106" s="105"/>
      <c r="M106" s="105"/>
      <c r="N106" s="105"/>
    </row>
    <row r="107" spans="2:14" x14ac:dyDescent="0.25">
      <c r="B107" s="155" t="s">
        <v>97</v>
      </c>
      <c r="C107" s="156">
        <v>31009</v>
      </c>
      <c r="D107" s="156">
        <v>30584</v>
      </c>
      <c r="E107" s="156">
        <v>44398</v>
      </c>
      <c r="F107" s="156">
        <v>48630</v>
      </c>
      <c r="G107" s="156">
        <v>55684</v>
      </c>
      <c r="H107" s="156">
        <v>49807</v>
      </c>
      <c r="I107" s="157">
        <f>IFERROR(H107/G107-1,"-")</f>
        <v>-0.10554198692622652</v>
      </c>
      <c r="J107" s="156">
        <f t="shared" ref="J107:J117" si="32">H107-G107</f>
        <v>-5877</v>
      </c>
      <c r="K107" s="157">
        <f>H107/H$8</f>
        <v>9.0884042421190154E-3</v>
      </c>
    </row>
    <row r="108" spans="2:14" x14ac:dyDescent="0.25">
      <c r="B108" s="159" t="s">
        <v>103</v>
      </c>
      <c r="C108" s="160">
        <v>11886</v>
      </c>
      <c r="D108" s="160">
        <v>4963</v>
      </c>
      <c r="E108" s="160">
        <v>24120</v>
      </c>
      <c r="F108" s="160">
        <v>16359</v>
      </c>
      <c r="G108" s="160">
        <v>19520</v>
      </c>
      <c r="H108" s="160">
        <v>16099</v>
      </c>
      <c r="I108" s="161">
        <f>IFERROR(H108/G108-1,"-")</f>
        <v>-0.17525614754098362</v>
      </c>
      <c r="J108" s="160">
        <f t="shared" si="32"/>
        <v>-3421</v>
      </c>
      <c r="K108" s="161">
        <f>H108/H$8</f>
        <v>2.937623625070252E-3</v>
      </c>
    </row>
    <row r="109" spans="2:14" x14ac:dyDescent="0.25">
      <c r="B109" s="159" t="s">
        <v>100</v>
      </c>
      <c r="C109" s="160">
        <v>19123</v>
      </c>
      <c r="D109" s="160">
        <v>25621</v>
      </c>
      <c r="E109" s="160">
        <v>20278</v>
      </c>
      <c r="F109" s="160">
        <v>32271</v>
      </c>
      <c r="G109" s="160">
        <v>36164</v>
      </c>
      <c r="H109" s="160">
        <v>33708</v>
      </c>
      <c r="I109" s="161">
        <f>IFERROR(H109/G109-1,"-")</f>
        <v>-6.791284149983412E-2</v>
      </c>
      <c r="J109" s="160">
        <f t="shared" si="32"/>
        <v>-2456</v>
      </c>
      <c r="K109" s="161">
        <f>H109/H$8</f>
        <v>6.1507806170487643E-3</v>
      </c>
    </row>
    <row r="110" spans="2:14" x14ac:dyDescent="0.25">
      <c r="B110" s="155" t="s">
        <v>107</v>
      </c>
      <c r="C110" s="156">
        <v>111892</v>
      </c>
      <c r="D110" s="156">
        <v>46883</v>
      </c>
      <c r="E110" s="156">
        <v>63061</v>
      </c>
      <c r="F110" s="156">
        <v>150243</v>
      </c>
      <c r="G110" s="156">
        <v>196904</v>
      </c>
      <c r="H110" s="156">
        <v>189339</v>
      </c>
      <c r="I110" s="157">
        <f>IFERROR(H110/G110-1,"-")</f>
        <v>-3.841973753707395E-2</v>
      </c>
      <c r="J110" s="156">
        <f t="shared" si="32"/>
        <v>-7565</v>
      </c>
      <c r="K110" s="157">
        <f>H110/H$8</f>
        <v>3.4549147123869584E-2</v>
      </c>
    </row>
    <row r="111" spans="2:14" x14ac:dyDescent="0.25">
      <c r="B111" s="159" t="s">
        <v>110</v>
      </c>
      <c r="C111" s="160">
        <v>61414</v>
      </c>
      <c r="D111" s="160">
        <v>26382</v>
      </c>
      <c r="E111" s="160">
        <v>26812</v>
      </c>
      <c r="F111" s="160">
        <v>90804</v>
      </c>
      <c r="G111" s="160">
        <v>128108</v>
      </c>
      <c r="H111" s="160">
        <v>116734</v>
      </c>
      <c r="I111" s="161">
        <f t="shared" ref="I111:I118" si="33">IFERROR(H111/G111-1,"-")</f>
        <v>-8.8784463109251588E-2</v>
      </c>
      <c r="J111" s="160">
        <f t="shared" si="32"/>
        <v>-11374</v>
      </c>
      <c r="K111" s="161">
        <f t="shared" ref="K111:K118" si="34">H111/H$8</f>
        <v>2.1300736458721086E-2</v>
      </c>
    </row>
    <row r="112" spans="2:14" x14ac:dyDescent="0.25">
      <c r="B112" s="159" t="s">
        <v>113</v>
      </c>
      <c r="C112" s="160">
        <v>9783</v>
      </c>
      <c r="D112" s="160">
        <v>3197</v>
      </c>
      <c r="E112" s="160">
        <v>7197</v>
      </c>
      <c r="F112" s="160">
        <v>6944</v>
      </c>
      <c r="G112" s="160">
        <v>8880</v>
      </c>
      <c r="H112" s="160">
        <v>8516</v>
      </c>
      <c r="I112" s="161">
        <f t="shared" si="33"/>
        <v>-4.0990990990991016E-2</v>
      </c>
      <c r="J112" s="160">
        <f t="shared" si="32"/>
        <v>-364</v>
      </c>
      <c r="K112" s="161">
        <f t="shared" si="34"/>
        <v>1.553935200391221E-3</v>
      </c>
    </row>
    <row r="113" spans="2:14" x14ac:dyDescent="0.25">
      <c r="B113" s="159" t="s">
        <v>116</v>
      </c>
      <c r="C113" s="160">
        <v>11371</v>
      </c>
      <c r="D113" s="160">
        <v>2498</v>
      </c>
      <c r="E113" s="160">
        <v>6746</v>
      </c>
      <c r="F113" s="160">
        <v>9830</v>
      </c>
      <c r="G113" s="160">
        <v>13414</v>
      </c>
      <c r="H113" s="160">
        <v>14245</v>
      </c>
      <c r="I113" s="161">
        <f t="shared" si="33"/>
        <v>6.1950201282242379E-2</v>
      </c>
      <c r="J113" s="160">
        <f t="shared" si="32"/>
        <v>831</v>
      </c>
      <c r="K113" s="161">
        <f t="shared" si="34"/>
        <v>2.5993197427868651E-3</v>
      </c>
    </row>
    <row r="114" spans="2:14" x14ac:dyDescent="0.25">
      <c r="B114" s="159" t="s">
        <v>123</v>
      </c>
      <c r="C114" s="160">
        <v>2496</v>
      </c>
      <c r="D114" s="160">
        <v>1300</v>
      </c>
      <c r="E114" s="160">
        <v>3663</v>
      </c>
      <c r="F114" s="160">
        <v>6290</v>
      </c>
      <c r="G114" s="160">
        <v>6514</v>
      </c>
      <c r="H114" s="160">
        <v>6482</v>
      </c>
      <c r="I114" s="161">
        <f t="shared" si="33"/>
        <v>-4.912496162112423E-3</v>
      </c>
      <c r="J114" s="160">
        <f t="shared" si="32"/>
        <v>-32</v>
      </c>
      <c r="K114" s="161">
        <f t="shared" si="34"/>
        <v>1.1827862809929419E-3</v>
      </c>
    </row>
    <row r="115" spans="2:14" x14ac:dyDescent="0.25">
      <c r="B115" s="159" t="s">
        <v>119</v>
      </c>
      <c r="C115" s="160">
        <v>3749</v>
      </c>
      <c r="D115" s="160">
        <v>2838</v>
      </c>
      <c r="E115" s="160">
        <v>4368</v>
      </c>
      <c r="F115" s="160">
        <v>4750</v>
      </c>
      <c r="G115" s="160">
        <v>5340</v>
      </c>
      <c r="H115" s="160">
        <v>5146</v>
      </c>
      <c r="I115" s="161">
        <f t="shared" si="33"/>
        <v>-3.6329588014981318E-2</v>
      </c>
      <c r="J115" s="160">
        <f t="shared" si="32"/>
        <v>-194</v>
      </c>
      <c r="K115" s="161">
        <f t="shared" si="34"/>
        <v>9.3900311662907738E-4</v>
      </c>
    </row>
    <row r="116" spans="2:14" x14ac:dyDescent="0.25">
      <c r="B116" s="159" t="s">
        <v>128</v>
      </c>
      <c r="C116" s="160">
        <v>826</v>
      </c>
      <c r="D116" s="160">
        <v>406</v>
      </c>
      <c r="E116" s="160">
        <v>369</v>
      </c>
      <c r="F116" s="160">
        <v>1261</v>
      </c>
      <c r="G116" s="160">
        <v>1457</v>
      </c>
      <c r="H116" s="160">
        <v>1177</v>
      </c>
      <c r="I116" s="161">
        <f t="shared" si="33"/>
        <v>-0.19217570350034319</v>
      </c>
      <c r="J116" s="160">
        <f t="shared" si="32"/>
        <v>-280</v>
      </c>
      <c r="K116" s="161">
        <f t="shared" si="34"/>
        <v>2.1477004824571009E-4</v>
      </c>
    </row>
    <row r="117" spans="2:14" x14ac:dyDescent="0.25">
      <c r="B117" s="159" t="s">
        <v>131</v>
      </c>
      <c r="C117" s="160">
        <v>1664</v>
      </c>
      <c r="D117" s="160">
        <v>932</v>
      </c>
      <c r="E117" s="160">
        <v>521</v>
      </c>
      <c r="F117" s="160">
        <v>980</v>
      </c>
      <c r="G117" s="160">
        <v>944</v>
      </c>
      <c r="H117" s="160">
        <v>1508</v>
      </c>
      <c r="I117" s="161">
        <f t="shared" si="33"/>
        <v>0.59745762711864403</v>
      </c>
      <c r="J117" s="160">
        <f t="shared" si="32"/>
        <v>564</v>
      </c>
      <c r="K117" s="161">
        <f t="shared" si="34"/>
        <v>2.7516842205142805E-4</v>
      </c>
    </row>
    <row r="118" spans="2:14" x14ac:dyDescent="0.25">
      <c r="B118" s="164" t="s">
        <v>145</v>
      </c>
      <c r="C118" s="165">
        <f t="shared" ref="C118:H118" si="35">C110-SUM(C111:C117)</f>
        <v>20589</v>
      </c>
      <c r="D118" s="165">
        <f t="shared" si="35"/>
        <v>9330</v>
      </c>
      <c r="E118" s="165">
        <f t="shared" si="35"/>
        <v>13385</v>
      </c>
      <c r="F118" s="165">
        <f t="shared" si="35"/>
        <v>29384</v>
      </c>
      <c r="G118" s="165">
        <f t="shared" si="35"/>
        <v>32247</v>
      </c>
      <c r="H118" s="165">
        <f t="shared" si="35"/>
        <v>35531</v>
      </c>
      <c r="I118" s="166">
        <f t="shared" si="33"/>
        <v>0.10183893075324835</v>
      </c>
      <c r="J118" s="165">
        <f>H118-G118</f>
        <v>3284</v>
      </c>
      <c r="K118" s="166">
        <f t="shared" si="34"/>
        <v>6.4834278540512533E-3</v>
      </c>
    </row>
    <row r="119" spans="2:14" x14ac:dyDescent="0.25">
      <c r="B119" s="151" t="s">
        <v>51</v>
      </c>
      <c r="C119" s="149"/>
      <c r="D119" s="149"/>
      <c r="E119" s="149"/>
      <c r="F119" s="149"/>
      <c r="G119" s="149"/>
      <c r="H119" s="150"/>
      <c r="I119" s="150"/>
      <c r="J119" s="150"/>
      <c r="K119" s="149"/>
      <c r="L119" s="167"/>
      <c r="M119" s="167"/>
      <c r="N119" s="167"/>
    </row>
    <row r="120" spans="2:14" x14ac:dyDescent="0.25">
      <c r="B120" s="152" t="s">
        <v>68</v>
      </c>
      <c r="C120" s="153">
        <v>220415</v>
      </c>
      <c r="D120" s="153">
        <v>103516</v>
      </c>
      <c r="E120" s="153">
        <v>164258</v>
      </c>
      <c r="F120" s="153">
        <v>229131</v>
      </c>
      <c r="G120" s="153">
        <v>239109</v>
      </c>
      <c r="H120" s="153">
        <v>250871</v>
      </c>
      <c r="I120" s="154">
        <f>IFERROR(H120/G120-1,"-")</f>
        <v>4.9190954752853289E-2</v>
      </c>
      <c r="J120" s="153">
        <f>H120-G120</f>
        <v>11762</v>
      </c>
      <c r="K120" s="154">
        <f>H120/H$8</f>
        <v>4.5777040589166977E-2</v>
      </c>
      <c r="L120" s="105"/>
      <c r="M120" s="105"/>
      <c r="N120" s="105"/>
    </row>
    <row r="121" spans="2:14" x14ac:dyDescent="0.25">
      <c r="B121" s="155" t="s">
        <v>97</v>
      </c>
      <c r="C121" s="156">
        <v>120142</v>
      </c>
      <c r="D121" s="156">
        <v>61571</v>
      </c>
      <c r="E121" s="156">
        <v>104557</v>
      </c>
      <c r="F121" s="156">
        <v>134886</v>
      </c>
      <c r="G121" s="156">
        <v>146430</v>
      </c>
      <c r="H121" s="156">
        <v>156566</v>
      </c>
      <c r="I121" s="157">
        <f>IFERROR(H121/G121-1,"-")</f>
        <v>6.9220788089872309E-2</v>
      </c>
      <c r="J121" s="156">
        <f t="shared" ref="J121:J131" si="36">H121-G121</f>
        <v>10136</v>
      </c>
      <c r="K121" s="157">
        <f>H121/H$8</f>
        <v>2.8568978227389841E-2</v>
      </c>
    </row>
    <row r="122" spans="2:14" x14ac:dyDescent="0.25">
      <c r="B122" s="159" t="s">
        <v>103</v>
      </c>
      <c r="C122" s="160">
        <v>61076</v>
      </c>
      <c r="D122" s="160">
        <v>27791</v>
      </c>
      <c r="E122" s="160">
        <v>53247</v>
      </c>
      <c r="F122" s="160">
        <v>69865</v>
      </c>
      <c r="G122" s="160">
        <v>66121</v>
      </c>
      <c r="H122" s="160">
        <v>75793</v>
      </c>
      <c r="I122" s="161">
        <f>IFERROR(H122/G122-1,"-")</f>
        <v>0.14627727953297742</v>
      </c>
      <c r="J122" s="160">
        <f t="shared" si="36"/>
        <v>9672</v>
      </c>
      <c r="K122" s="161">
        <f>H122/H$8</f>
        <v>1.3830132766938915E-2</v>
      </c>
    </row>
    <row r="123" spans="2:14" x14ac:dyDescent="0.25">
      <c r="B123" s="159" t="s">
        <v>100</v>
      </c>
      <c r="C123" s="160">
        <v>59066</v>
      </c>
      <c r="D123" s="160">
        <v>33780</v>
      </c>
      <c r="E123" s="160">
        <v>51310</v>
      </c>
      <c r="F123" s="160">
        <v>65021</v>
      </c>
      <c r="G123" s="160">
        <v>80309</v>
      </c>
      <c r="H123" s="160">
        <v>80773</v>
      </c>
      <c r="I123" s="161">
        <f>IFERROR(H123/G123-1,"-")</f>
        <v>5.7776836967213807E-3</v>
      </c>
      <c r="J123" s="160">
        <f t="shared" si="36"/>
        <v>464</v>
      </c>
      <c r="K123" s="161">
        <f>H123/H$8</f>
        <v>1.4738845460450926E-2</v>
      </c>
    </row>
    <row r="124" spans="2:14" x14ac:dyDescent="0.25">
      <c r="B124" s="155" t="s">
        <v>107</v>
      </c>
      <c r="C124" s="156">
        <v>100273</v>
      </c>
      <c r="D124" s="156">
        <v>41945</v>
      </c>
      <c r="E124" s="156">
        <v>59701</v>
      </c>
      <c r="F124" s="156">
        <v>94245</v>
      </c>
      <c r="G124" s="156">
        <v>92679</v>
      </c>
      <c r="H124" s="156">
        <v>94305</v>
      </c>
      <c r="I124" s="157">
        <f>IFERROR(H124/G124-1,"-")</f>
        <v>1.7544427540219454E-2</v>
      </c>
      <c r="J124" s="156">
        <f t="shared" si="36"/>
        <v>1626</v>
      </c>
      <c r="K124" s="157">
        <f>H124/H$8</f>
        <v>1.7208062361777136E-2</v>
      </c>
    </row>
    <row r="125" spans="2:14" x14ac:dyDescent="0.25">
      <c r="B125" s="159" t="s">
        <v>110</v>
      </c>
      <c r="C125" s="160">
        <v>10460</v>
      </c>
      <c r="D125" s="160">
        <v>3941</v>
      </c>
      <c r="E125" s="160">
        <v>3336</v>
      </c>
      <c r="F125" s="160">
        <v>9917</v>
      </c>
      <c r="G125" s="160">
        <v>11646</v>
      </c>
      <c r="H125" s="160">
        <v>10656</v>
      </c>
      <c r="I125" s="161">
        <f t="shared" ref="I125:I132" si="37">IFERROR(H125/G125-1,"-")</f>
        <v>-8.5007727975270453E-2</v>
      </c>
      <c r="J125" s="160">
        <f t="shared" si="36"/>
        <v>-990</v>
      </c>
      <c r="K125" s="161">
        <f t="shared" ref="K125:K132" si="38">H125/H$8</f>
        <v>1.9444261972016029E-3</v>
      </c>
    </row>
    <row r="126" spans="2:14" x14ac:dyDescent="0.25">
      <c r="B126" s="159" t="s">
        <v>113</v>
      </c>
      <c r="C126" s="160">
        <v>9550</v>
      </c>
      <c r="D126" s="160">
        <v>4053</v>
      </c>
      <c r="E126" s="160">
        <v>7314</v>
      </c>
      <c r="F126" s="160">
        <v>11261</v>
      </c>
      <c r="G126" s="160">
        <v>13316</v>
      </c>
      <c r="H126" s="160">
        <v>13127</v>
      </c>
      <c r="I126" s="161">
        <f t="shared" si="37"/>
        <v>-1.4193451486932962E-2</v>
      </c>
      <c r="J126" s="160">
        <f t="shared" si="36"/>
        <v>-189</v>
      </c>
      <c r="K126" s="161">
        <f t="shared" si="38"/>
        <v>2.3953155678177029E-3</v>
      </c>
    </row>
    <row r="127" spans="2:14" x14ac:dyDescent="0.25">
      <c r="B127" s="159" t="s">
        <v>116</v>
      </c>
      <c r="C127" s="160">
        <v>6709</v>
      </c>
      <c r="D127" s="160">
        <v>2906</v>
      </c>
      <c r="E127" s="160">
        <v>7134</v>
      </c>
      <c r="F127" s="160">
        <v>8524</v>
      </c>
      <c r="G127" s="160">
        <v>8756</v>
      </c>
      <c r="H127" s="160">
        <v>8567</v>
      </c>
      <c r="I127" s="161">
        <f t="shared" si="37"/>
        <v>-2.1585198720877163E-2</v>
      </c>
      <c r="J127" s="160">
        <f t="shared" si="36"/>
        <v>-189</v>
      </c>
      <c r="K127" s="161">
        <f t="shared" si="38"/>
        <v>1.5632412942404403E-3</v>
      </c>
    </row>
    <row r="128" spans="2:14" x14ac:dyDescent="0.25">
      <c r="B128" s="159" t="s">
        <v>123</v>
      </c>
      <c r="C128" s="160">
        <v>1866</v>
      </c>
      <c r="D128" s="160">
        <v>784</v>
      </c>
      <c r="E128" s="160">
        <v>1333</v>
      </c>
      <c r="F128" s="160">
        <v>2573</v>
      </c>
      <c r="G128" s="160">
        <v>2637</v>
      </c>
      <c r="H128" s="160">
        <v>2356</v>
      </c>
      <c r="I128" s="161">
        <f t="shared" si="37"/>
        <v>-0.10656048540007579</v>
      </c>
      <c r="J128" s="160">
        <f t="shared" si="36"/>
        <v>-281</v>
      </c>
      <c r="K128" s="161">
        <f t="shared" si="38"/>
        <v>4.2990504134825225E-4</v>
      </c>
    </row>
    <row r="129" spans="2:14" x14ac:dyDescent="0.25">
      <c r="B129" s="159" t="s">
        <v>119</v>
      </c>
      <c r="C129" s="160">
        <v>1484</v>
      </c>
      <c r="D129" s="160">
        <v>812</v>
      </c>
      <c r="E129" s="160">
        <v>1357</v>
      </c>
      <c r="F129" s="160">
        <v>1836</v>
      </c>
      <c r="G129" s="160">
        <v>1934</v>
      </c>
      <c r="H129" s="160">
        <v>2091</v>
      </c>
      <c r="I129" s="161">
        <f t="shared" si="37"/>
        <v>8.1178903826266913E-2</v>
      </c>
      <c r="J129" s="160">
        <f t="shared" si="36"/>
        <v>157</v>
      </c>
      <c r="K129" s="161">
        <f t="shared" si="38"/>
        <v>3.815498478179947E-4</v>
      </c>
    </row>
    <row r="130" spans="2:14" x14ac:dyDescent="0.25">
      <c r="B130" s="159" t="s">
        <v>128</v>
      </c>
      <c r="C130" s="160">
        <v>1623</v>
      </c>
      <c r="D130" s="160">
        <v>678</v>
      </c>
      <c r="E130" s="160">
        <v>555</v>
      </c>
      <c r="F130" s="160">
        <v>1075</v>
      </c>
      <c r="G130" s="160">
        <v>1341</v>
      </c>
      <c r="H130" s="160">
        <v>1334</v>
      </c>
      <c r="I130" s="161">
        <f t="shared" si="37"/>
        <v>-5.2199850857569396E-3</v>
      </c>
      <c r="J130" s="160">
        <f t="shared" si="36"/>
        <v>-7</v>
      </c>
      <c r="K130" s="161">
        <f t="shared" si="38"/>
        <v>2.434182195070325E-4</v>
      </c>
    </row>
    <row r="131" spans="2:14" x14ac:dyDescent="0.25">
      <c r="B131" s="159" t="s">
        <v>131</v>
      </c>
      <c r="C131" s="160">
        <v>2681</v>
      </c>
      <c r="D131" s="160">
        <v>1097</v>
      </c>
      <c r="E131" s="160">
        <v>919</v>
      </c>
      <c r="F131" s="160">
        <v>1885</v>
      </c>
      <c r="G131" s="160">
        <v>2455</v>
      </c>
      <c r="H131" s="160">
        <v>2493</v>
      </c>
      <c r="I131" s="161">
        <f t="shared" si="37"/>
        <v>1.5478615071283119E-2</v>
      </c>
      <c r="J131" s="160">
        <f t="shared" si="36"/>
        <v>38</v>
      </c>
      <c r="K131" s="161">
        <f t="shared" si="38"/>
        <v>4.5490376404125338E-4</v>
      </c>
    </row>
    <row r="132" spans="2:14" x14ac:dyDescent="0.25">
      <c r="B132" s="164" t="s">
        <v>145</v>
      </c>
      <c r="C132" s="165">
        <f t="shared" ref="C132:H132" si="39">C124-SUM(C125:C131)</f>
        <v>65900</v>
      </c>
      <c r="D132" s="165">
        <f t="shared" si="39"/>
        <v>27674</v>
      </c>
      <c r="E132" s="165">
        <f t="shared" si="39"/>
        <v>37753</v>
      </c>
      <c r="F132" s="165">
        <f t="shared" si="39"/>
        <v>57174</v>
      </c>
      <c r="G132" s="165">
        <f t="shared" si="39"/>
        <v>50594</v>
      </c>
      <c r="H132" s="165">
        <f t="shared" si="39"/>
        <v>53681</v>
      </c>
      <c r="I132" s="166">
        <f t="shared" si="37"/>
        <v>6.1015140135193935E-2</v>
      </c>
      <c r="J132" s="165">
        <f>H132-G132</f>
        <v>3087</v>
      </c>
      <c r="K132" s="166">
        <f t="shared" si="38"/>
        <v>9.795302429802857E-3</v>
      </c>
    </row>
    <row r="133" spans="2:14" x14ac:dyDescent="0.25">
      <c r="B133" s="151" t="s">
        <v>52</v>
      </c>
      <c r="C133" s="149"/>
      <c r="D133" s="149"/>
      <c r="E133" s="149"/>
      <c r="F133" s="149"/>
      <c r="G133" s="149"/>
      <c r="H133" s="150"/>
      <c r="I133" s="150"/>
      <c r="J133" s="150"/>
      <c r="K133" s="149"/>
      <c r="L133" s="167"/>
      <c r="M133" s="167"/>
      <c r="N133" s="167"/>
    </row>
    <row r="134" spans="2:14" x14ac:dyDescent="0.25">
      <c r="B134" s="152" t="s">
        <v>68</v>
      </c>
      <c r="C134" s="153">
        <v>250224</v>
      </c>
      <c r="D134" s="153">
        <v>96681</v>
      </c>
      <c r="E134" s="153">
        <v>140346</v>
      </c>
      <c r="F134" s="153">
        <v>257117</v>
      </c>
      <c r="G134" s="153">
        <v>278594</v>
      </c>
      <c r="H134" s="153">
        <v>287810</v>
      </c>
      <c r="I134" s="154">
        <f>IFERROR(H134/G134-1,"-")</f>
        <v>3.3080396562739978E-2</v>
      </c>
      <c r="J134" s="153">
        <f>H134-G134</f>
        <v>9216</v>
      </c>
      <c r="K134" s="154">
        <f>H134/H$8</f>
        <v>5.2517389622428051E-2</v>
      </c>
      <c r="L134" s="105"/>
      <c r="M134" s="105"/>
      <c r="N134" s="105"/>
    </row>
    <row r="135" spans="2:14" x14ac:dyDescent="0.25">
      <c r="B135" s="155" t="s">
        <v>97</v>
      </c>
      <c r="C135" s="156">
        <v>45577</v>
      </c>
      <c r="D135" s="156">
        <v>26839</v>
      </c>
      <c r="E135" s="156">
        <v>45216</v>
      </c>
      <c r="F135" s="156">
        <v>29061</v>
      </c>
      <c r="G135" s="156">
        <v>32018</v>
      </c>
      <c r="H135" s="156">
        <v>29188</v>
      </c>
      <c r="I135" s="157">
        <f>IFERROR(H135/G135-1,"-")</f>
        <v>-8.838778187269658E-2</v>
      </c>
      <c r="J135" s="156">
        <f t="shared" ref="J135:J145" si="40">H135-G135</f>
        <v>-2830</v>
      </c>
      <c r="K135" s="157">
        <f>H135/H$8</f>
        <v>5.3260052406081445E-3</v>
      </c>
    </row>
    <row r="136" spans="2:14" x14ac:dyDescent="0.25">
      <c r="B136" s="159" t="s">
        <v>103</v>
      </c>
      <c r="C136" s="160">
        <v>24890</v>
      </c>
      <c r="D136" s="160">
        <v>20058</v>
      </c>
      <c r="E136" s="160">
        <v>34195</v>
      </c>
      <c r="F136" s="160">
        <v>19943</v>
      </c>
      <c r="G136" s="160">
        <v>20738</v>
      </c>
      <c r="H136" s="160">
        <v>18376</v>
      </c>
      <c r="I136" s="161">
        <f>IFERROR(H136/G136-1,"-")</f>
        <v>-0.1138971935577201</v>
      </c>
      <c r="J136" s="160">
        <f t="shared" si="40"/>
        <v>-2362</v>
      </c>
      <c r="K136" s="161">
        <f>H136/H$8</f>
        <v>3.3531133445736348E-3</v>
      </c>
    </row>
    <row r="137" spans="2:14" x14ac:dyDescent="0.25">
      <c r="B137" s="159" t="s">
        <v>100</v>
      </c>
      <c r="C137" s="160">
        <v>20687</v>
      </c>
      <c r="D137" s="160">
        <v>6781</v>
      </c>
      <c r="E137" s="160">
        <v>11021</v>
      </c>
      <c r="F137" s="160">
        <v>9118</v>
      </c>
      <c r="G137" s="160">
        <v>11280</v>
      </c>
      <c r="H137" s="160">
        <v>10812</v>
      </c>
      <c r="I137" s="161">
        <f>IFERROR(H137/G137-1,"-")</f>
        <v>-4.1489361702127692E-2</v>
      </c>
      <c r="J137" s="160">
        <f t="shared" si="40"/>
        <v>-468</v>
      </c>
      <c r="K137" s="161">
        <f>H137/H$8</f>
        <v>1.9728918960345092E-3</v>
      </c>
    </row>
    <row r="138" spans="2:14" x14ac:dyDescent="0.25">
      <c r="B138" s="155" t="s">
        <v>107</v>
      </c>
      <c r="C138" s="156">
        <v>204647</v>
      </c>
      <c r="D138" s="156">
        <v>69842</v>
      </c>
      <c r="E138" s="156">
        <v>95130</v>
      </c>
      <c r="F138" s="156">
        <v>228056</v>
      </c>
      <c r="G138" s="156">
        <v>246576</v>
      </c>
      <c r="H138" s="156">
        <v>258622</v>
      </c>
      <c r="I138" s="157">
        <f>IFERROR(H138/G138-1,"-")</f>
        <v>4.8853091947310467E-2</v>
      </c>
      <c r="J138" s="156">
        <f t="shared" si="40"/>
        <v>12046</v>
      </c>
      <c r="K138" s="157">
        <f>H138/H$8</f>
        <v>4.7191384381819905E-2</v>
      </c>
    </row>
    <row r="139" spans="2:14" x14ac:dyDescent="0.25">
      <c r="B139" s="159" t="s">
        <v>110</v>
      </c>
      <c r="C139" s="160">
        <v>100583</v>
      </c>
      <c r="D139" s="160">
        <v>26093</v>
      </c>
      <c r="E139" s="160">
        <v>26467</v>
      </c>
      <c r="F139" s="160">
        <v>96562</v>
      </c>
      <c r="G139" s="160">
        <v>105830</v>
      </c>
      <c r="H139" s="160">
        <v>116159</v>
      </c>
      <c r="I139" s="161">
        <f t="shared" ref="I139:I146" si="41">IFERROR(H139/G139-1,"-")</f>
        <v>9.7599924407067995E-2</v>
      </c>
      <c r="J139" s="160">
        <f t="shared" si="40"/>
        <v>10329</v>
      </c>
      <c r="K139" s="161">
        <f t="shared" ref="K139:K146" si="42">H139/H$8</f>
        <v>2.119581481238185E-2</v>
      </c>
    </row>
    <row r="140" spans="2:14" x14ac:dyDescent="0.25">
      <c r="B140" s="159" t="s">
        <v>113</v>
      </c>
      <c r="C140" s="160">
        <v>15093</v>
      </c>
      <c r="D140" s="160">
        <v>6042</v>
      </c>
      <c r="E140" s="160">
        <v>9298</v>
      </c>
      <c r="F140" s="160">
        <v>16587</v>
      </c>
      <c r="G140" s="160">
        <v>20785</v>
      </c>
      <c r="H140" s="160">
        <v>21459</v>
      </c>
      <c r="I140" s="161">
        <f t="shared" si="41"/>
        <v>3.2427231176329174E-2</v>
      </c>
      <c r="J140" s="160">
        <f t="shared" si="40"/>
        <v>674</v>
      </c>
      <c r="K140" s="161">
        <f t="shared" si="42"/>
        <v>3.9156758413803677E-3</v>
      </c>
    </row>
    <row r="141" spans="2:14" x14ac:dyDescent="0.25">
      <c r="B141" s="159" t="s">
        <v>116</v>
      </c>
      <c r="C141" s="160">
        <v>19622</v>
      </c>
      <c r="D141" s="160">
        <v>6586</v>
      </c>
      <c r="E141" s="160">
        <v>15246</v>
      </c>
      <c r="F141" s="160">
        <v>26940</v>
      </c>
      <c r="G141" s="160">
        <v>25089</v>
      </c>
      <c r="H141" s="160">
        <v>24579</v>
      </c>
      <c r="I141" s="161">
        <f t="shared" si="41"/>
        <v>-2.0327633624297459E-2</v>
      </c>
      <c r="J141" s="160">
        <f t="shared" si="40"/>
        <v>-510</v>
      </c>
      <c r="K141" s="161">
        <f t="shared" si="42"/>
        <v>4.4849898180384946E-3</v>
      </c>
    </row>
    <row r="142" spans="2:14" x14ac:dyDescent="0.25">
      <c r="B142" s="159" t="s">
        <v>123</v>
      </c>
      <c r="C142" s="160">
        <v>3955</v>
      </c>
      <c r="D142" s="160">
        <v>1273</v>
      </c>
      <c r="E142" s="160">
        <v>4366</v>
      </c>
      <c r="F142" s="160">
        <v>9965</v>
      </c>
      <c r="G142" s="160">
        <v>8878</v>
      </c>
      <c r="H142" s="160">
        <v>6534</v>
      </c>
      <c r="I142" s="161">
        <f t="shared" si="41"/>
        <v>-0.26402342870015771</v>
      </c>
      <c r="J142" s="160">
        <f t="shared" si="40"/>
        <v>-2344</v>
      </c>
      <c r="K142" s="161">
        <f t="shared" si="42"/>
        <v>1.1922748472705774E-3</v>
      </c>
    </row>
    <row r="143" spans="2:14" x14ac:dyDescent="0.25">
      <c r="B143" s="159" t="s">
        <v>119</v>
      </c>
      <c r="C143" s="160">
        <v>4225</v>
      </c>
      <c r="D143" s="160">
        <v>1935</v>
      </c>
      <c r="E143" s="160">
        <v>3344</v>
      </c>
      <c r="F143" s="160">
        <v>4569</v>
      </c>
      <c r="G143" s="160">
        <v>5490</v>
      </c>
      <c r="H143" s="160">
        <v>5563</v>
      </c>
      <c r="I143" s="161">
        <f t="shared" si="41"/>
        <v>1.3296903460837894E-2</v>
      </c>
      <c r="J143" s="160">
        <f t="shared" si="40"/>
        <v>73</v>
      </c>
      <c r="K143" s="161">
        <f t="shared" si="42"/>
        <v>1.0150941192785771E-3</v>
      </c>
    </row>
    <row r="144" spans="2:14" x14ac:dyDescent="0.25">
      <c r="B144" s="159" t="s">
        <v>128</v>
      </c>
      <c r="C144" s="160">
        <v>2428</v>
      </c>
      <c r="D144" s="160">
        <v>1979</v>
      </c>
      <c r="E144" s="160">
        <v>1422</v>
      </c>
      <c r="F144" s="160">
        <v>3324</v>
      </c>
      <c r="G144" s="160">
        <v>3691</v>
      </c>
      <c r="H144" s="160">
        <v>3402</v>
      </c>
      <c r="I144" s="161">
        <f t="shared" si="41"/>
        <v>-7.8298564074776533E-2</v>
      </c>
      <c r="J144" s="160">
        <f t="shared" si="40"/>
        <v>-289</v>
      </c>
      <c r="K144" s="161">
        <f t="shared" si="42"/>
        <v>6.2077120147145768E-4</v>
      </c>
    </row>
    <row r="145" spans="2:14" x14ac:dyDescent="0.25">
      <c r="B145" s="159" t="s">
        <v>131</v>
      </c>
      <c r="C145" s="160">
        <v>6221</v>
      </c>
      <c r="D145" s="160">
        <v>4050</v>
      </c>
      <c r="E145" s="160">
        <v>947</v>
      </c>
      <c r="F145" s="160">
        <v>2079</v>
      </c>
      <c r="G145" s="160">
        <v>2885</v>
      </c>
      <c r="H145" s="160">
        <v>2731</v>
      </c>
      <c r="I145" s="161">
        <f t="shared" si="41"/>
        <v>-5.3379549393414161E-2</v>
      </c>
      <c r="J145" s="160">
        <f t="shared" si="40"/>
        <v>-154</v>
      </c>
      <c r="K145" s="161">
        <f t="shared" si="42"/>
        <v>4.9833220200427711E-4</v>
      </c>
    </row>
    <row r="146" spans="2:14" x14ac:dyDescent="0.25">
      <c r="B146" s="164" t="s">
        <v>145</v>
      </c>
      <c r="C146" s="165">
        <f t="shared" ref="C146:H146" si="43">C138-SUM(C139:C145)</f>
        <v>52520</v>
      </c>
      <c r="D146" s="165">
        <f t="shared" si="43"/>
        <v>21884</v>
      </c>
      <c r="E146" s="165">
        <f t="shared" si="43"/>
        <v>34040</v>
      </c>
      <c r="F146" s="165">
        <f t="shared" si="43"/>
        <v>68030</v>
      </c>
      <c r="G146" s="165">
        <f t="shared" si="43"/>
        <v>73928</v>
      </c>
      <c r="H146" s="165">
        <f t="shared" si="43"/>
        <v>78195</v>
      </c>
      <c r="I146" s="166">
        <f t="shared" si="41"/>
        <v>5.7718320528081346E-2</v>
      </c>
      <c r="J146" s="165">
        <f>H146-G146</f>
        <v>4267</v>
      </c>
      <c r="K146" s="166">
        <f t="shared" si="42"/>
        <v>1.4268431539994306E-2</v>
      </c>
    </row>
    <row r="147" spans="2:14" x14ac:dyDescent="0.25">
      <c r="B147" s="151" t="s">
        <v>53</v>
      </c>
      <c r="C147" s="149"/>
      <c r="D147" s="149"/>
      <c r="E147" s="149"/>
      <c r="F147" s="149"/>
      <c r="G147" s="149"/>
      <c r="H147" s="150"/>
      <c r="I147" s="150"/>
      <c r="J147" s="150"/>
      <c r="K147" s="149"/>
      <c r="L147" s="167"/>
      <c r="M147" s="167"/>
      <c r="N147" s="167"/>
    </row>
    <row r="148" spans="2:14" x14ac:dyDescent="0.25">
      <c r="B148" s="152" t="s">
        <v>68</v>
      </c>
      <c r="C148" s="153">
        <v>126097</v>
      </c>
      <c r="D148" s="153">
        <v>43425</v>
      </c>
      <c r="E148" s="153">
        <v>71959</v>
      </c>
      <c r="F148" s="153">
        <v>111437</v>
      </c>
      <c r="G148" s="153">
        <v>123198</v>
      </c>
      <c r="H148" s="153">
        <v>128395</v>
      </c>
      <c r="I148" s="154">
        <f>IFERROR(H148/G148-1,"-")</f>
        <v>4.2184126365687691E-2</v>
      </c>
      <c r="J148" s="153">
        <f>H148-G148</f>
        <v>5197</v>
      </c>
      <c r="K148" s="154">
        <f>H148/H$8</f>
        <v>2.3428547446480836E-2</v>
      </c>
      <c r="L148" s="105"/>
      <c r="M148" s="105"/>
      <c r="N148" s="105"/>
    </row>
    <row r="149" spans="2:14" x14ac:dyDescent="0.25">
      <c r="B149" s="155" t="s">
        <v>97</v>
      </c>
      <c r="C149" s="156">
        <v>54208</v>
      </c>
      <c r="D149" s="156">
        <v>22164</v>
      </c>
      <c r="E149" s="156">
        <v>40392</v>
      </c>
      <c r="F149" s="156">
        <v>57756</v>
      </c>
      <c r="G149" s="156">
        <v>59696</v>
      </c>
      <c r="H149" s="156">
        <v>55970</v>
      </c>
      <c r="I149" s="157">
        <f>IFERROR(H149/G149-1,"-")</f>
        <v>-6.2416242294291102E-2</v>
      </c>
      <c r="J149" s="156">
        <f t="shared" ref="J149:J159" si="44">H149-G149</f>
        <v>-3726</v>
      </c>
      <c r="K149" s="157">
        <f>H149/H$8</f>
        <v>1.0212981818447233E-2</v>
      </c>
    </row>
    <row r="150" spans="2:14" x14ac:dyDescent="0.25">
      <c r="B150" s="159" t="s">
        <v>103</v>
      </c>
      <c r="C150" s="160">
        <v>32990</v>
      </c>
      <c r="D150" s="160">
        <v>14597</v>
      </c>
      <c r="E150" s="160">
        <v>32366</v>
      </c>
      <c r="F150" s="160">
        <v>41603</v>
      </c>
      <c r="G150" s="160">
        <v>44199</v>
      </c>
      <c r="H150" s="160">
        <v>37836</v>
      </c>
      <c r="I150" s="161">
        <f>IFERROR(H150/G150-1,"-")</f>
        <v>-0.14396253308898388</v>
      </c>
      <c r="J150" s="160">
        <f t="shared" si="44"/>
        <v>-6363</v>
      </c>
      <c r="K150" s="161">
        <f>H150/H$8</f>
        <v>6.904026801550286E-3</v>
      </c>
    </row>
    <row r="151" spans="2:14" x14ac:dyDescent="0.25">
      <c r="B151" s="159" t="s">
        <v>100</v>
      </c>
      <c r="C151" s="160">
        <v>21218</v>
      </c>
      <c r="D151" s="160">
        <v>7567</v>
      </c>
      <c r="E151" s="160">
        <v>8026</v>
      </c>
      <c r="F151" s="160">
        <v>16153</v>
      </c>
      <c r="G151" s="160">
        <v>15497</v>
      </c>
      <c r="H151" s="160">
        <v>18134</v>
      </c>
      <c r="I151" s="161">
        <f>IFERROR(H151/G151-1,"-")</f>
        <v>0.17016196683229001</v>
      </c>
      <c r="J151" s="160">
        <f t="shared" si="44"/>
        <v>2637</v>
      </c>
      <c r="K151" s="161">
        <f>H151/H$8</f>
        <v>3.3089550168969467E-3</v>
      </c>
    </row>
    <row r="152" spans="2:14" x14ac:dyDescent="0.25">
      <c r="B152" s="155" t="s">
        <v>107</v>
      </c>
      <c r="C152" s="156">
        <v>71889</v>
      </c>
      <c r="D152" s="156">
        <v>21261</v>
      </c>
      <c r="E152" s="156">
        <v>31567</v>
      </c>
      <c r="F152" s="156">
        <v>53681</v>
      </c>
      <c r="G152" s="156">
        <v>63502</v>
      </c>
      <c r="H152" s="156">
        <v>72425</v>
      </c>
      <c r="I152" s="157">
        <f>IFERROR(H152/G152-1,"-")</f>
        <v>0.14051525936190989</v>
      </c>
      <c r="J152" s="156">
        <f t="shared" si="44"/>
        <v>8923</v>
      </c>
      <c r="K152" s="157">
        <f>H152/H$8</f>
        <v>1.3215565628033605E-2</v>
      </c>
    </row>
    <row r="153" spans="2:14" x14ac:dyDescent="0.25">
      <c r="B153" s="159" t="s">
        <v>110</v>
      </c>
      <c r="C153" s="160">
        <v>21798</v>
      </c>
      <c r="D153" s="160">
        <v>5789</v>
      </c>
      <c r="E153" s="160">
        <v>5609</v>
      </c>
      <c r="F153" s="160">
        <v>19238</v>
      </c>
      <c r="G153" s="160">
        <v>18996</v>
      </c>
      <c r="H153" s="160">
        <v>20085</v>
      </c>
      <c r="I153" s="161">
        <f t="shared" ref="I153:I160" si="45">IFERROR(H153/G153-1,"-")</f>
        <v>5.7327858496525552E-2</v>
      </c>
      <c r="J153" s="160">
        <f t="shared" si="44"/>
        <v>1089</v>
      </c>
      <c r="K153" s="161">
        <f t="shared" ref="K153:K160" si="46">H153/H$8</f>
        <v>3.6649587247366924E-3</v>
      </c>
    </row>
    <row r="154" spans="2:14" x14ac:dyDescent="0.25">
      <c r="B154" s="159" t="s">
        <v>113</v>
      </c>
      <c r="C154" s="160">
        <v>18523</v>
      </c>
      <c r="D154" s="160">
        <v>5079</v>
      </c>
      <c r="E154" s="160">
        <v>8623</v>
      </c>
      <c r="F154" s="160">
        <v>11385</v>
      </c>
      <c r="G154" s="160">
        <v>12605</v>
      </c>
      <c r="H154" s="160">
        <v>13027</v>
      </c>
      <c r="I154" s="161">
        <f t="shared" si="45"/>
        <v>3.3478778262594266E-2</v>
      </c>
      <c r="J154" s="160">
        <f t="shared" si="44"/>
        <v>422</v>
      </c>
      <c r="K154" s="161">
        <f t="shared" si="46"/>
        <v>2.3770683249760959E-3</v>
      </c>
    </row>
    <row r="155" spans="2:14" x14ac:dyDescent="0.25">
      <c r="B155" s="159" t="s">
        <v>116</v>
      </c>
      <c r="C155" s="160">
        <v>9905</v>
      </c>
      <c r="D155" s="160">
        <v>2317</v>
      </c>
      <c r="E155" s="160">
        <v>5206</v>
      </c>
      <c r="F155" s="160">
        <v>6579</v>
      </c>
      <c r="G155" s="160">
        <v>10130</v>
      </c>
      <c r="H155" s="160">
        <v>12879</v>
      </c>
      <c r="I155" s="161">
        <f t="shared" si="45"/>
        <v>0.2713721618953604</v>
      </c>
      <c r="J155" s="160">
        <f t="shared" si="44"/>
        <v>2749</v>
      </c>
      <c r="K155" s="161">
        <f t="shared" si="46"/>
        <v>2.3500624055705181E-3</v>
      </c>
    </row>
    <row r="156" spans="2:14" x14ac:dyDescent="0.25">
      <c r="B156" s="159" t="s">
        <v>123</v>
      </c>
      <c r="C156" s="160">
        <v>1673</v>
      </c>
      <c r="D156" s="160">
        <v>600</v>
      </c>
      <c r="E156" s="160">
        <v>927</v>
      </c>
      <c r="F156" s="160">
        <v>1690</v>
      </c>
      <c r="G156" s="160">
        <v>2031</v>
      </c>
      <c r="H156" s="160">
        <v>2829</v>
      </c>
      <c r="I156" s="161">
        <f t="shared" si="45"/>
        <v>0.39290989660265874</v>
      </c>
      <c r="J156" s="160">
        <f t="shared" si="44"/>
        <v>798</v>
      </c>
      <c r="K156" s="161">
        <f t="shared" si="46"/>
        <v>5.1621449998905165E-4</v>
      </c>
    </row>
    <row r="157" spans="2:14" x14ac:dyDescent="0.25">
      <c r="B157" s="159" t="s">
        <v>119</v>
      </c>
      <c r="C157" s="160">
        <v>3007</v>
      </c>
      <c r="D157" s="160">
        <v>1505</v>
      </c>
      <c r="E157" s="160">
        <v>1749</v>
      </c>
      <c r="F157" s="160">
        <v>2959</v>
      </c>
      <c r="G157" s="160">
        <v>3062</v>
      </c>
      <c r="H157" s="160">
        <v>3505</v>
      </c>
      <c r="I157" s="161">
        <f t="shared" si="45"/>
        <v>0.14467668190725025</v>
      </c>
      <c r="J157" s="160">
        <f t="shared" si="44"/>
        <v>443</v>
      </c>
      <c r="K157" s="161">
        <f t="shared" si="46"/>
        <v>6.3956586159831248E-4</v>
      </c>
    </row>
    <row r="158" spans="2:14" x14ac:dyDescent="0.25">
      <c r="B158" s="159" t="s">
        <v>128</v>
      </c>
      <c r="C158" s="160">
        <v>472</v>
      </c>
      <c r="D158" s="160">
        <v>354</v>
      </c>
      <c r="E158" s="160">
        <v>292</v>
      </c>
      <c r="F158" s="160">
        <v>497</v>
      </c>
      <c r="G158" s="160">
        <v>676</v>
      </c>
      <c r="H158" s="160">
        <v>484</v>
      </c>
      <c r="I158" s="161">
        <f t="shared" si="45"/>
        <v>-0.28402366863905326</v>
      </c>
      <c r="J158" s="160">
        <f t="shared" si="44"/>
        <v>-192</v>
      </c>
      <c r="K158" s="161">
        <f t="shared" si="46"/>
        <v>8.8316655353376099E-5</v>
      </c>
    </row>
    <row r="159" spans="2:14" x14ac:dyDescent="0.25">
      <c r="B159" s="159" t="s">
        <v>131</v>
      </c>
      <c r="C159" s="160">
        <v>1062</v>
      </c>
      <c r="D159" s="160">
        <v>441</v>
      </c>
      <c r="E159" s="160">
        <v>454</v>
      </c>
      <c r="F159" s="160">
        <v>656</v>
      </c>
      <c r="G159" s="160">
        <v>941</v>
      </c>
      <c r="H159" s="160">
        <v>796</v>
      </c>
      <c r="I159" s="161">
        <f t="shared" si="45"/>
        <v>-0.15409139213602552</v>
      </c>
      <c r="J159" s="160">
        <f t="shared" si="44"/>
        <v>-145</v>
      </c>
      <c r="K159" s="161">
        <f t="shared" si="46"/>
        <v>1.4524805301918881E-4</v>
      </c>
    </row>
    <row r="160" spans="2:14" x14ac:dyDescent="0.25">
      <c r="B160" s="164" t="s">
        <v>145</v>
      </c>
      <c r="C160" s="165">
        <f t="shared" ref="C160:H160" si="47">C152-SUM(C153:C159)</f>
        <v>15449</v>
      </c>
      <c r="D160" s="165">
        <f t="shared" si="47"/>
        <v>5176</v>
      </c>
      <c r="E160" s="165">
        <f t="shared" si="47"/>
        <v>8707</v>
      </c>
      <c r="F160" s="165">
        <f t="shared" si="47"/>
        <v>10677</v>
      </c>
      <c r="G160" s="165">
        <f t="shared" si="47"/>
        <v>15061</v>
      </c>
      <c r="H160" s="165">
        <f t="shared" si="47"/>
        <v>18820</v>
      </c>
      <c r="I160" s="166">
        <f t="shared" si="45"/>
        <v>0.24958502091494594</v>
      </c>
      <c r="J160" s="165">
        <f>H160-G160</f>
        <v>3759</v>
      </c>
      <c r="K160" s="166">
        <f t="shared" si="46"/>
        <v>3.4341311027903682E-3</v>
      </c>
    </row>
    <row r="161" spans="2:11" x14ac:dyDescent="0.25">
      <c r="B161" s="167"/>
      <c r="C161" s="167"/>
      <c r="D161" s="167"/>
      <c r="E161" s="167"/>
      <c r="F161" s="167"/>
      <c r="G161" s="167"/>
      <c r="H161" s="167"/>
      <c r="I161" s="167"/>
      <c r="J161" s="167"/>
      <c r="K161" s="167"/>
    </row>
    <row r="162" spans="2:11" x14ac:dyDescent="0.25">
      <c r="B162" s="105" t="s">
        <v>55</v>
      </c>
      <c r="C162" s="105"/>
      <c r="D162" s="105"/>
      <c r="E162" s="105"/>
      <c r="F162" s="105"/>
      <c r="G162" s="105"/>
      <c r="H162" s="105"/>
      <c r="I162" s="105"/>
      <c r="J162" s="105"/>
      <c r="K162" s="105"/>
    </row>
  </sheetData>
  <mergeCells count="3">
    <mergeCell ref="C5:K5"/>
    <mergeCell ref="O5:W5"/>
    <mergeCell ref="B3:K3"/>
  </mergeCells>
  <pageMargins left="0.25" right="0.25" top="0.75" bottom="0.75" header="0.3" footer="0.3"/>
  <pageSetup paperSize="9" scale="20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1494A9-BB7A-4F1F-8555-65C6A65664A5}">
  <sheetPr codeName="Hoja14">
    <tabColor theme="7" tint="0.79998168889431442"/>
  </sheetPr>
  <dimension ref="A1:T165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10" width="13.7109375" customWidth="1"/>
    <col min="13" max="20" width="11.42578125" hidden="1" customWidth="1"/>
  </cols>
  <sheetData>
    <row r="1" spans="1:20" ht="42.75" customHeight="1" x14ac:dyDescent="0.25"/>
    <row r="2" spans="1:20" ht="18" customHeight="1" x14ac:dyDescent="0.25"/>
    <row r="3" spans="1:20" x14ac:dyDescent="0.25">
      <c r="B3" s="56"/>
    </row>
    <row r="6" spans="1:20" ht="42" customHeight="1" thickBot="1" x14ac:dyDescent="0.3">
      <c r="B6" s="265" t="str">
        <f>CONCATENATE("Viajeros entrados en los establecimientos alojativos de Tenerife según lugar de residencia y municipio de alojamiento (hotel + apartamento)")</f>
        <v>Viajeros entrados en los establecimientos alojativos de Tenerife según lugar de residencia y municipio de alojamiento (hotel + apartamento)</v>
      </c>
      <c r="C6" s="265"/>
      <c r="D6" s="265"/>
      <c r="E6" s="265"/>
      <c r="F6" s="265"/>
      <c r="G6" s="265"/>
      <c r="H6" s="265"/>
      <c r="I6" s="265"/>
      <c r="J6" s="265"/>
      <c r="M6" s="265" t="s">
        <v>259</v>
      </c>
      <c r="N6" s="265"/>
      <c r="O6" s="265"/>
      <c r="P6" s="265"/>
      <c r="Q6" s="265"/>
      <c r="R6" s="265"/>
      <c r="S6" s="265"/>
      <c r="T6" s="265"/>
    </row>
    <row r="7" spans="1:20" ht="6" customHeight="1" x14ac:dyDescent="0.25"/>
    <row r="8" spans="1:20" ht="15.75" x14ac:dyDescent="0.25">
      <c r="B8" s="141"/>
      <c r="C8" s="298" t="s">
        <v>43</v>
      </c>
      <c r="D8" s="299"/>
      <c r="E8" s="299"/>
      <c r="F8" s="299"/>
      <c r="G8" s="299"/>
      <c r="H8" s="299"/>
      <c r="I8" s="299"/>
      <c r="J8" s="299"/>
    </row>
    <row r="9" spans="1:20" s="142" customFormat="1" ht="72" customHeight="1" x14ac:dyDescent="0.25">
      <c r="A9"/>
      <c r="B9" s="143"/>
      <c r="C9" s="168" t="s">
        <v>258</v>
      </c>
      <c r="D9" s="168" t="s">
        <v>224</v>
      </c>
      <c r="E9" s="168" t="s">
        <v>225</v>
      </c>
      <c r="F9" s="168" t="s">
        <v>226</v>
      </c>
      <c r="G9" s="168" t="s">
        <v>227</v>
      </c>
      <c r="H9" s="168" t="s">
        <v>228</v>
      </c>
      <c r="I9" s="169" t="str">
        <f>CONCATENATE("var. ",RIGHT(H9,2),"/",RIGHT(G9,2))</f>
        <v>var. 25/24</v>
      </c>
      <c r="J9" s="169" t="str">
        <f>CONCATENATE("Cuota s/ total lugares de residencia ",RIGHT(H9,4))</f>
        <v>Cuota s/ total lugares de residencia 2025</v>
      </c>
      <c r="M9" s="143"/>
      <c r="N9" s="168" t="s">
        <v>258</v>
      </c>
      <c r="O9" s="168" t="s">
        <v>224</v>
      </c>
      <c r="P9" s="168" t="s">
        <v>225</v>
      </c>
      <c r="Q9" s="168" t="s">
        <v>226</v>
      </c>
      <c r="R9" s="168" t="s">
        <v>227</v>
      </c>
      <c r="S9" s="168" t="s">
        <v>228</v>
      </c>
      <c r="T9" s="169" t="str">
        <f>CONCATENATE("Cuota s/ total lugares de residencia ",RIGHT(R9,4))</f>
        <v>Cuota s/ total lugares de residencia 2024</v>
      </c>
    </row>
    <row r="10" spans="1:20" x14ac:dyDescent="0.25">
      <c r="B10" s="148" t="s">
        <v>43</v>
      </c>
      <c r="C10" s="149"/>
      <c r="D10" s="149"/>
      <c r="E10" s="149"/>
      <c r="F10" s="149"/>
      <c r="G10" s="149"/>
      <c r="H10" s="149"/>
      <c r="I10" s="150"/>
      <c r="J10" s="150"/>
      <c r="M10" s="151" t="s">
        <v>48</v>
      </c>
      <c r="N10" s="170"/>
      <c r="O10" s="170"/>
      <c r="P10" s="170"/>
      <c r="Q10" s="170"/>
      <c r="R10" s="170"/>
      <c r="S10" s="171"/>
      <c r="T10" s="171"/>
    </row>
    <row r="11" spans="1:20" x14ac:dyDescent="0.25">
      <c r="B11" s="152" t="s">
        <v>68</v>
      </c>
      <c r="C11" s="172">
        <v>386253</v>
      </c>
      <c r="D11" s="172">
        <v>46362</v>
      </c>
      <c r="E11" s="172">
        <v>273717</v>
      </c>
      <c r="F11" s="172">
        <v>403637</v>
      </c>
      <c r="G11" s="172">
        <v>417622</v>
      </c>
      <c r="H11" s="172">
        <v>422462</v>
      </c>
      <c r="I11" s="173">
        <f t="shared" ref="I11:I23" si="0">IFERROR(H11/G11-1,"-")</f>
        <v>1.158942776003169E-2</v>
      </c>
      <c r="J11" s="173">
        <f>H11/H11</f>
        <v>1</v>
      </c>
      <c r="K11" s="79"/>
      <c r="L11" s="79"/>
      <c r="M11" s="152" t="s">
        <v>68</v>
      </c>
      <c r="N11" s="172">
        <v>61311</v>
      </c>
      <c r="O11" s="172">
        <v>4603</v>
      </c>
      <c r="P11" s="172">
        <v>36105</v>
      </c>
      <c r="Q11" s="172">
        <v>60088</v>
      </c>
      <c r="R11" s="172">
        <v>64481</v>
      </c>
      <c r="S11" s="173">
        <f t="shared" ref="S11:S23" si="1">IFERROR(R11/Q11-1,"-")</f>
        <v>7.3109439488749928E-2</v>
      </c>
      <c r="T11" s="173">
        <f>R11/R11</f>
        <v>1</v>
      </c>
    </row>
    <row r="12" spans="1:20" x14ac:dyDescent="0.25">
      <c r="B12" s="155" t="s">
        <v>97</v>
      </c>
      <c r="C12" s="156">
        <v>56329</v>
      </c>
      <c r="D12" s="156">
        <v>19622</v>
      </c>
      <c r="E12" s="156">
        <v>41772</v>
      </c>
      <c r="F12" s="156">
        <v>60988</v>
      </c>
      <c r="G12" s="156">
        <v>53225</v>
      </c>
      <c r="H12" s="156">
        <v>55404</v>
      </c>
      <c r="I12" s="157">
        <f t="shared" si="0"/>
        <v>4.0939408172851133E-2</v>
      </c>
      <c r="J12" s="157">
        <f>H12/H11</f>
        <v>0.13114552314764405</v>
      </c>
      <c r="K12" s="79"/>
      <c r="L12" s="79"/>
      <c r="M12" s="155" t="s">
        <v>97</v>
      </c>
      <c r="N12" s="156">
        <v>19992</v>
      </c>
      <c r="O12" s="156">
        <v>2136</v>
      </c>
      <c r="P12" s="156">
        <v>12392</v>
      </c>
      <c r="Q12" s="156">
        <v>18745</v>
      </c>
      <c r="R12" s="156">
        <v>17189</v>
      </c>
      <c r="S12" s="157">
        <f t="shared" si="1"/>
        <v>-8.3008802347292576E-2</v>
      </c>
      <c r="T12" s="157">
        <f>R12/R11</f>
        <v>0.26657464989686885</v>
      </c>
    </row>
    <row r="13" spans="1:20" x14ac:dyDescent="0.25">
      <c r="B13" s="159" t="s">
        <v>103</v>
      </c>
      <c r="C13" s="160">
        <v>18891</v>
      </c>
      <c r="D13" s="160">
        <v>14049</v>
      </c>
      <c r="E13" s="160">
        <v>17032</v>
      </c>
      <c r="F13" s="160">
        <v>24326</v>
      </c>
      <c r="G13" s="160">
        <v>18739</v>
      </c>
      <c r="H13" s="160">
        <v>17933</v>
      </c>
      <c r="I13" s="161">
        <f t="shared" si="0"/>
        <v>-4.3011900314851359E-2</v>
      </c>
      <c r="J13" s="161">
        <f>H13/H11</f>
        <v>4.244878829338497E-2</v>
      </c>
      <c r="K13" s="79"/>
      <c r="L13" s="79"/>
      <c r="M13" s="159" t="s">
        <v>103</v>
      </c>
      <c r="N13" s="160">
        <v>3543</v>
      </c>
      <c r="O13" s="160">
        <v>1101</v>
      </c>
      <c r="P13" s="160">
        <v>3148</v>
      </c>
      <c r="Q13" s="160">
        <v>3614</v>
      </c>
      <c r="R13" s="160">
        <v>3298</v>
      </c>
      <c r="S13" s="161">
        <f t="shared" si="1"/>
        <v>-8.7437742114001127E-2</v>
      </c>
      <c r="T13" s="161">
        <f>R13/R11</f>
        <v>5.1146849459530713E-2</v>
      </c>
    </row>
    <row r="14" spans="1:20" x14ac:dyDescent="0.25">
      <c r="B14" s="159" t="s">
        <v>100</v>
      </c>
      <c r="C14" s="160">
        <v>37438</v>
      </c>
      <c r="D14" s="160">
        <v>5573</v>
      </c>
      <c r="E14" s="160">
        <v>24740</v>
      </c>
      <c r="F14" s="160">
        <v>36662</v>
      </c>
      <c r="G14" s="160">
        <v>34486</v>
      </c>
      <c r="H14" s="160">
        <v>37471</v>
      </c>
      <c r="I14" s="161">
        <f t="shared" si="0"/>
        <v>8.6556863654816407E-2</v>
      </c>
      <c r="J14" s="161">
        <f>H14/H11</f>
        <v>8.8696734854259079E-2</v>
      </c>
      <c r="K14" s="79"/>
      <c r="L14" s="79"/>
      <c r="M14" s="159" t="s">
        <v>100</v>
      </c>
      <c r="N14" s="160">
        <v>16449</v>
      </c>
      <c r="O14" s="160">
        <v>1035</v>
      </c>
      <c r="P14" s="160">
        <v>9244</v>
      </c>
      <c r="Q14" s="160">
        <v>15131</v>
      </c>
      <c r="R14" s="160">
        <v>13891</v>
      </c>
      <c r="S14" s="161">
        <f t="shared" si="1"/>
        <v>-8.1950961602009098E-2</v>
      </c>
      <c r="T14" s="161">
        <f>R14/R11</f>
        <v>0.21542780043733814</v>
      </c>
    </row>
    <row r="15" spans="1:20" x14ac:dyDescent="0.25">
      <c r="B15" s="155" t="s">
        <v>107</v>
      </c>
      <c r="C15" s="156">
        <v>329924</v>
      </c>
      <c r="D15" s="156">
        <v>26740</v>
      </c>
      <c r="E15" s="156">
        <v>231945</v>
      </c>
      <c r="F15" s="156">
        <v>342649</v>
      </c>
      <c r="G15" s="156">
        <v>364397</v>
      </c>
      <c r="H15" s="156">
        <v>367058</v>
      </c>
      <c r="I15" s="157">
        <f t="shared" si="0"/>
        <v>7.3024750478187794E-3</v>
      </c>
      <c r="J15" s="157">
        <f>H15/H11</f>
        <v>0.86885447685235595</v>
      </c>
      <c r="K15" s="79"/>
      <c r="L15" s="79"/>
      <c r="M15" s="155" t="s">
        <v>107</v>
      </c>
      <c r="N15" s="156">
        <v>41319</v>
      </c>
      <c r="O15" s="156">
        <v>2467</v>
      </c>
      <c r="P15" s="156">
        <v>23713</v>
      </c>
      <c r="Q15" s="156">
        <v>41343</v>
      </c>
      <c r="R15" s="156">
        <v>47292</v>
      </c>
      <c r="S15" s="157">
        <f t="shared" si="1"/>
        <v>0.14389376678034971</v>
      </c>
      <c r="T15" s="157">
        <f>R15/R11</f>
        <v>0.73342535010313115</v>
      </c>
    </row>
    <row r="16" spans="1:20" x14ac:dyDescent="0.25">
      <c r="B16" s="159" t="s">
        <v>110</v>
      </c>
      <c r="C16" s="160">
        <v>129038</v>
      </c>
      <c r="D16" s="160">
        <v>2315</v>
      </c>
      <c r="E16" s="160">
        <v>74810</v>
      </c>
      <c r="F16" s="160">
        <v>128763</v>
      </c>
      <c r="G16" s="160">
        <v>146047</v>
      </c>
      <c r="H16" s="160">
        <v>150351</v>
      </c>
      <c r="I16" s="161">
        <f t="shared" si="0"/>
        <v>2.9469965148205768E-2</v>
      </c>
      <c r="J16" s="161">
        <f>H16/H11</f>
        <v>0.35589236428365156</v>
      </c>
      <c r="K16" s="79"/>
      <c r="L16" s="79"/>
      <c r="M16" s="159" t="s">
        <v>110</v>
      </c>
      <c r="N16" s="160">
        <v>7157</v>
      </c>
      <c r="O16" s="160">
        <v>221</v>
      </c>
      <c r="P16" s="160">
        <v>2891</v>
      </c>
      <c r="Q16" s="160">
        <v>7281</v>
      </c>
      <c r="R16" s="160">
        <v>9178</v>
      </c>
      <c r="S16" s="161">
        <f t="shared" si="1"/>
        <v>0.26054113445955229</v>
      </c>
      <c r="T16" s="161">
        <f>R16/R11</f>
        <v>0.14233650222546176</v>
      </c>
    </row>
    <row r="17" spans="1:20" x14ac:dyDescent="0.25">
      <c r="B17" s="159" t="s">
        <v>113</v>
      </c>
      <c r="C17" s="160">
        <v>41945</v>
      </c>
      <c r="D17" s="160">
        <v>3897</v>
      </c>
      <c r="E17" s="160">
        <v>25126</v>
      </c>
      <c r="F17" s="160">
        <v>38646</v>
      </c>
      <c r="G17" s="160">
        <v>41866</v>
      </c>
      <c r="H17" s="160">
        <v>41200</v>
      </c>
      <c r="I17" s="161">
        <f t="shared" si="0"/>
        <v>-1.5907896622557649E-2</v>
      </c>
      <c r="J17" s="161">
        <f>H17/H11</f>
        <v>9.7523564249565639E-2</v>
      </c>
      <c r="K17" s="79"/>
      <c r="L17" s="79"/>
      <c r="M17" s="159" t="s">
        <v>113</v>
      </c>
      <c r="N17" s="160">
        <v>14156</v>
      </c>
      <c r="O17" s="160">
        <v>532</v>
      </c>
      <c r="P17" s="160">
        <v>7114</v>
      </c>
      <c r="Q17" s="160">
        <v>12895</v>
      </c>
      <c r="R17" s="160">
        <v>14175</v>
      </c>
      <c r="S17" s="161">
        <f t="shared" si="1"/>
        <v>9.9263280341217452E-2</v>
      </c>
      <c r="T17" s="161">
        <f>R17/R11</f>
        <v>0.2198321986321552</v>
      </c>
    </row>
    <row r="18" spans="1:20" x14ac:dyDescent="0.25">
      <c r="B18" s="159" t="s">
        <v>116</v>
      </c>
      <c r="C18" s="160">
        <v>14112</v>
      </c>
      <c r="D18" s="160">
        <v>4901</v>
      </c>
      <c r="E18" s="160">
        <v>11986</v>
      </c>
      <c r="F18" s="160">
        <v>17335</v>
      </c>
      <c r="G18" s="160">
        <v>16031</v>
      </c>
      <c r="H18" s="160">
        <v>16262</v>
      </c>
      <c r="I18" s="161">
        <f t="shared" si="0"/>
        <v>1.4409581435967711E-2</v>
      </c>
      <c r="J18" s="161">
        <f>H18/H11</f>
        <v>3.849340295695234E-2</v>
      </c>
      <c r="K18" s="79"/>
      <c r="L18" s="79"/>
      <c r="M18" s="159" t="s">
        <v>116</v>
      </c>
      <c r="N18" s="160">
        <v>2065</v>
      </c>
      <c r="O18" s="160">
        <v>561</v>
      </c>
      <c r="P18" s="160">
        <v>1736</v>
      </c>
      <c r="Q18" s="160">
        <v>3060</v>
      </c>
      <c r="R18" s="160">
        <v>3566</v>
      </c>
      <c r="S18" s="161">
        <f t="shared" si="1"/>
        <v>0.16535947712418309</v>
      </c>
      <c r="T18" s="161">
        <f>R18/R11</f>
        <v>5.5303112544780632E-2</v>
      </c>
    </row>
    <row r="19" spans="1:20" x14ac:dyDescent="0.25">
      <c r="B19" s="159" t="s">
        <v>123</v>
      </c>
      <c r="C19" s="160">
        <v>10903</v>
      </c>
      <c r="D19" s="160">
        <v>451</v>
      </c>
      <c r="E19" s="160">
        <v>14324</v>
      </c>
      <c r="F19" s="160">
        <v>12828</v>
      </c>
      <c r="G19" s="160">
        <v>13515</v>
      </c>
      <c r="H19" s="160">
        <v>12623</v>
      </c>
      <c r="I19" s="161">
        <f t="shared" si="0"/>
        <v>-6.6000739918608997E-2</v>
      </c>
      <c r="J19" s="161">
        <f>H19/H11</f>
        <v>2.9879610473841436E-2</v>
      </c>
      <c r="K19" s="79"/>
      <c r="L19" s="79"/>
      <c r="M19" s="159" t="s">
        <v>123</v>
      </c>
      <c r="N19" s="160">
        <v>543</v>
      </c>
      <c r="O19" s="160">
        <v>25</v>
      </c>
      <c r="P19" s="160">
        <v>1010</v>
      </c>
      <c r="Q19" s="160">
        <v>878</v>
      </c>
      <c r="R19" s="160">
        <v>1284</v>
      </c>
      <c r="S19" s="161">
        <f t="shared" si="1"/>
        <v>0.46241457858769941</v>
      </c>
      <c r="T19" s="161">
        <f>R19/R11</f>
        <v>1.9912842542764535E-2</v>
      </c>
    </row>
    <row r="20" spans="1:20" x14ac:dyDescent="0.25">
      <c r="B20" s="159" t="s">
        <v>119</v>
      </c>
      <c r="C20" s="160">
        <v>12546</v>
      </c>
      <c r="D20" s="160">
        <v>1367</v>
      </c>
      <c r="E20" s="160">
        <v>11804</v>
      </c>
      <c r="F20" s="160">
        <v>12734</v>
      </c>
      <c r="G20" s="160">
        <v>13147</v>
      </c>
      <c r="H20" s="160">
        <v>11962</v>
      </c>
      <c r="I20" s="161">
        <f t="shared" si="0"/>
        <v>-9.0134631474861227E-2</v>
      </c>
      <c r="J20" s="161">
        <f>H20/H11</f>
        <v>2.8314972707604472E-2</v>
      </c>
      <c r="K20" s="79"/>
      <c r="L20" s="79"/>
      <c r="M20" s="159" t="s">
        <v>119</v>
      </c>
      <c r="N20" s="160">
        <v>433</v>
      </c>
      <c r="O20" s="160">
        <v>79</v>
      </c>
      <c r="P20" s="160">
        <v>563</v>
      </c>
      <c r="Q20" s="160">
        <v>577</v>
      </c>
      <c r="R20" s="160">
        <v>552</v>
      </c>
      <c r="S20" s="161">
        <f t="shared" si="1"/>
        <v>-4.3327556325823191E-2</v>
      </c>
      <c r="T20" s="161">
        <f>R20/R11</f>
        <v>8.5606612800669963E-3</v>
      </c>
    </row>
    <row r="21" spans="1:20" x14ac:dyDescent="0.25">
      <c r="B21" s="159" t="s">
        <v>128</v>
      </c>
      <c r="C21" s="160">
        <v>10815</v>
      </c>
      <c r="D21" s="160">
        <v>136</v>
      </c>
      <c r="E21" s="160">
        <v>8191</v>
      </c>
      <c r="F21" s="160">
        <v>12291</v>
      </c>
      <c r="G21" s="160">
        <v>9834</v>
      </c>
      <c r="H21" s="160">
        <v>8586</v>
      </c>
      <c r="I21" s="161">
        <f t="shared" si="0"/>
        <v>-0.12690665039658333</v>
      </c>
      <c r="J21" s="161">
        <f>H21/H11</f>
        <v>2.0323721423465307E-2</v>
      </c>
      <c r="K21" s="79"/>
      <c r="L21" s="79"/>
      <c r="M21" s="159" t="s">
        <v>128</v>
      </c>
      <c r="N21" s="160">
        <v>1251</v>
      </c>
      <c r="O21" s="160">
        <v>13</v>
      </c>
      <c r="P21" s="160">
        <v>889</v>
      </c>
      <c r="Q21" s="160">
        <v>1686</v>
      </c>
      <c r="R21" s="160">
        <v>1354</v>
      </c>
      <c r="S21" s="161">
        <f t="shared" si="1"/>
        <v>-0.1969157769869514</v>
      </c>
      <c r="T21" s="161">
        <f>R21/R11</f>
        <v>2.0998433647120857E-2</v>
      </c>
    </row>
    <row r="22" spans="1:20" x14ac:dyDescent="0.25">
      <c r="A22" s="163"/>
      <c r="B22" s="159" t="s">
        <v>131</v>
      </c>
      <c r="C22" s="160">
        <v>16794</v>
      </c>
      <c r="D22" s="160">
        <v>728</v>
      </c>
      <c r="E22" s="160">
        <v>7732</v>
      </c>
      <c r="F22" s="160">
        <v>12762</v>
      </c>
      <c r="G22" s="160">
        <v>12673</v>
      </c>
      <c r="H22" s="160">
        <v>9792</v>
      </c>
      <c r="I22" s="161">
        <f t="shared" si="0"/>
        <v>-0.22733370157026744</v>
      </c>
      <c r="J22" s="161">
        <f>H22/H11</f>
        <v>2.3178416046887057E-2</v>
      </c>
      <c r="K22" s="79"/>
      <c r="L22" s="79"/>
      <c r="M22" s="159" t="s">
        <v>131</v>
      </c>
      <c r="N22" s="160">
        <v>2201</v>
      </c>
      <c r="O22" s="160">
        <v>74</v>
      </c>
      <c r="P22" s="160">
        <v>919</v>
      </c>
      <c r="Q22" s="160">
        <v>1727</v>
      </c>
      <c r="R22" s="160">
        <v>1751</v>
      </c>
      <c r="S22" s="161">
        <f t="shared" si="1"/>
        <v>1.389693109438328E-2</v>
      </c>
      <c r="T22" s="161">
        <f>R22/R11</f>
        <v>2.7155286053255998E-2</v>
      </c>
    </row>
    <row r="23" spans="1:20" x14ac:dyDescent="0.25">
      <c r="B23" s="164" t="s">
        <v>145</v>
      </c>
      <c r="C23" s="165">
        <f t="shared" ref="C23:H23" si="2">C15-SUM(C16:C22)</f>
        <v>93771</v>
      </c>
      <c r="D23" s="165">
        <f t="shared" si="2"/>
        <v>12945</v>
      </c>
      <c r="E23" s="165">
        <f t="shared" si="2"/>
        <v>77972</v>
      </c>
      <c r="F23" s="165">
        <f t="shared" si="2"/>
        <v>107290</v>
      </c>
      <c r="G23" s="165">
        <f t="shared" si="2"/>
        <v>111284</v>
      </c>
      <c r="H23" s="165">
        <f t="shared" si="2"/>
        <v>116282</v>
      </c>
      <c r="I23" s="166">
        <f t="shared" si="0"/>
        <v>4.4912116746342656E-2</v>
      </c>
      <c r="J23" s="166">
        <f>H23/H11</f>
        <v>0.27524842471038813</v>
      </c>
      <c r="K23" s="167"/>
      <c r="L23" s="167"/>
      <c r="M23" s="164" t="s">
        <v>145</v>
      </c>
      <c r="N23" s="165">
        <f>N15-SUM(N16:N22)</f>
        <v>13513</v>
      </c>
      <c r="O23" s="165">
        <f>O15-SUM(O16:O22)</f>
        <v>962</v>
      </c>
      <c r="P23" s="165">
        <f>P15-SUM(P16:P22)</f>
        <v>8591</v>
      </c>
      <c r="Q23" s="165">
        <f>Q15-SUM(Q16:Q22)</f>
        <v>13239</v>
      </c>
      <c r="R23" s="165">
        <f>R15-SUM(R16:R22)</f>
        <v>15432</v>
      </c>
      <c r="S23" s="166">
        <f t="shared" si="1"/>
        <v>0.16564695218672099</v>
      </c>
      <c r="T23" s="166">
        <f>R23/R11</f>
        <v>0.23932631317752517</v>
      </c>
    </row>
    <row r="24" spans="1:20" x14ac:dyDescent="0.25">
      <c r="B24" s="151" t="s">
        <v>44</v>
      </c>
      <c r="C24" s="170"/>
      <c r="D24" s="170"/>
      <c r="E24" s="170"/>
      <c r="F24" s="170"/>
      <c r="G24" s="170"/>
      <c r="H24" s="170"/>
      <c r="I24" s="171"/>
      <c r="J24" s="171"/>
      <c r="K24" s="105"/>
      <c r="L24" s="105"/>
      <c r="M24" s="105"/>
      <c r="N24" s="105"/>
      <c r="O24" s="105"/>
      <c r="P24" s="105"/>
      <c r="Q24" s="105"/>
      <c r="R24" s="105"/>
      <c r="S24" s="105"/>
    </row>
    <row r="25" spans="1:20" x14ac:dyDescent="0.25">
      <c r="B25" s="152" t="s">
        <v>68</v>
      </c>
      <c r="C25" s="172">
        <v>138100</v>
      </c>
      <c r="D25" s="172">
        <v>15182</v>
      </c>
      <c r="E25" s="172">
        <v>99949</v>
      </c>
      <c r="F25" s="172">
        <v>139602</v>
      </c>
      <c r="G25" s="172">
        <v>150925</v>
      </c>
      <c r="H25" s="172">
        <v>146051</v>
      </c>
      <c r="I25" s="173">
        <f t="shared" ref="I25:I37" si="3">IFERROR(H25/G25-1,"-")</f>
        <v>-3.2294185853900981E-2</v>
      </c>
      <c r="J25" s="173">
        <f>H25/H25</f>
        <v>1</v>
      </c>
    </row>
    <row r="26" spans="1:20" x14ac:dyDescent="0.25">
      <c r="B26" s="155" t="s">
        <v>97</v>
      </c>
      <c r="C26" s="156">
        <v>8778</v>
      </c>
      <c r="D26" s="156">
        <v>5945</v>
      </c>
      <c r="E26" s="156">
        <v>8963</v>
      </c>
      <c r="F26" s="156">
        <v>8728</v>
      </c>
      <c r="G26" s="156">
        <v>7100</v>
      </c>
      <c r="H26" s="156">
        <v>6983</v>
      </c>
      <c r="I26" s="157">
        <f t="shared" si="3"/>
        <v>-1.6478873239436642E-2</v>
      </c>
      <c r="J26" s="157">
        <f>H26/H25</f>
        <v>4.7812065648300935E-2</v>
      </c>
    </row>
    <row r="27" spans="1:20" x14ac:dyDescent="0.25">
      <c r="B27" s="159" t="s">
        <v>103</v>
      </c>
      <c r="C27" s="160">
        <v>4037</v>
      </c>
      <c r="D27" s="160">
        <v>4283</v>
      </c>
      <c r="E27" s="160">
        <v>4231</v>
      </c>
      <c r="F27" s="160">
        <v>3814</v>
      </c>
      <c r="G27" s="160">
        <v>2103</v>
      </c>
      <c r="H27" s="160">
        <v>2694</v>
      </c>
      <c r="I27" s="161">
        <f t="shared" si="3"/>
        <v>0.2810271041369472</v>
      </c>
      <c r="J27" s="161">
        <f>H27/H25</f>
        <v>1.8445611464488431E-2</v>
      </c>
    </row>
    <row r="28" spans="1:20" x14ac:dyDescent="0.25">
      <c r="B28" s="159" t="s">
        <v>100</v>
      </c>
      <c r="C28" s="160">
        <v>4741</v>
      </c>
      <c r="D28" s="160">
        <v>1662</v>
      </c>
      <c r="E28" s="160">
        <v>4732</v>
      </c>
      <c r="F28" s="160">
        <v>4914</v>
      </c>
      <c r="G28" s="160">
        <v>4997</v>
      </c>
      <c r="H28" s="160">
        <v>4289</v>
      </c>
      <c r="I28" s="161">
        <f t="shared" si="3"/>
        <v>-0.14168501100660391</v>
      </c>
      <c r="J28" s="161">
        <f>H28/H25</f>
        <v>2.9366454183812504E-2</v>
      </c>
    </row>
    <row r="29" spans="1:20" x14ac:dyDescent="0.25">
      <c r="B29" s="155" t="s">
        <v>107</v>
      </c>
      <c r="C29" s="156">
        <v>129322</v>
      </c>
      <c r="D29" s="156">
        <v>9237</v>
      </c>
      <c r="E29" s="156">
        <v>90986</v>
      </c>
      <c r="F29" s="156">
        <v>130874</v>
      </c>
      <c r="G29" s="156">
        <v>143825</v>
      </c>
      <c r="H29" s="156">
        <v>139068</v>
      </c>
      <c r="I29" s="157">
        <f t="shared" si="3"/>
        <v>-3.3074917434382067E-2</v>
      </c>
      <c r="J29" s="157">
        <f>H29/H25</f>
        <v>0.95218793435169902</v>
      </c>
    </row>
    <row r="30" spans="1:20" x14ac:dyDescent="0.25">
      <c r="B30" s="159" t="s">
        <v>110</v>
      </c>
      <c r="C30" s="160">
        <v>57691</v>
      </c>
      <c r="D30" s="160">
        <v>767</v>
      </c>
      <c r="E30" s="160">
        <v>35085</v>
      </c>
      <c r="F30" s="160">
        <v>57941</v>
      </c>
      <c r="G30" s="160">
        <v>66660</v>
      </c>
      <c r="H30" s="160">
        <v>67208</v>
      </c>
      <c r="I30" s="161">
        <f t="shared" si="3"/>
        <v>8.2208220822082012E-3</v>
      </c>
      <c r="J30" s="161">
        <f>H30/H25</f>
        <v>0.46016802349864089</v>
      </c>
    </row>
    <row r="31" spans="1:20" x14ac:dyDescent="0.25">
      <c r="B31" s="159" t="s">
        <v>113</v>
      </c>
      <c r="C31" s="160">
        <v>15535</v>
      </c>
      <c r="D31" s="160">
        <v>1359</v>
      </c>
      <c r="E31" s="160">
        <v>9791</v>
      </c>
      <c r="F31" s="160">
        <v>13751</v>
      </c>
      <c r="G31" s="160">
        <v>14835</v>
      </c>
      <c r="H31" s="160">
        <v>14149</v>
      </c>
      <c r="I31" s="161">
        <f t="shared" si="3"/>
        <v>-4.6241995281429027E-2</v>
      </c>
      <c r="J31" s="161">
        <f>H31/H25</f>
        <v>9.6877118266906759E-2</v>
      </c>
    </row>
    <row r="32" spans="1:20" x14ac:dyDescent="0.25">
      <c r="B32" s="159" t="s">
        <v>116</v>
      </c>
      <c r="C32" s="160">
        <v>4457</v>
      </c>
      <c r="D32" s="160">
        <v>1623</v>
      </c>
      <c r="E32" s="160">
        <v>3814</v>
      </c>
      <c r="F32" s="160">
        <v>4809</v>
      </c>
      <c r="G32" s="160">
        <v>5263</v>
      </c>
      <c r="H32" s="160">
        <v>4160</v>
      </c>
      <c r="I32" s="161">
        <f t="shared" si="3"/>
        <v>-0.20957628728861866</v>
      </c>
      <c r="J32" s="161">
        <f>H32/H25</f>
        <v>2.8483201073597579E-2</v>
      </c>
    </row>
    <row r="33" spans="2:10" x14ac:dyDescent="0.25">
      <c r="B33" s="159" t="s">
        <v>123</v>
      </c>
      <c r="C33" s="160">
        <v>4575</v>
      </c>
      <c r="D33" s="160">
        <v>138</v>
      </c>
      <c r="E33" s="160">
        <v>5898</v>
      </c>
      <c r="F33" s="160">
        <v>5387</v>
      </c>
      <c r="G33" s="160">
        <v>5223</v>
      </c>
      <c r="H33" s="160">
        <v>4550</v>
      </c>
      <c r="I33" s="161">
        <f t="shared" si="3"/>
        <v>-0.12885314953092097</v>
      </c>
      <c r="J33" s="161">
        <f>H33/H25</f>
        <v>3.1153501174247353E-2</v>
      </c>
    </row>
    <row r="34" spans="2:10" x14ac:dyDescent="0.25">
      <c r="B34" s="159" t="s">
        <v>119</v>
      </c>
      <c r="C34" s="160">
        <v>6472</v>
      </c>
      <c r="D34" s="160">
        <v>562</v>
      </c>
      <c r="E34" s="160">
        <v>6894</v>
      </c>
      <c r="F34" s="160">
        <v>6261</v>
      </c>
      <c r="G34" s="160">
        <v>6378</v>
      </c>
      <c r="H34" s="160">
        <v>6245</v>
      </c>
      <c r="I34" s="161">
        <f t="shared" si="3"/>
        <v>-2.0852931953590503E-2</v>
      </c>
      <c r="J34" s="161">
        <f>H34/H25</f>
        <v>4.2759036227071369E-2</v>
      </c>
    </row>
    <row r="35" spans="2:10" x14ac:dyDescent="0.25">
      <c r="B35" s="159" t="s">
        <v>128</v>
      </c>
      <c r="C35" s="160">
        <v>4233</v>
      </c>
      <c r="D35" s="160">
        <v>15</v>
      </c>
      <c r="E35" s="160">
        <v>2668</v>
      </c>
      <c r="F35" s="160">
        <v>4139</v>
      </c>
      <c r="G35" s="160">
        <v>3435</v>
      </c>
      <c r="H35" s="160">
        <v>2586</v>
      </c>
      <c r="I35" s="161">
        <f t="shared" si="3"/>
        <v>-0.24716157205240175</v>
      </c>
      <c r="J35" s="161">
        <f>H35/H25</f>
        <v>1.7706143744308494E-2</v>
      </c>
    </row>
    <row r="36" spans="2:10" x14ac:dyDescent="0.25">
      <c r="B36" s="159" t="s">
        <v>131</v>
      </c>
      <c r="C36" s="160">
        <v>5434</v>
      </c>
      <c r="D36" s="160">
        <v>56</v>
      </c>
      <c r="E36" s="160">
        <v>1897</v>
      </c>
      <c r="F36" s="160">
        <v>4811</v>
      </c>
      <c r="G36" s="160">
        <v>4085</v>
      </c>
      <c r="H36" s="160">
        <v>3094</v>
      </c>
      <c r="I36" s="161">
        <f t="shared" si="3"/>
        <v>-0.24259485924112612</v>
      </c>
      <c r="J36" s="161">
        <f>H36/H25</f>
        <v>2.1184380798488198E-2</v>
      </c>
    </row>
    <row r="37" spans="2:10" x14ac:dyDescent="0.25">
      <c r="B37" s="164" t="s">
        <v>145</v>
      </c>
      <c r="C37" s="165">
        <f t="shared" ref="C37:H37" si="4">C29-SUM(C30:C36)</f>
        <v>30925</v>
      </c>
      <c r="D37" s="165">
        <f t="shared" si="4"/>
        <v>4717</v>
      </c>
      <c r="E37" s="165">
        <f t="shared" si="4"/>
        <v>24939</v>
      </c>
      <c r="F37" s="165">
        <f t="shared" si="4"/>
        <v>33775</v>
      </c>
      <c r="G37" s="165">
        <f t="shared" si="4"/>
        <v>37946</v>
      </c>
      <c r="H37" s="165">
        <f t="shared" si="4"/>
        <v>37076</v>
      </c>
      <c r="I37" s="166">
        <f t="shared" si="3"/>
        <v>-2.2927317767353572E-2</v>
      </c>
      <c r="J37" s="166">
        <f>H37/H25</f>
        <v>0.2538565295684384</v>
      </c>
    </row>
    <row r="38" spans="2:10" x14ac:dyDescent="0.25">
      <c r="B38" s="151" t="s">
        <v>45</v>
      </c>
      <c r="C38" s="170"/>
      <c r="D38" s="170"/>
      <c r="E38" s="170"/>
      <c r="F38" s="170"/>
      <c r="G38" s="170"/>
      <c r="H38" s="170"/>
      <c r="I38" s="171"/>
      <c r="J38" s="171"/>
    </row>
    <row r="39" spans="2:10" x14ac:dyDescent="0.25">
      <c r="B39" s="152" t="s">
        <v>68</v>
      </c>
      <c r="C39" s="172">
        <v>102767</v>
      </c>
      <c r="D39" s="172">
        <v>8010</v>
      </c>
      <c r="E39" s="172">
        <v>72992</v>
      </c>
      <c r="F39" s="172">
        <v>102127</v>
      </c>
      <c r="G39" s="172">
        <v>102161</v>
      </c>
      <c r="H39" s="172">
        <v>108758</v>
      </c>
      <c r="I39" s="173">
        <f t="shared" ref="I39:I51" si="5">IFERROR(H39/G39-1,"-")</f>
        <v>6.4574544101956732E-2</v>
      </c>
      <c r="J39" s="173">
        <f>H39/H39</f>
        <v>1</v>
      </c>
    </row>
    <row r="40" spans="2:10" x14ac:dyDescent="0.25">
      <c r="B40" s="155" t="s">
        <v>97</v>
      </c>
      <c r="C40" s="156">
        <v>5572</v>
      </c>
      <c r="D40" s="156">
        <v>1875</v>
      </c>
      <c r="E40" s="156">
        <v>4149</v>
      </c>
      <c r="F40" s="156">
        <v>5690</v>
      </c>
      <c r="G40" s="156">
        <v>4403</v>
      </c>
      <c r="H40" s="156">
        <v>5520</v>
      </c>
      <c r="I40" s="157">
        <f t="shared" si="5"/>
        <v>0.25369066545537144</v>
      </c>
      <c r="J40" s="157">
        <f>H40/H39</f>
        <v>5.0754886996818627E-2</v>
      </c>
    </row>
    <row r="41" spans="2:10" x14ac:dyDescent="0.25">
      <c r="B41" s="159" t="s">
        <v>103</v>
      </c>
      <c r="C41" s="160">
        <v>1922</v>
      </c>
      <c r="D41" s="160">
        <v>1580</v>
      </c>
      <c r="E41" s="160">
        <v>1546</v>
      </c>
      <c r="F41" s="160">
        <v>1425</v>
      </c>
      <c r="G41" s="160">
        <v>1184</v>
      </c>
      <c r="H41" s="160">
        <v>1783</v>
      </c>
      <c r="I41" s="161">
        <f t="shared" si="5"/>
        <v>0.50591216216216206</v>
      </c>
      <c r="J41" s="161">
        <f>H41/H39</f>
        <v>1.6394196289008626E-2</v>
      </c>
    </row>
    <row r="42" spans="2:10" x14ac:dyDescent="0.25">
      <c r="B42" s="159" t="s">
        <v>100</v>
      </c>
      <c r="C42" s="160">
        <v>3650</v>
      </c>
      <c r="D42" s="160">
        <v>295</v>
      </c>
      <c r="E42" s="160">
        <v>2603</v>
      </c>
      <c r="F42" s="160">
        <v>4265</v>
      </c>
      <c r="G42" s="160">
        <v>3219</v>
      </c>
      <c r="H42" s="160">
        <v>3737</v>
      </c>
      <c r="I42" s="161">
        <f t="shared" si="5"/>
        <v>0.16091954022988508</v>
      </c>
      <c r="J42" s="161">
        <f>H42/H39</f>
        <v>3.4360690707809997E-2</v>
      </c>
    </row>
    <row r="43" spans="2:10" x14ac:dyDescent="0.25">
      <c r="B43" s="155" t="s">
        <v>107</v>
      </c>
      <c r="C43" s="156">
        <v>97195</v>
      </c>
      <c r="D43" s="156">
        <v>6135</v>
      </c>
      <c r="E43" s="156">
        <v>68843</v>
      </c>
      <c r="F43" s="156">
        <v>96437</v>
      </c>
      <c r="G43" s="156">
        <v>97758</v>
      </c>
      <c r="H43" s="156">
        <v>103238</v>
      </c>
      <c r="I43" s="157">
        <f t="shared" si="5"/>
        <v>5.6056793305918617E-2</v>
      </c>
      <c r="J43" s="157">
        <f>H43/H39</f>
        <v>0.94924511300318137</v>
      </c>
    </row>
    <row r="44" spans="2:10" x14ac:dyDescent="0.25">
      <c r="B44" s="159" t="s">
        <v>110</v>
      </c>
      <c r="C44" s="160">
        <v>42402</v>
      </c>
      <c r="D44" s="160">
        <v>484</v>
      </c>
      <c r="E44" s="160">
        <v>22981</v>
      </c>
      <c r="F44" s="160">
        <v>38867</v>
      </c>
      <c r="G44" s="160">
        <v>41827</v>
      </c>
      <c r="H44" s="160">
        <v>45798</v>
      </c>
      <c r="I44" s="161">
        <f t="shared" si="5"/>
        <v>9.493867597484873E-2</v>
      </c>
      <c r="J44" s="161">
        <f>H44/H39</f>
        <v>0.42110005700730063</v>
      </c>
    </row>
    <row r="45" spans="2:10" x14ac:dyDescent="0.25">
      <c r="B45" s="159" t="s">
        <v>113</v>
      </c>
      <c r="C45" s="160">
        <v>4685</v>
      </c>
      <c r="D45" s="160">
        <v>536</v>
      </c>
      <c r="E45" s="160">
        <v>3124</v>
      </c>
      <c r="F45" s="160">
        <v>4168</v>
      </c>
      <c r="G45" s="160">
        <v>4030</v>
      </c>
      <c r="H45" s="160">
        <v>4255</v>
      </c>
      <c r="I45" s="161">
        <f t="shared" si="5"/>
        <v>5.583126550868478E-2</v>
      </c>
      <c r="J45" s="161">
        <f>H45/H39</f>
        <v>3.9123558726714358E-2</v>
      </c>
    </row>
    <row r="46" spans="2:10" x14ac:dyDescent="0.25">
      <c r="B46" s="159" t="s">
        <v>116</v>
      </c>
      <c r="C46" s="160">
        <v>2336</v>
      </c>
      <c r="D46" s="160">
        <v>719</v>
      </c>
      <c r="E46" s="160">
        <v>1823</v>
      </c>
      <c r="F46" s="160">
        <v>2209</v>
      </c>
      <c r="G46" s="160">
        <v>2149</v>
      </c>
      <c r="H46" s="160">
        <v>2358</v>
      </c>
      <c r="I46" s="161">
        <f t="shared" si="5"/>
        <v>9.7254536993950591E-2</v>
      </c>
      <c r="J46" s="161">
        <f>H46/H39</f>
        <v>2.1681163684510566E-2</v>
      </c>
    </row>
    <row r="47" spans="2:10" x14ac:dyDescent="0.25">
      <c r="B47" s="159" t="s">
        <v>123</v>
      </c>
      <c r="C47" s="160">
        <v>4476</v>
      </c>
      <c r="D47" s="160">
        <v>187</v>
      </c>
      <c r="E47" s="160">
        <v>4334</v>
      </c>
      <c r="F47" s="160">
        <v>4245</v>
      </c>
      <c r="G47" s="160">
        <v>4309</v>
      </c>
      <c r="H47" s="160">
        <v>3827</v>
      </c>
      <c r="I47" s="161">
        <f t="shared" si="5"/>
        <v>-0.11185889997679277</v>
      </c>
      <c r="J47" s="161">
        <f>H47/H39</f>
        <v>3.5188216039279872E-2</v>
      </c>
    </row>
    <row r="48" spans="2:10" x14ac:dyDescent="0.25">
      <c r="B48" s="159" t="s">
        <v>119</v>
      </c>
      <c r="C48" s="160">
        <v>4296</v>
      </c>
      <c r="D48" s="160">
        <v>284</v>
      </c>
      <c r="E48" s="160">
        <v>2729</v>
      </c>
      <c r="F48" s="160">
        <v>4058</v>
      </c>
      <c r="G48" s="160">
        <v>4254</v>
      </c>
      <c r="H48" s="160">
        <v>3018</v>
      </c>
      <c r="I48" s="161">
        <f t="shared" si="5"/>
        <v>-0.29055007052186177</v>
      </c>
      <c r="J48" s="161">
        <f>H48/H39</f>
        <v>2.7749682781956268E-2</v>
      </c>
    </row>
    <row r="49" spans="2:10" x14ac:dyDescent="0.25">
      <c r="B49" s="159" t="s">
        <v>128</v>
      </c>
      <c r="C49" s="160">
        <v>3686</v>
      </c>
      <c r="D49" s="160">
        <v>75</v>
      </c>
      <c r="E49" s="160">
        <v>3265</v>
      </c>
      <c r="F49" s="160">
        <v>3804</v>
      </c>
      <c r="G49" s="160">
        <v>3499</v>
      </c>
      <c r="H49" s="160">
        <v>3174</v>
      </c>
      <c r="I49" s="161">
        <f t="shared" si="5"/>
        <v>-9.2883681051729061E-2</v>
      </c>
      <c r="J49" s="161">
        <f>H49/H39</f>
        <v>2.918406002317071E-2</v>
      </c>
    </row>
    <row r="50" spans="2:10" x14ac:dyDescent="0.25">
      <c r="B50" s="159" t="s">
        <v>131</v>
      </c>
      <c r="C50" s="160">
        <v>6518</v>
      </c>
      <c r="D50" s="160">
        <v>551</v>
      </c>
      <c r="E50" s="160">
        <v>3828</v>
      </c>
      <c r="F50" s="160">
        <v>4420</v>
      </c>
      <c r="G50" s="160">
        <v>4823</v>
      </c>
      <c r="H50" s="160">
        <v>3438</v>
      </c>
      <c r="I50" s="161">
        <f t="shared" si="5"/>
        <v>-0.28716566452415504</v>
      </c>
      <c r="J50" s="161">
        <f>H50/H39</f>
        <v>3.1611467662148993E-2</v>
      </c>
    </row>
    <row r="51" spans="2:10" x14ac:dyDescent="0.25">
      <c r="B51" s="164" t="s">
        <v>145</v>
      </c>
      <c r="C51" s="165">
        <f t="shared" ref="C51:H51" si="6">C43-SUM(C44:C50)</f>
        <v>28796</v>
      </c>
      <c r="D51" s="165">
        <f t="shared" si="6"/>
        <v>3299</v>
      </c>
      <c r="E51" s="165">
        <f t="shared" si="6"/>
        <v>26759</v>
      </c>
      <c r="F51" s="165">
        <f t="shared" si="6"/>
        <v>34666</v>
      </c>
      <c r="G51" s="165">
        <f t="shared" si="6"/>
        <v>32867</v>
      </c>
      <c r="H51" s="165">
        <f t="shared" si="6"/>
        <v>37370</v>
      </c>
      <c r="I51" s="166">
        <f t="shared" si="5"/>
        <v>0.13700672406973569</v>
      </c>
      <c r="J51" s="166">
        <f>H51/H39</f>
        <v>0.34360690707809999</v>
      </c>
    </row>
    <row r="52" spans="2:10" x14ac:dyDescent="0.25">
      <c r="B52" s="151" t="s">
        <v>46</v>
      </c>
      <c r="C52" s="170"/>
      <c r="D52" s="170"/>
      <c r="E52" s="170"/>
      <c r="F52" s="170"/>
      <c r="G52" s="170"/>
      <c r="H52" s="170"/>
      <c r="I52" s="171"/>
      <c r="J52" s="171"/>
    </row>
    <row r="53" spans="2:10" x14ac:dyDescent="0.25">
      <c r="B53" s="152" t="s">
        <v>68</v>
      </c>
      <c r="C53" s="172">
        <v>3774</v>
      </c>
      <c r="D53" s="172">
        <v>596</v>
      </c>
      <c r="E53" s="172">
        <v>2563</v>
      </c>
      <c r="F53" s="172">
        <v>6916</v>
      </c>
      <c r="G53" s="172">
        <v>4476</v>
      </c>
      <c r="H53" s="172">
        <v>4609</v>
      </c>
      <c r="I53" s="173">
        <f t="shared" ref="I53:I65" si="7">IFERROR(H53/G53-1,"-")</f>
        <v>2.9714030384271561E-2</v>
      </c>
      <c r="J53" s="173">
        <f>H53/H53</f>
        <v>1</v>
      </c>
    </row>
    <row r="54" spans="2:10" x14ac:dyDescent="0.25">
      <c r="B54" s="155" t="s">
        <v>97</v>
      </c>
      <c r="C54" s="156">
        <v>425</v>
      </c>
      <c r="D54" s="156">
        <v>107</v>
      </c>
      <c r="E54" s="156">
        <v>161</v>
      </c>
      <c r="F54" s="156">
        <v>3478</v>
      </c>
      <c r="G54" s="156">
        <v>596</v>
      </c>
      <c r="H54" s="156">
        <v>902</v>
      </c>
      <c r="I54" s="157">
        <f t="shared" si="7"/>
        <v>0.51342281879194629</v>
      </c>
      <c r="J54" s="157">
        <f>H54/H53</f>
        <v>0.19570405727923629</v>
      </c>
    </row>
    <row r="55" spans="2:10" x14ac:dyDescent="0.25">
      <c r="B55" s="159" t="s">
        <v>103</v>
      </c>
      <c r="C55" s="160">
        <v>208</v>
      </c>
      <c r="D55" s="160">
        <v>45</v>
      </c>
      <c r="E55" s="160">
        <v>36</v>
      </c>
      <c r="F55" s="160">
        <v>2737</v>
      </c>
      <c r="G55" s="160">
        <v>279</v>
      </c>
      <c r="H55" s="160">
        <v>397</v>
      </c>
      <c r="I55" s="161">
        <f t="shared" si="7"/>
        <v>0.42293906810035842</v>
      </c>
      <c r="J55" s="161">
        <f>H55/H53</f>
        <v>8.6135821219353439E-2</v>
      </c>
    </row>
    <row r="56" spans="2:10" x14ac:dyDescent="0.25">
      <c r="B56" s="159" t="s">
        <v>100</v>
      </c>
      <c r="C56" s="160">
        <v>217</v>
      </c>
      <c r="D56" s="160">
        <v>62</v>
      </c>
      <c r="E56" s="160">
        <v>125</v>
      </c>
      <c r="F56" s="160">
        <v>741</v>
      </c>
      <c r="G56" s="160">
        <v>317</v>
      </c>
      <c r="H56" s="160">
        <v>505</v>
      </c>
      <c r="I56" s="161">
        <f t="shared" si="7"/>
        <v>0.59305993690851744</v>
      </c>
      <c r="J56" s="161">
        <f>H56/H53</f>
        <v>0.10956823605988283</v>
      </c>
    </row>
    <row r="57" spans="2:10" x14ac:dyDescent="0.25">
      <c r="B57" s="155" t="s">
        <v>107</v>
      </c>
      <c r="C57" s="156">
        <v>3349</v>
      </c>
      <c r="D57" s="156">
        <v>489</v>
      </c>
      <c r="E57" s="156">
        <v>2402</v>
      </c>
      <c r="F57" s="156">
        <v>3438</v>
      </c>
      <c r="G57" s="156">
        <v>3880</v>
      </c>
      <c r="H57" s="156">
        <v>3707</v>
      </c>
      <c r="I57" s="157">
        <f t="shared" si="7"/>
        <v>-4.4587628865979334E-2</v>
      </c>
      <c r="J57" s="157">
        <f>H57/H53</f>
        <v>0.80429594272076377</v>
      </c>
    </row>
    <row r="58" spans="2:10" x14ac:dyDescent="0.25">
      <c r="B58" s="159" t="s">
        <v>110</v>
      </c>
      <c r="C58" s="160">
        <v>852</v>
      </c>
      <c r="D58" s="160">
        <v>19</v>
      </c>
      <c r="E58" s="160">
        <v>648</v>
      </c>
      <c r="F58" s="160">
        <v>943</v>
      </c>
      <c r="G58" s="160">
        <v>917</v>
      </c>
      <c r="H58" s="160">
        <v>1246</v>
      </c>
      <c r="I58" s="161">
        <f t="shared" si="7"/>
        <v>0.35877862595419852</v>
      </c>
      <c r="J58" s="161">
        <f>H58/H53</f>
        <v>0.27034063788240398</v>
      </c>
    </row>
    <row r="59" spans="2:10" x14ac:dyDescent="0.25">
      <c r="B59" s="159" t="s">
        <v>113</v>
      </c>
      <c r="C59" s="160">
        <v>889</v>
      </c>
      <c r="D59" s="160">
        <v>168</v>
      </c>
      <c r="E59" s="160">
        <v>758</v>
      </c>
      <c r="F59" s="160">
        <v>580</v>
      </c>
      <c r="G59" s="160">
        <v>1058</v>
      </c>
      <c r="H59" s="160">
        <v>854</v>
      </c>
      <c r="I59" s="161">
        <f t="shared" si="7"/>
        <v>-0.19281663516068048</v>
      </c>
      <c r="J59" s="161">
        <f>H59/H53</f>
        <v>0.18528965068344544</v>
      </c>
    </row>
    <row r="60" spans="2:10" x14ac:dyDescent="0.25">
      <c r="B60" s="159" t="s">
        <v>116</v>
      </c>
      <c r="C60" s="160">
        <v>181</v>
      </c>
      <c r="D60" s="160">
        <v>42</v>
      </c>
      <c r="E60" s="160">
        <v>117</v>
      </c>
      <c r="F60" s="160">
        <v>348</v>
      </c>
      <c r="G60" s="160">
        <v>271</v>
      </c>
      <c r="H60" s="160">
        <v>191</v>
      </c>
      <c r="I60" s="161">
        <f t="shared" si="7"/>
        <v>-0.29520295202952029</v>
      </c>
      <c r="J60" s="161">
        <f>H60/H53</f>
        <v>4.1440659579084403E-2</v>
      </c>
    </row>
    <row r="61" spans="2:10" x14ac:dyDescent="0.25">
      <c r="B61" s="159" t="s">
        <v>123</v>
      </c>
      <c r="C61" s="160">
        <v>86</v>
      </c>
      <c r="D61" s="160">
        <v>14</v>
      </c>
      <c r="E61" s="160">
        <v>98</v>
      </c>
      <c r="F61" s="160">
        <v>80</v>
      </c>
      <c r="G61" s="160">
        <v>132</v>
      </c>
      <c r="H61" s="160">
        <v>141</v>
      </c>
      <c r="I61" s="161">
        <f t="shared" si="7"/>
        <v>6.8181818181818121E-2</v>
      </c>
      <c r="J61" s="161">
        <f>H61/H53</f>
        <v>3.0592319375135603E-2</v>
      </c>
    </row>
    <row r="62" spans="2:10" x14ac:dyDescent="0.25">
      <c r="B62" s="159" t="s">
        <v>119</v>
      </c>
      <c r="C62" s="160">
        <v>70</v>
      </c>
      <c r="D62" s="160">
        <v>18</v>
      </c>
      <c r="E62" s="160">
        <v>89</v>
      </c>
      <c r="F62" s="160">
        <v>76</v>
      </c>
      <c r="G62" s="160">
        <v>165</v>
      </c>
      <c r="H62" s="160">
        <v>109</v>
      </c>
      <c r="I62" s="161">
        <f t="shared" si="7"/>
        <v>-0.33939393939393936</v>
      </c>
      <c r="J62" s="161">
        <f>H62/H53</f>
        <v>2.3649381644608374E-2</v>
      </c>
    </row>
    <row r="63" spans="2:10" x14ac:dyDescent="0.25">
      <c r="B63" s="159" t="s">
        <v>128</v>
      </c>
      <c r="C63" s="160">
        <v>82</v>
      </c>
      <c r="D63" s="160">
        <v>3</v>
      </c>
      <c r="E63" s="160">
        <v>13</v>
      </c>
      <c r="F63" s="160">
        <v>52</v>
      </c>
      <c r="G63" s="160">
        <v>31</v>
      </c>
      <c r="H63" s="160">
        <v>38</v>
      </c>
      <c r="I63" s="161">
        <f t="shared" si="7"/>
        <v>0.22580645161290325</v>
      </c>
      <c r="J63" s="161">
        <f>H63/H53</f>
        <v>8.2447385550010847E-3</v>
      </c>
    </row>
    <row r="64" spans="2:10" x14ac:dyDescent="0.25">
      <c r="B64" s="159" t="s">
        <v>131</v>
      </c>
      <c r="C64" s="160">
        <v>120</v>
      </c>
      <c r="D64" s="160">
        <v>2</v>
      </c>
      <c r="E64" s="160">
        <v>29</v>
      </c>
      <c r="F64" s="160">
        <v>48</v>
      </c>
      <c r="G64" s="160">
        <v>15</v>
      </c>
      <c r="H64" s="160">
        <v>53</v>
      </c>
      <c r="I64" s="161">
        <f t="shared" si="7"/>
        <v>2.5333333333333332</v>
      </c>
      <c r="J64" s="161">
        <f>H64/H53</f>
        <v>1.1499240616185723E-2</v>
      </c>
    </row>
    <row r="65" spans="2:10" x14ac:dyDescent="0.25">
      <c r="B65" s="164" t="s">
        <v>145</v>
      </c>
      <c r="C65" s="165">
        <f t="shared" ref="C65:H65" si="8">C57-SUM(C58:C64)</f>
        <v>1069</v>
      </c>
      <c r="D65" s="165">
        <f t="shared" si="8"/>
        <v>223</v>
      </c>
      <c r="E65" s="165">
        <f t="shared" si="8"/>
        <v>650</v>
      </c>
      <c r="F65" s="165">
        <f t="shared" si="8"/>
        <v>1311</v>
      </c>
      <c r="G65" s="165">
        <f t="shared" si="8"/>
        <v>1291</v>
      </c>
      <c r="H65" s="165">
        <f t="shared" si="8"/>
        <v>1075</v>
      </c>
      <c r="I65" s="166">
        <f t="shared" si="7"/>
        <v>-0.16731216111541436</v>
      </c>
      <c r="J65" s="166">
        <f>H65/H53</f>
        <v>0.23323931438489912</v>
      </c>
    </row>
    <row r="66" spans="2:10" x14ac:dyDescent="0.25">
      <c r="B66" s="151" t="s">
        <v>47</v>
      </c>
      <c r="C66" s="170"/>
      <c r="D66" s="170"/>
      <c r="E66" s="170"/>
      <c r="F66" s="170"/>
      <c r="G66" s="170"/>
      <c r="H66" s="170"/>
      <c r="I66" s="171"/>
      <c r="J66" s="171"/>
    </row>
    <row r="67" spans="2:10" x14ac:dyDescent="0.25">
      <c r="B67" s="152" t="s">
        <v>68</v>
      </c>
      <c r="C67" s="172">
        <v>9813</v>
      </c>
      <c r="D67" s="172">
        <v>1197</v>
      </c>
      <c r="E67" s="172">
        <v>9896</v>
      </c>
      <c r="F67" s="172">
        <v>17947</v>
      </c>
      <c r="G67" s="172">
        <v>15841</v>
      </c>
      <c r="H67" s="172">
        <v>14788</v>
      </c>
      <c r="I67" s="173">
        <f t="shared" ref="I67:I79" si="9">IFERROR(H67/G67-1,"-")</f>
        <v>-6.6473076194684677E-2</v>
      </c>
      <c r="J67" s="173">
        <f>H67/H67</f>
        <v>1</v>
      </c>
    </row>
    <row r="68" spans="2:10" x14ac:dyDescent="0.25">
      <c r="B68" s="155" t="s">
        <v>97</v>
      </c>
      <c r="C68" s="156">
        <v>2373</v>
      </c>
      <c r="D68" s="156">
        <v>570</v>
      </c>
      <c r="E68" s="156">
        <v>2005</v>
      </c>
      <c r="F68" s="156">
        <v>2787</v>
      </c>
      <c r="G68" s="156">
        <v>2799</v>
      </c>
      <c r="H68" s="156">
        <v>2131</v>
      </c>
      <c r="I68" s="157">
        <f t="shared" si="9"/>
        <v>-0.23865666309396216</v>
      </c>
      <c r="J68" s="157">
        <f>H68/H67</f>
        <v>0.14410332702190964</v>
      </c>
    </row>
    <row r="69" spans="2:10" x14ac:dyDescent="0.25">
      <c r="B69" s="159" t="s">
        <v>103</v>
      </c>
      <c r="C69" s="160">
        <v>790</v>
      </c>
      <c r="D69" s="160">
        <v>562</v>
      </c>
      <c r="E69" s="160">
        <v>1209</v>
      </c>
      <c r="F69" s="160">
        <v>2239</v>
      </c>
      <c r="G69" s="160">
        <v>1837</v>
      </c>
      <c r="H69" s="160">
        <v>407</v>
      </c>
      <c r="I69" s="161">
        <f t="shared" si="9"/>
        <v>-0.77844311377245512</v>
      </c>
      <c r="J69" s="161">
        <f>H69/H67</f>
        <v>2.7522315390857453E-2</v>
      </c>
    </row>
    <row r="70" spans="2:10" x14ac:dyDescent="0.25">
      <c r="B70" s="159" t="s">
        <v>100</v>
      </c>
      <c r="C70" s="160">
        <v>1583</v>
      </c>
      <c r="D70" s="160">
        <v>8</v>
      </c>
      <c r="E70" s="160">
        <v>796</v>
      </c>
      <c r="F70" s="160">
        <v>548</v>
      </c>
      <c r="G70" s="160">
        <v>962</v>
      </c>
      <c r="H70" s="160">
        <v>1724</v>
      </c>
      <c r="I70" s="161">
        <f t="shared" si="9"/>
        <v>0.79209979209979209</v>
      </c>
      <c r="J70" s="161">
        <f>H70/H67</f>
        <v>0.11658101163105221</v>
      </c>
    </row>
    <row r="71" spans="2:10" x14ac:dyDescent="0.25">
      <c r="B71" s="155" t="s">
        <v>107</v>
      </c>
      <c r="C71" s="156">
        <v>7440</v>
      </c>
      <c r="D71" s="156">
        <v>627</v>
      </c>
      <c r="E71" s="156">
        <v>7891</v>
      </c>
      <c r="F71" s="156">
        <v>15160</v>
      </c>
      <c r="G71" s="156">
        <v>13042</v>
      </c>
      <c r="H71" s="156">
        <v>12657</v>
      </c>
      <c r="I71" s="157">
        <f t="shared" si="9"/>
        <v>-2.9520012268057005E-2</v>
      </c>
      <c r="J71" s="157">
        <f>H71/H67</f>
        <v>0.85589667297809036</v>
      </c>
    </row>
    <row r="72" spans="2:10" x14ac:dyDescent="0.25">
      <c r="B72" s="159" t="s">
        <v>110</v>
      </c>
      <c r="C72" s="160">
        <v>2400</v>
      </c>
      <c r="D72" s="160">
        <v>4</v>
      </c>
      <c r="E72" s="160">
        <v>1707</v>
      </c>
      <c r="F72" s="160">
        <v>4748</v>
      </c>
      <c r="G72" s="160">
        <v>6517</v>
      </c>
      <c r="H72" s="160">
        <v>5283</v>
      </c>
      <c r="I72" s="161">
        <f t="shared" si="9"/>
        <v>-0.18935092834126133</v>
      </c>
      <c r="J72" s="161">
        <f>H72/H67</f>
        <v>0.35724912090884503</v>
      </c>
    </row>
    <row r="73" spans="2:10" x14ac:dyDescent="0.25">
      <c r="B73" s="159" t="s">
        <v>113</v>
      </c>
      <c r="C73" s="160">
        <v>846</v>
      </c>
      <c r="D73" s="160">
        <v>101</v>
      </c>
      <c r="E73" s="160">
        <v>371</v>
      </c>
      <c r="F73" s="160">
        <v>883</v>
      </c>
      <c r="G73" s="160">
        <v>1186</v>
      </c>
      <c r="H73" s="160">
        <v>1034</v>
      </c>
      <c r="I73" s="161">
        <f t="shared" si="9"/>
        <v>-0.12816188870151768</v>
      </c>
      <c r="J73" s="161">
        <f>H73/H67</f>
        <v>6.9921558020016233E-2</v>
      </c>
    </row>
    <row r="74" spans="2:10" x14ac:dyDescent="0.25">
      <c r="B74" s="159" t="s">
        <v>116</v>
      </c>
      <c r="C74" s="160">
        <v>1284</v>
      </c>
      <c r="D74" s="160">
        <v>48</v>
      </c>
      <c r="E74" s="160">
        <v>1189</v>
      </c>
      <c r="F74" s="160">
        <v>2179</v>
      </c>
      <c r="G74" s="160">
        <v>417</v>
      </c>
      <c r="H74" s="160">
        <v>658</v>
      </c>
      <c r="I74" s="161">
        <f t="shared" si="9"/>
        <v>0.57793764988009588</v>
      </c>
      <c r="J74" s="161">
        <f>H74/H67</f>
        <v>4.4495536921828512E-2</v>
      </c>
    </row>
    <row r="75" spans="2:10" x14ac:dyDescent="0.25">
      <c r="B75" s="159" t="s">
        <v>123</v>
      </c>
      <c r="C75" s="160">
        <v>55</v>
      </c>
      <c r="D75" s="160">
        <v>0</v>
      </c>
      <c r="E75" s="160">
        <v>837</v>
      </c>
      <c r="F75" s="160">
        <v>386</v>
      </c>
      <c r="G75" s="160">
        <v>605</v>
      </c>
      <c r="H75" s="160">
        <v>580</v>
      </c>
      <c r="I75" s="161">
        <f t="shared" si="9"/>
        <v>-4.132231404958675E-2</v>
      </c>
      <c r="J75" s="161">
        <f>H75/H67</f>
        <v>3.9220989991885315E-2</v>
      </c>
    </row>
    <row r="76" spans="2:10" x14ac:dyDescent="0.25">
      <c r="B76" s="159" t="s">
        <v>119</v>
      </c>
      <c r="C76" s="160">
        <v>146</v>
      </c>
      <c r="D76" s="160">
        <v>151</v>
      </c>
      <c r="E76" s="160">
        <v>210</v>
      </c>
      <c r="F76" s="160">
        <v>293</v>
      </c>
      <c r="G76" s="160">
        <v>171</v>
      </c>
      <c r="H76" s="160">
        <v>266</v>
      </c>
      <c r="I76" s="161">
        <f t="shared" si="9"/>
        <v>0.55555555555555558</v>
      </c>
      <c r="J76" s="161">
        <f>H76/H67</f>
        <v>1.7987557479037058E-2</v>
      </c>
    </row>
    <row r="77" spans="2:10" x14ac:dyDescent="0.25">
      <c r="B77" s="159" t="s">
        <v>128</v>
      </c>
      <c r="C77" s="160">
        <v>276</v>
      </c>
      <c r="D77" s="160">
        <v>0</v>
      </c>
      <c r="E77" s="160">
        <v>480</v>
      </c>
      <c r="F77" s="160">
        <v>1197</v>
      </c>
      <c r="G77" s="160">
        <v>268</v>
      </c>
      <c r="H77" s="160">
        <v>408</v>
      </c>
      <c r="I77" s="161">
        <f t="shared" si="9"/>
        <v>0.52238805970149249</v>
      </c>
      <c r="J77" s="161">
        <f>H77/H67</f>
        <v>2.7589937787395186E-2</v>
      </c>
    </row>
    <row r="78" spans="2:10" x14ac:dyDescent="0.25">
      <c r="B78" s="159" t="s">
        <v>131</v>
      </c>
      <c r="C78" s="160">
        <v>319</v>
      </c>
      <c r="D78" s="160">
        <v>0</v>
      </c>
      <c r="E78" s="160">
        <v>164</v>
      </c>
      <c r="F78" s="160">
        <v>310</v>
      </c>
      <c r="G78" s="160">
        <v>502</v>
      </c>
      <c r="H78" s="160">
        <v>598</v>
      </c>
      <c r="I78" s="161">
        <f t="shared" si="9"/>
        <v>0.19123505976095623</v>
      </c>
      <c r="J78" s="161">
        <f>H78/H67</f>
        <v>4.0438193129564509E-2</v>
      </c>
    </row>
    <row r="79" spans="2:10" x14ac:dyDescent="0.25">
      <c r="B79" s="164" t="s">
        <v>145</v>
      </c>
      <c r="C79" s="165">
        <f t="shared" ref="C79:H79" si="10">C71-SUM(C72:C78)</f>
        <v>2114</v>
      </c>
      <c r="D79" s="165">
        <f t="shared" si="10"/>
        <v>323</v>
      </c>
      <c r="E79" s="165">
        <f t="shared" si="10"/>
        <v>2933</v>
      </c>
      <c r="F79" s="165">
        <f t="shared" si="10"/>
        <v>5164</v>
      </c>
      <c r="G79" s="165">
        <f t="shared" si="10"/>
        <v>3376</v>
      </c>
      <c r="H79" s="165">
        <f t="shared" si="10"/>
        <v>3830</v>
      </c>
      <c r="I79" s="166">
        <f t="shared" si="9"/>
        <v>0.13447867298578209</v>
      </c>
      <c r="J79" s="166">
        <f>H79/H67</f>
        <v>0.25899377873951851</v>
      </c>
    </row>
    <row r="80" spans="2:10" x14ac:dyDescent="0.25">
      <c r="B80" s="151" t="s">
        <v>48</v>
      </c>
      <c r="C80" s="170"/>
      <c r="D80" s="170"/>
      <c r="E80" s="170"/>
      <c r="F80" s="170"/>
      <c r="G80" s="170"/>
      <c r="H80" s="170"/>
      <c r="I80" s="171"/>
      <c r="J80" s="171"/>
    </row>
    <row r="81" spans="2:10" x14ac:dyDescent="0.25">
      <c r="B81" s="152" t="s">
        <v>68</v>
      </c>
      <c r="C81" s="172">
        <v>61311</v>
      </c>
      <c r="D81" s="172">
        <v>4603</v>
      </c>
      <c r="E81" s="172">
        <v>36105</v>
      </c>
      <c r="F81" s="172">
        <v>60088</v>
      </c>
      <c r="G81" s="172">
        <v>64481</v>
      </c>
      <c r="H81" s="172">
        <v>65410</v>
      </c>
      <c r="I81" s="173">
        <f t="shared" ref="I81:I93" si="11">IFERROR(H81/G81-1,"-")</f>
        <v>1.4407344799243216E-2</v>
      </c>
      <c r="J81" s="173">
        <f>H81/H81</f>
        <v>1</v>
      </c>
    </row>
    <row r="82" spans="2:10" x14ac:dyDescent="0.25">
      <c r="B82" s="155" t="s">
        <v>97</v>
      </c>
      <c r="C82" s="156">
        <v>19992</v>
      </c>
      <c r="D82" s="156">
        <v>2136</v>
      </c>
      <c r="E82" s="156">
        <v>12392</v>
      </c>
      <c r="F82" s="156">
        <v>18745</v>
      </c>
      <c r="G82" s="156">
        <v>17189</v>
      </c>
      <c r="H82" s="156">
        <v>18625</v>
      </c>
      <c r="I82" s="157">
        <f t="shared" si="11"/>
        <v>8.3541799988364751E-2</v>
      </c>
      <c r="J82" s="157">
        <f>H82/H81</f>
        <v>0.28474239412933799</v>
      </c>
    </row>
    <row r="83" spans="2:10" x14ac:dyDescent="0.25">
      <c r="B83" s="159" t="s">
        <v>103</v>
      </c>
      <c r="C83" s="160">
        <v>3543</v>
      </c>
      <c r="D83" s="160">
        <v>1101</v>
      </c>
      <c r="E83" s="160">
        <v>3148</v>
      </c>
      <c r="F83" s="160">
        <v>3614</v>
      </c>
      <c r="G83" s="160">
        <v>3298</v>
      </c>
      <c r="H83" s="160">
        <v>3813</v>
      </c>
      <c r="I83" s="161">
        <f t="shared" si="11"/>
        <v>0.15615524560339589</v>
      </c>
      <c r="J83" s="161">
        <f>H83/H81</f>
        <v>5.829383886255924E-2</v>
      </c>
    </row>
    <row r="84" spans="2:10" x14ac:dyDescent="0.25">
      <c r="B84" s="159" t="s">
        <v>100</v>
      </c>
      <c r="C84" s="160">
        <v>16449</v>
      </c>
      <c r="D84" s="160">
        <v>1035</v>
      </c>
      <c r="E84" s="160">
        <v>9244</v>
      </c>
      <c r="F84" s="160">
        <v>15131</v>
      </c>
      <c r="G84" s="160">
        <v>13891</v>
      </c>
      <c r="H84" s="160">
        <v>14812</v>
      </c>
      <c r="I84" s="161">
        <f t="shared" si="11"/>
        <v>6.6301922107839584E-2</v>
      </c>
      <c r="J84" s="161">
        <f>H84/H81</f>
        <v>0.22644855526677879</v>
      </c>
    </row>
    <row r="85" spans="2:10" x14ac:dyDescent="0.25">
      <c r="B85" s="155" t="s">
        <v>107</v>
      </c>
      <c r="C85" s="156">
        <v>41319</v>
      </c>
      <c r="D85" s="156">
        <v>2467</v>
      </c>
      <c r="E85" s="156">
        <v>23713</v>
      </c>
      <c r="F85" s="156">
        <v>41343</v>
      </c>
      <c r="G85" s="156">
        <v>47292</v>
      </c>
      <c r="H85" s="156">
        <v>46785</v>
      </c>
      <c r="I85" s="157">
        <f t="shared" si="11"/>
        <v>-1.0720629281908201E-2</v>
      </c>
      <c r="J85" s="157">
        <f>H85/H81</f>
        <v>0.71525760587066201</v>
      </c>
    </row>
    <row r="86" spans="2:10" x14ac:dyDescent="0.25">
      <c r="B86" s="159" t="s">
        <v>110</v>
      </c>
      <c r="C86" s="160">
        <v>7157</v>
      </c>
      <c r="D86" s="160">
        <v>221</v>
      </c>
      <c r="E86" s="160">
        <v>2891</v>
      </c>
      <c r="F86" s="160">
        <v>7281</v>
      </c>
      <c r="G86" s="160">
        <v>9178</v>
      </c>
      <c r="H86" s="160">
        <v>8953</v>
      </c>
      <c r="I86" s="161">
        <f t="shared" si="11"/>
        <v>-2.4515144911745446E-2</v>
      </c>
      <c r="J86" s="161">
        <f>H86/H81</f>
        <v>0.13687509555113897</v>
      </c>
    </row>
    <row r="87" spans="2:10" x14ac:dyDescent="0.25">
      <c r="B87" s="159" t="s">
        <v>113</v>
      </c>
      <c r="C87" s="160">
        <v>14156</v>
      </c>
      <c r="D87" s="160">
        <v>532</v>
      </c>
      <c r="E87" s="160">
        <v>7114</v>
      </c>
      <c r="F87" s="160">
        <v>12895</v>
      </c>
      <c r="G87" s="160">
        <v>14175</v>
      </c>
      <c r="H87" s="160">
        <v>14162</v>
      </c>
      <c r="I87" s="161">
        <f t="shared" si="11"/>
        <v>-9.1710758377427926E-4</v>
      </c>
      <c r="J87" s="161">
        <f>H87/H81</f>
        <v>0.21651123681394283</v>
      </c>
    </row>
    <row r="88" spans="2:10" x14ac:dyDescent="0.25">
      <c r="B88" s="159" t="s">
        <v>116</v>
      </c>
      <c r="C88" s="160">
        <v>2065</v>
      </c>
      <c r="D88" s="160">
        <v>561</v>
      </c>
      <c r="E88" s="160">
        <v>1736</v>
      </c>
      <c r="F88" s="160">
        <v>3060</v>
      </c>
      <c r="G88" s="160">
        <v>3566</v>
      </c>
      <c r="H88" s="160">
        <v>3619</v>
      </c>
      <c r="I88" s="161">
        <f t="shared" si="11"/>
        <v>1.4862591138530501E-2</v>
      </c>
      <c r="J88" s="161">
        <f>H88/H81</f>
        <v>5.5327931508943586E-2</v>
      </c>
    </row>
    <row r="89" spans="2:10" x14ac:dyDescent="0.25">
      <c r="B89" s="159" t="s">
        <v>123</v>
      </c>
      <c r="C89" s="160">
        <v>543</v>
      </c>
      <c r="D89" s="160">
        <v>25</v>
      </c>
      <c r="E89" s="160">
        <v>1010</v>
      </c>
      <c r="F89" s="160">
        <v>878</v>
      </c>
      <c r="G89" s="160">
        <v>1284</v>
      </c>
      <c r="H89" s="160">
        <v>1405</v>
      </c>
      <c r="I89" s="161">
        <f t="shared" si="11"/>
        <v>9.4236760124610575E-2</v>
      </c>
      <c r="J89" s="161">
        <f>H89/H81</f>
        <v>2.14798960403608E-2</v>
      </c>
    </row>
    <row r="90" spans="2:10" x14ac:dyDescent="0.25">
      <c r="B90" s="159" t="s">
        <v>119</v>
      </c>
      <c r="C90" s="160">
        <v>433</v>
      </c>
      <c r="D90" s="160">
        <v>79</v>
      </c>
      <c r="E90" s="160">
        <v>563</v>
      </c>
      <c r="F90" s="160">
        <v>577</v>
      </c>
      <c r="G90" s="160">
        <v>552</v>
      </c>
      <c r="H90" s="160">
        <v>792</v>
      </c>
      <c r="I90" s="161">
        <f t="shared" si="11"/>
        <v>0.43478260869565211</v>
      </c>
      <c r="J90" s="161">
        <f>H90/H81</f>
        <v>1.2108240330224736E-2</v>
      </c>
    </row>
    <row r="91" spans="2:10" x14ac:dyDescent="0.25">
      <c r="B91" s="159" t="s">
        <v>128</v>
      </c>
      <c r="C91" s="160">
        <v>1251</v>
      </c>
      <c r="D91" s="160">
        <v>13</v>
      </c>
      <c r="E91" s="160">
        <v>889</v>
      </c>
      <c r="F91" s="160">
        <v>1686</v>
      </c>
      <c r="G91" s="160">
        <v>1354</v>
      </c>
      <c r="H91" s="160">
        <v>1213</v>
      </c>
      <c r="I91" s="161">
        <f t="shared" si="11"/>
        <v>-0.104135893648449</v>
      </c>
      <c r="J91" s="161">
        <f>H91/H81</f>
        <v>1.8544565051215409E-2</v>
      </c>
    </row>
    <row r="92" spans="2:10" x14ac:dyDescent="0.25">
      <c r="B92" s="159" t="s">
        <v>131</v>
      </c>
      <c r="C92" s="160">
        <v>2201</v>
      </c>
      <c r="D92" s="160">
        <v>74</v>
      </c>
      <c r="E92" s="160">
        <v>919</v>
      </c>
      <c r="F92" s="160">
        <v>1727</v>
      </c>
      <c r="G92" s="160">
        <v>1751</v>
      </c>
      <c r="H92" s="160">
        <v>1414</v>
      </c>
      <c r="I92" s="161">
        <f t="shared" si="11"/>
        <v>-0.19246145059965736</v>
      </c>
      <c r="J92" s="161">
        <f>H92/H81</f>
        <v>2.1617489680476991E-2</v>
      </c>
    </row>
    <row r="93" spans="2:10" x14ac:dyDescent="0.25">
      <c r="B93" s="164" t="s">
        <v>145</v>
      </c>
      <c r="C93" s="165">
        <f t="shared" ref="C93:H93" si="12">C85-SUM(C86:C92)</f>
        <v>13513</v>
      </c>
      <c r="D93" s="165">
        <f t="shared" si="12"/>
        <v>962</v>
      </c>
      <c r="E93" s="165">
        <f t="shared" si="12"/>
        <v>8591</v>
      </c>
      <c r="F93" s="165">
        <f t="shared" si="12"/>
        <v>13239</v>
      </c>
      <c r="G93" s="165">
        <f t="shared" si="12"/>
        <v>15432</v>
      </c>
      <c r="H93" s="165">
        <f t="shared" si="12"/>
        <v>15227</v>
      </c>
      <c r="I93" s="166">
        <f t="shared" si="11"/>
        <v>-1.3284085018144154E-2</v>
      </c>
      <c r="J93" s="166">
        <f>H93/H81</f>
        <v>0.23279315089435865</v>
      </c>
    </row>
    <row r="94" spans="2:10" x14ac:dyDescent="0.25">
      <c r="B94" s="151" t="s">
        <v>49</v>
      </c>
      <c r="C94" s="170"/>
      <c r="D94" s="170"/>
      <c r="E94" s="170"/>
      <c r="F94" s="170"/>
      <c r="G94" s="170"/>
      <c r="H94" s="170"/>
      <c r="I94" s="171"/>
      <c r="J94" s="171"/>
    </row>
    <row r="95" spans="2:10" x14ac:dyDescent="0.25">
      <c r="B95" s="152" t="s">
        <v>68</v>
      </c>
      <c r="C95" s="172">
        <v>5197</v>
      </c>
      <c r="D95" s="172">
        <v>1146</v>
      </c>
      <c r="E95" s="172">
        <v>3527</v>
      </c>
      <c r="F95" s="172">
        <v>5390</v>
      </c>
      <c r="G95" s="172">
        <v>5217</v>
      </c>
      <c r="H95" s="172">
        <v>5311</v>
      </c>
      <c r="I95" s="173">
        <f t="shared" ref="I95:I107" si="13">IFERROR(H95/G95-1,"-")</f>
        <v>1.8018018018018056E-2</v>
      </c>
      <c r="J95" s="173">
        <f>H95/H95</f>
        <v>1</v>
      </c>
    </row>
    <row r="96" spans="2:10" x14ac:dyDescent="0.25">
      <c r="B96" s="155" t="s">
        <v>97</v>
      </c>
      <c r="C96" s="156">
        <v>3059</v>
      </c>
      <c r="D96" s="156">
        <v>582</v>
      </c>
      <c r="E96" s="156">
        <v>1773</v>
      </c>
      <c r="F96" s="156">
        <v>3042</v>
      </c>
      <c r="G96" s="156">
        <v>2177</v>
      </c>
      <c r="H96" s="156">
        <v>2652</v>
      </c>
      <c r="I96" s="157">
        <f t="shared" si="13"/>
        <v>0.21819016995865881</v>
      </c>
      <c r="J96" s="157">
        <f>H96/H95</f>
        <v>0.49934099039728863</v>
      </c>
    </row>
    <row r="97" spans="2:10" x14ac:dyDescent="0.25">
      <c r="B97" s="159" t="s">
        <v>103</v>
      </c>
      <c r="C97" s="160">
        <v>1851</v>
      </c>
      <c r="D97" s="160">
        <v>279</v>
      </c>
      <c r="E97" s="160">
        <v>734</v>
      </c>
      <c r="F97" s="160">
        <v>1485</v>
      </c>
      <c r="G97" s="160">
        <v>732</v>
      </c>
      <c r="H97" s="160">
        <v>900</v>
      </c>
      <c r="I97" s="161">
        <f t="shared" si="13"/>
        <v>0.22950819672131151</v>
      </c>
      <c r="J97" s="161">
        <f>H97/H95</f>
        <v>0.16945961212577668</v>
      </c>
    </row>
    <row r="98" spans="2:10" x14ac:dyDescent="0.25">
      <c r="B98" s="159" t="s">
        <v>100</v>
      </c>
      <c r="C98" s="160">
        <v>1208</v>
      </c>
      <c r="D98" s="160">
        <v>303</v>
      </c>
      <c r="E98" s="160">
        <v>1039</v>
      </c>
      <c r="F98" s="160">
        <v>1557</v>
      </c>
      <c r="G98" s="160">
        <v>1445</v>
      </c>
      <c r="H98" s="160">
        <v>1752</v>
      </c>
      <c r="I98" s="161">
        <f t="shared" si="13"/>
        <v>0.21245674740484422</v>
      </c>
      <c r="J98" s="161">
        <f>H98/H95</f>
        <v>0.32988137827151198</v>
      </c>
    </row>
    <row r="99" spans="2:10" x14ac:dyDescent="0.25">
      <c r="B99" s="155" t="s">
        <v>107</v>
      </c>
      <c r="C99" s="156">
        <v>2138</v>
      </c>
      <c r="D99" s="156">
        <v>564</v>
      </c>
      <c r="E99" s="156">
        <v>1754</v>
      </c>
      <c r="F99" s="156">
        <v>2348</v>
      </c>
      <c r="G99" s="156">
        <v>3040</v>
      </c>
      <c r="H99" s="156">
        <v>2659</v>
      </c>
      <c r="I99" s="157">
        <f t="shared" si="13"/>
        <v>-0.12532894736842104</v>
      </c>
      <c r="J99" s="157">
        <f>H99/H95</f>
        <v>0.50065900960271137</v>
      </c>
    </row>
    <row r="100" spans="2:10" x14ac:dyDescent="0.25">
      <c r="B100" s="159" t="s">
        <v>110</v>
      </c>
      <c r="C100" s="160">
        <v>357</v>
      </c>
      <c r="D100" s="160">
        <v>24</v>
      </c>
      <c r="E100" s="160">
        <v>277</v>
      </c>
      <c r="F100" s="160">
        <v>378</v>
      </c>
      <c r="G100" s="160">
        <v>447</v>
      </c>
      <c r="H100" s="160">
        <v>393</v>
      </c>
      <c r="I100" s="161">
        <f t="shared" si="13"/>
        <v>-0.12080536912751683</v>
      </c>
      <c r="J100" s="161">
        <f>H100/H95</f>
        <v>7.3997363961589152E-2</v>
      </c>
    </row>
    <row r="101" spans="2:10" x14ac:dyDescent="0.25">
      <c r="B101" s="159" t="s">
        <v>113</v>
      </c>
      <c r="C101" s="160">
        <v>427</v>
      </c>
      <c r="D101" s="160">
        <v>89</v>
      </c>
      <c r="E101" s="160">
        <v>309</v>
      </c>
      <c r="F101" s="160">
        <v>460</v>
      </c>
      <c r="G101" s="160">
        <v>643</v>
      </c>
      <c r="H101" s="160">
        <v>526</v>
      </c>
      <c r="I101" s="161">
        <f t="shared" si="13"/>
        <v>-0.18195956454121309</v>
      </c>
      <c r="J101" s="161">
        <f>H101/H95</f>
        <v>9.9039728864620605E-2</v>
      </c>
    </row>
    <row r="102" spans="2:10" x14ac:dyDescent="0.25">
      <c r="B102" s="159" t="s">
        <v>116</v>
      </c>
      <c r="C102" s="160">
        <v>405</v>
      </c>
      <c r="D102" s="160">
        <v>213</v>
      </c>
      <c r="E102" s="160">
        <v>325</v>
      </c>
      <c r="F102" s="160">
        <v>488</v>
      </c>
      <c r="G102" s="160">
        <v>385</v>
      </c>
      <c r="H102" s="160">
        <v>398</v>
      </c>
      <c r="I102" s="161">
        <f t="shared" si="13"/>
        <v>3.3766233766233666E-2</v>
      </c>
      <c r="J102" s="161">
        <f>H102/H95</f>
        <v>7.4938806251176798E-2</v>
      </c>
    </row>
    <row r="103" spans="2:10" x14ac:dyDescent="0.25">
      <c r="B103" s="159" t="s">
        <v>123</v>
      </c>
      <c r="C103" s="160">
        <v>89</v>
      </c>
      <c r="D103" s="160">
        <v>5</v>
      </c>
      <c r="E103" s="160">
        <v>129</v>
      </c>
      <c r="F103" s="160">
        <v>137</v>
      </c>
      <c r="G103" s="160">
        <v>154</v>
      </c>
      <c r="H103" s="160">
        <v>182</v>
      </c>
      <c r="I103" s="161">
        <f t="shared" si="13"/>
        <v>0.18181818181818188</v>
      </c>
      <c r="J103" s="161">
        <f>H103/H95</f>
        <v>3.4268499340990397E-2</v>
      </c>
    </row>
    <row r="104" spans="2:10" x14ac:dyDescent="0.25">
      <c r="B104" s="159" t="s">
        <v>119</v>
      </c>
      <c r="C104" s="160">
        <v>71</v>
      </c>
      <c r="D104" s="160">
        <v>24</v>
      </c>
      <c r="E104" s="160">
        <v>89</v>
      </c>
      <c r="F104" s="160">
        <v>81</v>
      </c>
      <c r="G104" s="160">
        <v>171</v>
      </c>
      <c r="H104" s="160">
        <v>130</v>
      </c>
      <c r="I104" s="161">
        <f t="shared" si="13"/>
        <v>-0.23976608187134507</v>
      </c>
      <c r="J104" s="161">
        <f>H104/H95</f>
        <v>2.4477499529278857E-2</v>
      </c>
    </row>
    <row r="105" spans="2:10" x14ac:dyDescent="0.25">
      <c r="B105" s="159" t="s">
        <v>128</v>
      </c>
      <c r="C105" s="160">
        <v>87</v>
      </c>
      <c r="D105" s="160">
        <v>4</v>
      </c>
      <c r="E105" s="160">
        <v>50</v>
      </c>
      <c r="F105" s="160">
        <v>36</v>
      </c>
      <c r="G105" s="160">
        <v>58</v>
      </c>
      <c r="H105" s="160">
        <v>22</v>
      </c>
      <c r="I105" s="161">
        <f t="shared" si="13"/>
        <v>-0.62068965517241381</v>
      </c>
      <c r="J105" s="161">
        <f>H105/H95</f>
        <v>4.1423460741856523E-3</v>
      </c>
    </row>
    <row r="106" spans="2:10" x14ac:dyDescent="0.25">
      <c r="B106" s="159" t="s">
        <v>131</v>
      </c>
      <c r="C106" s="160">
        <v>30</v>
      </c>
      <c r="D106" s="160">
        <v>7</v>
      </c>
      <c r="E106" s="160">
        <v>37</v>
      </c>
      <c r="F106" s="160">
        <v>64</v>
      </c>
      <c r="G106" s="160">
        <v>161</v>
      </c>
      <c r="H106" s="160">
        <v>83</v>
      </c>
      <c r="I106" s="161">
        <f t="shared" si="13"/>
        <v>-0.48447204968944102</v>
      </c>
      <c r="J106" s="161">
        <f>H106/H95</f>
        <v>1.5627942007154963E-2</v>
      </c>
    </row>
    <row r="107" spans="2:10" x14ac:dyDescent="0.25">
      <c r="B107" s="164" t="s">
        <v>145</v>
      </c>
      <c r="C107" s="165">
        <f t="shared" ref="C107:H107" si="14">C99-SUM(C100:C106)</f>
        <v>672</v>
      </c>
      <c r="D107" s="165">
        <f t="shared" si="14"/>
        <v>198</v>
      </c>
      <c r="E107" s="165">
        <f t="shared" si="14"/>
        <v>538</v>
      </c>
      <c r="F107" s="165">
        <f t="shared" si="14"/>
        <v>704</v>
      </c>
      <c r="G107" s="165">
        <f t="shared" si="14"/>
        <v>1021</v>
      </c>
      <c r="H107" s="165">
        <f t="shared" si="14"/>
        <v>925</v>
      </c>
      <c r="I107" s="166">
        <f t="shared" si="13"/>
        <v>-9.4025465230166527E-2</v>
      </c>
      <c r="J107" s="166">
        <f>H107/H95</f>
        <v>0.17416682357371494</v>
      </c>
    </row>
    <row r="108" spans="2:10" x14ac:dyDescent="0.25">
      <c r="B108" s="151" t="s">
        <v>50</v>
      </c>
      <c r="C108" s="170"/>
      <c r="D108" s="170"/>
      <c r="E108" s="170"/>
      <c r="F108" s="170"/>
      <c r="G108" s="170"/>
      <c r="H108" s="170"/>
      <c r="I108" s="171"/>
      <c r="J108" s="171"/>
    </row>
    <row r="109" spans="2:10" x14ac:dyDescent="0.25">
      <c r="B109" s="152" t="s">
        <v>68</v>
      </c>
      <c r="C109" s="172">
        <v>14599</v>
      </c>
      <c r="D109" s="172">
        <v>2476</v>
      </c>
      <c r="E109" s="172">
        <v>11584</v>
      </c>
      <c r="F109" s="172">
        <v>15634</v>
      </c>
      <c r="G109" s="172">
        <v>17228</v>
      </c>
      <c r="H109" s="172">
        <v>20420</v>
      </c>
      <c r="I109" s="173">
        <f t="shared" ref="I109:I121" si="15">IFERROR(H109/G109-1,"-")</f>
        <v>0.18527977710703514</v>
      </c>
      <c r="J109" s="173">
        <f>H109/H109</f>
        <v>1</v>
      </c>
    </row>
    <row r="110" spans="2:10" x14ac:dyDescent="0.25">
      <c r="B110" s="155" t="s">
        <v>97</v>
      </c>
      <c r="C110" s="156">
        <v>3097</v>
      </c>
      <c r="D110" s="156">
        <v>929</v>
      </c>
      <c r="E110" s="156">
        <v>1925</v>
      </c>
      <c r="F110" s="156">
        <v>2578</v>
      </c>
      <c r="G110" s="156">
        <v>2281</v>
      </c>
      <c r="H110" s="156">
        <v>2599</v>
      </c>
      <c r="I110" s="157">
        <f t="shared" si="15"/>
        <v>0.13941253836036815</v>
      </c>
      <c r="J110" s="157">
        <f>H110/H109</f>
        <v>0.12727717923604309</v>
      </c>
    </row>
    <row r="111" spans="2:10" x14ac:dyDescent="0.25">
      <c r="B111" s="159" t="s">
        <v>103</v>
      </c>
      <c r="C111" s="160">
        <v>385</v>
      </c>
      <c r="D111" s="160">
        <v>842</v>
      </c>
      <c r="E111" s="160">
        <v>895</v>
      </c>
      <c r="F111" s="160">
        <v>456</v>
      </c>
      <c r="G111" s="160">
        <v>536</v>
      </c>
      <c r="H111" s="160">
        <v>634</v>
      </c>
      <c r="I111" s="161">
        <f t="shared" si="15"/>
        <v>0.18283582089552231</v>
      </c>
      <c r="J111" s="161">
        <f>H111/H109</f>
        <v>3.1047992164544565E-2</v>
      </c>
    </row>
    <row r="112" spans="2:10" x14ac:dyDescent="0.25">
      <c r="B112" s="159" t="s">
        <v>100</v>
      </c>
      <c r="C112" s="160">
        <v>2712</v>
      </c>
      <c r="D112" s="160">
        <v>87</v>
      </c>
      <c r="E112" s="160">
        <v>1030</v>
      </c>
      <c r="F112" s="160">
        <v>2122</v>
      </c>
      <c r="G112" s="160">
        <v>1745</v>
      </c>
      <c r="H112" s="160">
        <v>1965</v>
      </c>
      <c r="I112" s="161">
        <f t="shared" si="15"/>
        <v>0.12607449856733521</v>
      </c>
      <c r="J112" s="161">
        <f>H112/H109</f>
        <v>9.6229187071498537E-2</v>
      </c>
    </row>
    <row r="113" spans="2:10" x14ac:dyDescent="0.25">
      <c r="B113" s="155" t="s">
        <v>107</v>
      </c>
      <c r="C113" s="156">
        <v>11502</v>
      </c>
      <c r="D113" s="156">
        <v>1547</v>
      </c>
      <c r="E113" s="156">
        <v>9659</v>
      </c>
      <c r="F113" s="156">
        <v>13056</v>
      </c>
      <c r="G113" s="156">
        <v>14947</v>
      </c>
      <c r="H113" s="156">
        <v>17821</v>
      </c>
      <c r="I113" s="157">
        <f t="shared" si="15"/>
        <v>0.19227938716799353</v>
      </c>
      <c r="J113" s="157">
        <f>H113/H109</f>
        <v>0.87272282076395691</v>
      </c>
    </row>
    <row r="114" spans="2:10" x14ac:dyDescent="0.25">
      <c r="B114" s="159" t="s">
        <v>110</v>
      </c>
      <c r="C114" s="160">
        <v>6069</v>
      </c>
      <c r="D114" s="160">
        <v>600</v>
      </c>
      <c r="E114" s="160">
        <v>4461</v>
      </c>
      <c r="F114" s="160">
        <v>7408</v>
      </c>
      <c r="G114" s="160">
        <v>8300</v>
      </c>
      <c r="H114" s="160">
        <v>9799</v>
      </c>
      <c r="I114" s="161">
        <f t="shared" si="15"/>
        <v>0.18060240963855412</v>
      </c>
      <c r="J114" s="161">
        <f>H114/H109</f>
        <v>0.47987267384916749</v>
      </c>
    </row>
    <row r="115" spans="2:10" x14ac:dyDescent="0.25">
      <c r="B115" s="159" t="s">
        <v>113</v>
      </c>
      <c r="C115" s="160">
        <v>837</v>
      </c>
      <c r="D115" s="160">
        <v>468</v>
      </c>
      <c r="E115" s="160">
        <v>681</v>
      </c>
      <c r="F115" s="160">
        <v>799</v>
      </c>
      <c r="G115" s="160">
        <v>977</v>
      </c>
      <c r="H115" s="160">
        <v>856</v>
      </c>
      <c r="I115" s="161">
        <f t="shared" si="15"/>
        <v>-0.12384851586489254</v>
      </c>
      <c r="J115" s="161">
        <f>H115/H109</f>
        <v>4.1919686581782564E-2</v>
      </c>
    </row>
    <row r="116" spans="2:10" x14ac:dyDescent="0.25">
      <c r="B116" s="159" t="s">
        <v>116</v>
      </c>
      <c r="C116" s="160">
        <v>517</v>
      </c>
      <c r="D116" s="160">
        <v>270</v>
      </c>
      <c r="E116" s="160">
        <v>556</v>
      </c>
      <c r="F116" s="160">
        <v>786</v>
      </c>
      <c r="G116" s="160">
        <v>785</v>
      </c>
      <c r="H116" s="160">
        <v>1152</v>
      </c>
      <c r="I116" s="161">
        <f t="shared" si="15"/>
        <v>0.46751592356687888</v>
      </c>
      <c r="J116" s="161">
        <f>H116/H109</f>
        <v>5.6415279138099905E-2</v>
      </c>
    </row>
    <row r="117" spans="2:10" x14ac:dyDescent="0.25">
      <c r="B117" s="159" t="s">
        <v>123</v>
      </c>
      <c r="C117" s="160">
        <v>301</v>
      </c>
      <c r="D117" s="160">
        <v>0</v>
      </c>
      <c r="E117" s="160">
        <v>670</v>
      </c>
      <c r="F117" s="160">
        <v>539</v>
      </c>
      <c r="G117" s="160">
        <v>688</v>
      </c>
      <c r="H117" s="160">
        <v>680</v>
      </c>
      <c r="I117" s="161">
        <f t="shared" si="15"/>
        <v>-1.1627906976744207E-2</v>
      </c>
      <c r="J117" s="161">
        <f>H117/H109</f>
        <v>3.3300685602350638E-2</v>
      </c>
    </row>
    <row r="118" spans="2:10" x14ac:dyDescent="0.25">
      <c r="B118" s="159" t="s">
        <v>119</v>
      </c>
      <c r="C118" s="160">
        <v>320</v>
      </c>
      <c r="D118" s="160">
        <v>5</v>
      </c>
      <c r="E118" s="160">
        <v>446</v>
      </c>
      <c r="F118" s="160">
        <v>475</v>
      </c>
      <c r="G118" s="160">
        <v>480</v>
      </c>
      <c r="H118" s="160">
        <v>396</v>
      </c>
      <c r="I118" s="161">
        <f t="shared" si="15"/>
        <v>-0.17500000000000004</v>
      </c>
      <c r="J118" s="161">
        <f>H118/H109</f>
        <v>1.9392752203721841E-2</v>
      </c>
    </row>
    <row r="119" spans="2:10" x14ac:dyDescent="0.25">
      <c r="B119" s="159" t="s">
        <v>128</v>
      </c>
      <c r="C119" s="160">
        <v>121</v>
      </c>
      <c r="D119" s="160">
        <v>0</v>
      </c>
      <c r="E119" s="160">
        <v>100</v>
      </c>
      <c r="F119" s="160">
        <v>170</v>
      </c>
      <c r="G119" s="160">
        <v>178</v>
      </c>
      <c r="H119" s="160">
        <v>193</v>
      </c>
      <c r="I119" s="161">
        <f t="shared" si="15"/>
        <v>8.4269662921348409E-2</v>
      </c>
      <c r="J119" s="161">
        <f>H119/H109</f>
        <v>9.4515181194906959E-3</v>
      </c>
    </row>
    <row r="120" spans="2:10" x14ac:dyDescent="0.25">
      <c r="B120" s="159" t="s">
        <v>131</v>
      </c>
      <c r="C120" s="160">
        <v>316</v>
      </c>
      <c r="D120" s="160">
        <v>0</v>
      </c>
      <c r="E120" s="160">
        <v>227</v>
      </c>
      <c r="F120" s="160">
        <v>189</v>
      </c>
      <c r="G120" s="160">
        <v>274</v>
      </c>
      <c r="H120" s="160">
        <v>201</v>
      </c>
      <c r="I120" s="161">
        <f t="shared" si="15"/>
        <v>-0.26642335766423353</v>
      </c>
      <c r="J120" s="161">
        <f>H120/H109</f>
        <v>9.8432908912830554E-3</v>
      </c>
    </row>
    <row r="121" spans="2:10" x14ac:dyDescent="0.25">
      <c r="B121" s="164" t="s">
        <v>145</v>
      </c>
      <c r="C121" s="165">
        <f t="shared" ref="C121:H121" si="16">C113-SUM(C114:C120)</f>
        <v>3021</v>
      </c>
      <c r="D121" s="165">
        <f t="shared" si="16"/>
        <v>204</v>
      </c>
      <c r="E121" s="165">
        <f t="shared" si="16"/>
        <v>2518</v>
      </c>
      <c r="F121" s="165">
        <f t="shared" si="16"/>
        <v>2690</v>
      </c>
      <c r="G121" s="165">
        <f t="shared" si="16"/>
        <v>3265</v>
      </c>
      <c r="H121" s="165">
        <f t="shared" si="16"/>
        <v>4544</v>
      </c>
      <c r="I121" s="166">
        <f t="shared" si="15"/>
        <v>0.39173047473200606</v>
      </c>
      <c r="J121" s="166">
        <f>H121/H109</f>
        <v>0.22252693437806073</v>
      </c>
    </row>
    <row r="122" spans="2:10" x14ac:dyDescent="0.25">
      <c r="B122" s="151" t="s">
        <v>51</v>
      </c>
      <c r="C122" s="170"/>
      <c r="D122" s="170"/>
      <c r="E122" s="170"/>
      <c r="F122" s="170"/>
      <c r="G122" s="170"/>
      <c r="H122" s="170"/>
      <c r="I122" s="171"/>
      <c r="J122" s="171"/>
    </row>
    <row r="123" spans="2:10" x14ac:dyDescent="0.25">
      <c r="B123" s="152" t="s">
        <v>68</v>
      </c>
      <c r="C123" s="172">
        <v>20553</v>
      </c>
      <c r="D123" s="172">
        <v>4767</v>
      </c>
      <c r="E123" s="172">
        <v>14146</v>
      </c>
      <c r="F123" s="172">
        <v>23609</v>
      </c>
      <c r="G123" s="172">
        <v>23867</v>
      </c>
      <c r="H123" s="172">
        <v>24602</v>
      </c>
      <c r="I123" s="173">
        <f t="shared" ref="I123:I135" si="17">IFERROR(H123/G123-1,"-")</f>
        <v>3.0795659278501697E-2</v>
      </c>
      <c r="J123" s="173">
        <f>H123/H123</f>
        <v>1</v>
      </c>
    </row>
    <row r="124" spans="2:10" x14ac:dyDescent="0.25">
      <c r="B124" s="155" t="s">
        <v>97</v>
      </c>
      <c r="C124" s="156">
        <v>9789</v>
      </c>
      <c r="D124" s="156">
        <v>2598</v>
      </c>
      <c r="E124" s="156">
        <v>6573</v>
      </c>
      <c r="F124" s="156">
        <v>10452</v>
      </c>
      <c r="G124" s="156">
        <v>11900</v>
      </c>
      <c r="H124" s="156">
        <v>11916</v>
      </c>
      <c r="I124" s="157">
        <f t="shared" si="17"/>
        <v>1.3445378151260012E-3</v>
      </c>
      <c r="J124" s="157">
        <f>H124/H123</f>
        <v>0.48435086578326964</v>
      </c>
    </row>
    <row r="125" spans="2:10" x14ac:dyDescent="0.25">
      <c r="B125" s="159" t="s">
        <v>103</v>
      </c>
      <c r="C125" s="160">
        <v>5042</v>
      </c>
      <c r="D125" s="160">
        <v>1186</v>
      </c>
      <c r="E125" s="160">
        <v>2656</v>
      </c>
      <c r="F125" s="160">
        <v>5002</v>
      </c>
      <c r="G125" s="160">
        <v>5396</v>
      </c>
      <c r="H125" s="160">
        <v>4891</v>
      </c>
      <c r="I125" s="161">
        <f t="shared" si="17"/>
        <v>-9.3587842846552971E-2</v>
      </c>
      <c r="J125" s="161">
        <f>H125/H123</f>
        <v>0.19880497520526785</v>
      </c>
    </row>
    <row r="126" spans="2:10" x14ac:dyDescent="0.25">
      <c r="B126" s="159" t="s">
        <v>100</v>
      </c>
      <c r="C126" s="160">
        <v>4747</v>
      </c>
      <c r="D126" s="160">
        <v>1412</v>
      </c>
      <c r="E126" s="160">
        <v>3917</v>
      </c>
      <c r="F126" s="160">
        <v>5450</v>
      </c>
      <c r="G126" s="160">
        <v>6504</v>
      </c>
      <c r="H126" s="160">
        <v>7025</v>
      </c>
      <c r="I126" s="161">
        <f t="shared" si="17"/>
        <v>8.0104551045510508E-2</v>
      </c>
      <c r="J126" s="161">
        <f>H126/H123</f>
        <v>0.28554589057800178</v>
      </c>
    </row>
    <row r="127" spans="2:10" x14ac:dyDescent="0.25">
      <c r="B127" s="155" t="s">
        <v>107</v>
      </c>
      <c r="C127" s="156">
        <v>10764</v>
      </c>
      <c r="D127" s="156">
        <v>2169</v>
      </c>
      <c r="E127" s="156">
        <v>7573</v>
      </c>
      <c r="F127" s="156">
        <v>13157</v>
      </c>
      <c r="G127" s="156">
        <v>11967</v>
      </c>
      <c r="H127" s="156">
        <v>12686</v>
      </c>
      <c r="I127" s="157">
        <f t="shared" si="17"/>
        <v>6.0081891869307347E-2</v>
      </c>
      <c r="J127" s="157">
        <f>H127/H123</f>
        <v>0.51564913421673031</v>
      </c>
    </row>
    <row r="128" spans="2:10" x14ac:dyDescent="0.25">
      <c r="B128" s="159" t="s">
        <v>110</v>
      </c>
      <c r="C128" s="160">
        <v>1289</v>
      </c>
      <c r="D128" s="160">
        <v>52</v>
      </c>
      <c r="E128" s="160">
        <v>805</v>
      </c>
      <c r="F128" s="160">
        <v>1683</v>
      </c>
      <c r="G128" s="160">
        <v>1569</v>
      </c>
      <c r="H128" s="160">
        <v>1627</v>
      </c>
      <c r="I128" s="161">
        <f t="shared" si="17"/>
        <v>3.696622052262577E-2</v>
      </c>
      <c r="J128" s="161">
        <f>H128/H123</f>
        <v>6.613283472888383E-2</v>
      </c>
    </row>
    <row r="129" spans="2:10" x14ac:dyDescent="0.25">
      <c r="B129" s="159" t="s">
        <v>113</v>
      </c>
      <c r="C129" s="160">
        <v>1281</v>
      </c>
      <c r="D129" s="160">
        <v>234</v>
      </c>
      <c r="E129" s="160">
        <v>951</v>
      </c>
      <c r="F129" s="160">
        <v>2175</v>
      </c>
      <c r="G129" s="160">
        <v>1964</v>
      </c>
      <c r="H129" s="160">
        <v>2299</v>
      </c>
      <c r="I129" s="161">
        <f t="shared" si="17"/>
        <v>0.17057026476578407</v>
      </c>
      <c r="J129" s="161">
        <f>H129/H123</f>
        <v>9.3447687179904079E-2</v>
      </c>
    </row>
    <row r="130" spans="2:10" x14ac:dyDescent="0.25">
      <c r="B130" s="159" t="s">
        <v>116</v>
      </c>
      <c r="C130" s="160">
        <v>701</v>
      </c>
      <c r="D130" s="160">
        <v>254</v>
      </c>
      <c r="E130" s="160">
        <v>659</v>
      </c>
      <c r="F130" s="160">
        <v>1025</v>
      </c>
      <c r="G130" s="160">
        <v>851</v>
      </c>
      <c r="H130" s="160">
        <v>858</v>
      </c>
      <c r="I130" s="161">
        <f t="shared" si="17"/>
        <v>8.2256169212691077E-3</v>
      </c>
      <c r="J130" s="161">
        <f>H130/H123</f>
        <v>3.4875213397284777E-2</v>
      </c>
    </row>
    <row r="131" spans="2:10" x14ac:dyDescent="0.25">
      <c r="B131" s="159" t="s">
        <v>123</v>
      </c>
      <c r="C131" s="160">
        <v>231</v>
      </c>
      <c r="D131" s="160">
        <v>38</v>
      </c>
      <c r="E131" s="160">
        <v>270</v>
      </c>
      <c r="F131" s="160">
        <v>297</v>
      </c>
      <c r="G131" s="160">
        <v>273</v>
      </c>
      <c r="H131" s="160">
        <v>376</v>
      </c>
      <c r="I131" s="161">
        <f t="shared" si="17"/>
        <v>0.37728937728937728</v>
      </c>
      <c r="J131" s="161">
        <f>H131/H123</f>
        <v>1.5283310299975612E-2</v>
      </c>
    </row>
    <row r="132" spans="2:10" x14ac:dyDescent="0.25">
      <c r="B132" s="159" t="s">
        <v>119</v>
      </c>
      <c r="C132" s="160">
        <v>222</v>
      </c>
      <c r="D132" s="160">
        <v>43</v>
      </c>
      <c r="E132" s="160">
        <v>170</v>
      </c>
      <c r="F132" s="160">
        <v>239</v>
      </c>
      <c r="G132" s="160">
        <v>277</v>
      </c>
      <c r="H132" s="160">
        <v>323</v>
      </c>
      <c r="I132" s="161">
        <f t="shared" si="17"/>
        <v>0.1660649819494584</v>
      </c>
      <c r="J132" s="161">
        <f>H132/H123</f>
        <v>1.3129013901308837E-2</v>
      </c>
    </row>
    <row r="133" spans="2:10" x14ac:dyDescent="0.25">
      <c r="B133" s="159" t="s">
        <v>128</v>
      </c>
      <c r="C133" s="160">
        <v>301</v>
      </c>
      <c r="D133" s="160">
        <v>2</v>
      </c>
      <c r="E133" s="160">
        <v>168</v>
      </c>
      <c r="F133" s="160">
        <v>190</v>
      </c>
      <c r="G133" s="160">
        <v>268</v>
      </c>
      <c r="H133" s="160">
        <v>203</v>
      </c>
      <c r="I133" s="161">
        <f t="shared" si="17"/>
        <v>-0.2425373134328358</v>
      </c>
      <c r="J133" s="161">
        <f>H133/H123</f>
        <v>8.2513616779123656E-3</v>
      </c>
    </row>
    <row r="134" spans="2:10" x14ac:dyDescent="0.25">
      <c r="B134" s="159" t="s">
        <v>131</v>
      </c>
      <c r="C134" s="160">
        <v>386</v>
      </c>
      <c r="D134" s="160">
        <v>20</v>
      </c>
      <c r="E134" s="160">
        <v>275</v>
      </c>
      <c r="F134" s="160">
        <v>453</v>
      </c>
      <c r="G134" s="160">
        <v>381</v>
      </c>
      <c r="H134" s="160">
        <v>448</v>
      </c>
      <c r="I134" s="161">
        <f t="shared" si="17"/>
        <v>0.1758530183727034</v>
      </c>
      <c r="J134" s="161">
        <f>H134/H123</f>
        <v>1.8209901634013495E-2</v>
      </c>
    </row>
    <row r="135" spans="2:10" x14ac:dyDescent="0.25">
      <c r="B135" s="164" t="s">
        <v>145</v>
      </c>
      <c r="C135" s="165">
        <f t="shared" ref="C135:H135" si="18">C127-SUM(C128:C134)</f>
        <v>6353</v>
      </c>
      <c r="D135" s="165">
        <f t="shared" si="18"/>
        <v>1526</v>
      </c>
      <c r="E135" s="165">
        <f t="shared" si="18"/>
        <v>4275</v>
      </c>
      <c r="F135" s="165">
        <f t="shared" si="18"/>
        <v>7095</v>
      </c>
      <c r="G135" s="165">
        <f t="shared" si="18"/>
        <v>6384</v>
      </c>
      <c r="H135" s="165">
        <f t="shared" si="18"/>
        <v>6552</v>
      </c>
      <c r="I135" s="166">
        <f t="shared" si="17"/>
        <v>2.6315789473684292E-2</v>
      </c>
      <c r="J135" s="166">
        <f>H135/H123</f>
        <v>0.26631981139744737</v>
      </c>
    </row>
    <row r="136" spans="2:10" x14ac:dyDescent="0.25">
      <c r="B136" s="151" t="s">
        <v>52</v>
      </c>
      <c r="C136" s="170"/>
      <c r="D136" s="170"/>
      <c r="E136" s="170"/>
      <c r="F136" s="170"/>
      <c r="G136" s="170"/>
      <c r="H136" s="170"/>
      <c r="I136" s="171"/>
      <c r="J136" s="171"/>
    </row>
    <row r="137" spans="2:10" x14ac:dyDescent="0.25">
      <c r="B137" s="152" t="s">
        <v>68</v>
      </c>
      <c r="C137" s="172">
        <v>21031</v>
      </c>
      <c r="D137" s="172">
        <v>6223</v>
      </c>
      <c r="E137" s="172">
        <v>15598</v>
      </c>
      <c r="F137" s="172">
        <v>22490</v>
      </c>
      <c r="G137" s="172">
        <v>22650</v>
      </c>
      <c r="H137" s="172">
        <v>22528</v>
      </c>
      <c r="I137" s="173">
        <f t="shared" ref="I137:I149" si="19">IFERROR(H137/G137-1,"-")</f>
        <v>-5.3863134657836653E-3</v>
      </c>
      <c r="J137" s="173">
        <f>H137/H137</f>
        <v>1</v>
      </c>
    </row>
    <row r="138" spans="2:10" x14ac:dyDescent="0.25">
      <c r="B138" s="155" t="s">
        <v>97</v>
      </c>
      <c r="C138" s="156">
        <v>827</v>
      </c>
      <c r="D138" s="156">
        <v>3353</v>
      </c>
      <c r="E138" s="156">
        <v>744</v>
      </c>
      <c r="F138" s="156">
        <v>1649</v>
      </c>
      <c r="G138" s="156">
        <v>1032</v>
      </c>
      <c r="H138" s="156">
        <v>851</v>
      </c>
      <c r="I138" s="157">
        <f t="shared" si="19"/>
        <v>-0.17538759689922478</v>
      </c>
      <c r="J138" s="157">
        <f>H138/H137</f>
        <v>3.7775213068181816E-2</v>
      </c>
    </row>
    <row r="139" spans="2:10" x14ac:dyDescent="0.25">
      <c r="B139" s="159" t="s">
        <v>103</v>
      </c>
      <c r="C139" s="160">
        <v>495</v>
      </c>
      <c r="D139" s="160">
        <v>2893</v>
      </c>
      <c r="E139" s="160">
        <v>229</v>
      </c>
      <c r="F139" s="160">
        <v>927</v>
      </c>
      <c r="G139" s="160">
        <v>571</v>
      </c>
      <c r="H139" s="160">
        <v>248</v>
      </c>
      <c r="I139" s="161">
        <f t="shared" si="19"/>
        <v>-0.56567425569176888</v>
      </c>
      <c r="J139" s="161">
        <f>H139/H137</f>
        <v>1.1008522727272728E-2</v>
      </c>
    </row>
    <row r="140" spans="2:10" x14ac:dyDescent="0.25">
      <c r="B140" s="159" t="s">
        <v>100</v>
      </c>
      <c r="C140" s="160">
        <v>332</v>
      </c>
      <c r="D140" s="160">
        <v>460</v>
      </c>
      <c r="E140" s="160">
        <v>515</v>
      </c>
      <c r="F140" s="160">
        <v>722</v>
      </c>
      <c r="G140" s="160">
        <v>461</v>
      </c>
      <c r="H140" s="160">
        <v>603</v>
      </c>
      <c r="I140" s="161">
        <f t="shared" si="19"/>
        <v>0.30802603036876364</v>
      </c>
      <c r="J140" s="161">
        <f>H140/H137</f>
        <v>2.6766690340909092E-2</v>
      </c>
    </row>
    <row r="141" spans="2:10" x14ac:dyDescent="0.25">
      <c r="B141" s="155" t="s">
        <v>107</v>
      </c>
      <c r="C141" s="156">
        <v>20204</v>
      </c>
      <c r="D141" s="156">
        <v>2870</v>
      </c>
      <c r="E141" s="156">
        <v>14854</v>
      </c>
      <c r="F141" s="156">
        <v>20841</v>
      </c>
      <c r="G141" s="156">
        <v>21618</v>
      </c>
      <c r="H141" s="156">
        <v>21677</v>
      </c>
      <c r="I141" s="157">
        <f t="shared" si="19"/>
        <v>2.729207142196266E-3</v>
      </c>
      <c r="J141" s="157">
        <f>H141/H137</f>
        <v>0.96222478693181823</v>
      </c>
    </row>
    <row r="142" spans="2:10" x14ac:dyDescent="0.25">
      <c r="B142" s="159" t="s">
        <v>110</v>
      </c>
      <c r="C142" s="160">
        <v>8678</v>
      </c>
      <c r="D142" s="160">
        <v>119</v>
      </c>
      <c r="E142" s="160">
        <v>4593</v>
      </c>
      <c r="F142" s="160">
        <v>7748</v>
      </c>
      <c r="G142" s="160">
        <v>8574</v>
      </c>
      <c r="H142" s="160">
        <v>8868</v>
      </c>
      <c r="I142" s="161">
        <f t="shared" si="19"/>
        <v>3.4289713086074203E-2</v>
      </c>
      <c r="J142" s="161">
        <f>H142/H137</f>
        <v>0.39364346590909088</v>
      </c>
    </row>
    <row r="143" spans="2:10" x14ac:dyDescent="0.25">
      <c r="B143" s="159" t="s">
        <v>113</v>
      </c>
      <c r="C143" s="160">
        <v>1507</v>
      </c>
      <c r="D143" s="160">
        <v>239</v>
      </c>
      <c r="E143" s="160">
        <v>1070</v>
      </c>
      <c r="F143" s="160">
        <v>1623</v>
      </c>
      <c r="G143" s="160">
        <v>1605</v>
      </c>
      <c r="H143" s="160">
        <v>1749</v>
      </c>
      <c r="I143" s="161">
        <f t="shared" si="19"/>
        <v>8.9719626168224265E-2</v>
      </c>
      <c r="J143" s="161">
        <f>H143/H137</f>
        <v>7.763671875E-2</v>
      </c>
    </row>
    <row r="144" spans="2:10" x14ac:dyDescent="0.25">
      <c r="B144" s="159" t="s">
        <v>116</v>
      </c>
      <c r="C144" s="160">
        <v>1411</v>
      </c>
      <c r="D144" s="160">
        <v>1035</v>
      </c>
      <c r="E144" s="160">
        <v>1353</v>
      </c>
      <c r="F144" s="160">
        <v>1657</v>
      </c>
      <c r="G144" s="160">
        <v>1470</v>
      </c>
      <c r="H144" s="160">
        <v>1563</v>
      </c>
      <c r="I144" s="161">
        <f t="shared" si="19"/>
        <v>6.3265306122449072E-2</v>
      </c>
      <c r="J144" s="161">
        <f>H144/H137</f>
        <v>6.9380326704545456E-2</v>
      </c>
    </row>
    <row r="145" spans="2:10" x14ac:dyDescent="0.25">
      <c r="B145" s="159" t="s">
        <v>123</v>
      </c>
      <c r="C145" s="160">
        <v>349</v>
      </c>
      <c r="D145" s="160">
        <v>32</v>
      </c>
      <c r="E145" s="160">
        <v>928</v>
      </c>
      <c r="F145" s="160">
        <v>676</v>
      </c>
      <c r="G145" s="160">
        <v>554</v>
      </c>
      <c r="H145" s="160">
        <v>512</v>
      </c>
      <c r="I145" s="161">
        <f t="shared" si="19"/>
        <v>-7.5812274368231014E-2</v>
      </c>
      <c r="J145" s="161">
        <f>H145/H137</f>
        <v>2.2727272727272728E-2</v>
      </c>
    </row>
    <row r="146" spans="2:10" x14ac:dyDescent="0.25">
      <c r="B146" s="159" t="s">
        <v>119</v>
      </c>
      <c r="C146" s="160">
        <v>313</v>
      </c>
      <c r="D146" s="160">
        <v>175</v>
      </c>
      <c r="E146" s="160">
        <v>418</v>
      </c>
      <c r="F146" s="160">
        <v>363</v>
      </c>
      <c r="G146" s="160">
        <v>373</v>
      </c>
      <c r="H146" s="160">
        <v>326</v>
      </c>
      <c r="I146" s="161">
        <f t="shared" si="19"/>
        <v>-0.12600536193029488</v>
      </c>
      <c r="J146" s="161">
        <f>H146/H137</f>
        <v>1.4470880681818182E-2</v>
      </c>
    </row>
    <row r="147" spans="2:10" x14ac:dyDescent="0.25">
      <c r="B147" s="159" t="s">
        <v>128</v>
      </c>
      <c r="C147" s="160">
        <v>611</v>
      </c>
      <c r="D147" s="160">
        <v>18</v>
      </c>
      <c r="E147" s="160">
        <v>458</v>
      </c>
      <c r="F147" s="160">
        <v>905</v>
      </c>
      <c r="G147" s="160">
        <v>616</v>
      </c>
      <c r="H147" s="160">
        <v>664</v>
      </c>
      <c r="I147" s="161">
        <f t="shared" si="19"/>
        <v>7.7922077922077948E-2</v>
      </c>
      <c r="J147" s="161">
        <f>H147/H137</f>
        <v>2.947443181818182E-2</v>
      </c>
    </row>
    <row r="148" spans="2:10" x14ac:dyDescent="0.25">
      <c r="B148" s="159" t="s">
        <v>131</v>
      </c>
      <c r="C148" s="160">
        <v>1321</v>
      </c>
      <c r="D148" s="160">
        <v>8</v>
      </c>
      <c r="E148" s="160">
        <v>232</v>
      </c>
      <c r="F148" s="160">
        <v>528</v>
      </c>
      <c r="G148" s="160">
        <v>491</v>
      </c>
      <c r="H148" s="160">
        <v>342</v>
      </c>
      <c r="I148" s="161">
        <f t="shared" si="19"/>
        <v>-0.30346232179226074</v>
      </c>
      <c r="J148" s="161">
        <f>H148/H137</f>
        <v>1.5181107954545454E-2</v>
      </c>
    </row>
    <row r="149" spans="2:10" x14ac:dyDescent="0.25">
      <c r="B149" s="164" t="s">
        <v>145</v>
      </c>
      <c r="C149" s="165">
        <f t="shared" ref="C149:H149" si="20">C141-SUM(C142:C148)</f>
        <v>6014</v>
      </c>
      <c r="D149" s="165">
        <f t="shared" si="20"/>
        <v>1244</v>
      </c>
      <c r="E149" s="165">
        <f t="shared" si="20"/>
        <v>5802</v>
      </c>
      <c r="F149" s="165">
        <f t="shared" si="20"/>
        <v>7341</v>
      </c>
      <c r="G149" s="165">
        <f t="shared" si="20"/>
        <v>7935</v>
      </c>
      <c r="H149" s="165">
        <f t="shared" si="20"/>
        <v>7653</v>
      </c>
      <c r="I149" s="166">
        <f t="shared" si="19"/>
        <v>-3.5538752362949011E-2</v>
      </c>
      <c r="J149" s="166">
        <f>H149/H137</f>
        <v>0.33971058238636365</v>
      </c>
    </row>
    <row r="150" spans="2:10" x14ac:dyDescent="0.25">
      <c r="B150" s="151" t="s">
        <v>53</v>
      </c>
      <c r="C150" s="170"/>
      <c r="D150" s="170"/>
      <c r="E150" s="170"/>
      <c r="F150" s="170"/>
      <c r="G150" s="170"/>
      <c r="H150" s="170"/>
      <c r="I150" s="171"/>
      <c r="J150" s="171"/>
    </row>
    <row r="151" spans="2:10" x14ac:dyDescent="0.25">
      <c r="B151" s="152" t="s">
        <v>68</v>
      </c>
      <c r="C151" s="172">
        <v>9108</v>
      </c>
      <c r="D151" s="172">
        <v>2162</v>
      </c>
      <c r="E151" s="172">
        <v>7357</v>
      </c>
      <c r="F151" s="172">
        <v>9834</v>
      </c>
      <c r="G151" s="172">
        <v>10776</v>
      </c>
      <c r="H151" s="172">
        <v>9985</v>
      </c>
      <c r="I151" s="173">
        <f t="shared" ref="I151:I163" si="21">IFERROR(H151/G151-1,"-")</f>
        <v>-7.3403860430586443E-2</v>
      </c>
      <c r="J151" s="173">
        <f>H151/H151</f>
        <v>1</v>
      </c>
    </row>
    <row r="152" spans="2:10" x14ac:dyDescent="0.25">
      <c r="B152" s="155" t="s">
        <v>97</v>
      </c>
      <c r="C152" s="156">
        <v>2417</v>
      </c>
      <c r="D152" s="156">
        <v>1527</v>
      </c>
      <c r="E152" s="156">
        <v>3087</v>
      </c>
      <c r="F152" s="156">
        <v>3839</v>
      </c>
      <c r="G152" s="156">
        <v>3748</v>
      </c>
      <c r="H152" s="156">
        <v>3225</v>
      </c>
      <c r="I152" s="157">
        <f t="shared" si="21"/>
        <v>-0.13954108858057634</v>
      </c>
      <c r="J152" s="157">
        <f>H152/H151</f>
        <v>0.32298447671507263</v>
      </c>
    </row>
    <row r="153" spans="2:10" x14ac:dyDescent="0.25">
      <c r="B153" s="159" t="s">
        <v>103</v>
      </c>
      <c r="C153" s="160">
        <v>618</v>
      </c>
      <c r="D153" s="160">
        <v>1278</v>
      </c>
      <c r="E153" s="160">
        <v>2348</v>
      </c>
      <c r="F153" s="160">
        <v>2627</v>
      </c>
      <c r="G153" s="160">
        <v>2803</v>
      </c>
      <c r="H153" s="160">
        <v>2166</v>
      </c>
      <c r="I153" s="161">
        <f t="shared" si="21"/>
        <v>-0.22725651088119869</v>
      </c>
      <c r="J153" s="161">
        <f>H153/H151</f>
        <v>0.21692538808212319</v>
      </c>
    </row>
    <row r="154" spans="2:10" x14ac:dyDescent="0.25">
      <c r="B154" s="159" t="s">
        <v>100</v>
      </c>
      <c r="C154" s="160">
        <v>1799</v>
      </c>
      <c r="D154" s="160">
        <v>249</v>
      </c>
      <c r="E154" s="160">
        <v>739</v>
      </c>
      <c r="F154" s="160">
        <v>1212</v>
      </c>
      <c r="G154" s="160">
        <v>945</v>
      </c>
      <c r="H154" s="160">
        <v>1059</v>
      </c>
      <c r="I154" s="161">
        <f t="shared" si="21"/>
        <v>0.12063492063492065</v>
      </c>
      <c r="J154" s="161">
        <f>H154/H151</f>
        <v>0.10605908863294942</v>
      </c>
    </row>
    <row r="155" spans="2:10" x14ac:dyDescent="0.25">
      <c r="B155" s="155" t="s">
        <v>107</v>
      </c>
      <c r="C155" s="156">
        <v>6691</v>
      </c>
      <c r="D155" s="156">
        <v>635</v>
      </c>
      <c r="E155" s="156">
        <v>4270</v>
      </c>
      <c r="F155" s="156">
        <v>5995</v>
      </c>
      <c r="G155" s="156">
        <v>7028</v>
      </c>
      <c r="H155" s="156">
        <v>6760</v>
      </c>
      <c r="I155" s="157">
        <f t="shared" si="21"/>
        <v>-3.8133181559476426E-2</v>
      </c>
      <c r="J155" s="157">
        <f>H155/H151</f>
        <v>0.67701552328492742</v>
      </c>
    </row>
    <row r="156" spans="2:10" x14ac:dyDescent="0.25">
      <c r="B156" s="159" t="s">
        <v>110</v>
      </c>
      <c r="C156" s="160">
        <v>2143</v>
      </c>
      <c r="D156" s="160">
        <v>25</v>
      </c>
      <c r="E156" s="160">
        <v>1362</v>
      </c>
      <c r="F156" s="160">
        <v>1766</v>
      </c>
      <c r="G156" s="160">
        <v>2058</v>
      </c>
      <c r="H156" s="160">
        <v>1176</v>
      </c>
      <c r="I156" s="161">
        <f t="shared" si="21"/>
        <v>-0.4285714285714286</v>
      </c>
      <c r="J156" s="161">
        <f>H156/H151</f>
        <v>0.11777666499749624</v>
      </c>
    </row>
    <row r="157" spans="2:10" x14ac:dyDescent="0.25">
      <c r="B157" s="159" t="s">
        <v>113</v>
      </c>
      <c r="C157" s="160">
        <v>1782</v>
      </c>
      <c r="D157" s="160">
        <v>171</v>
      </c>
      <c r="E157" s="160">
        <v>957</v>
      </c>
      <c r="F157" s="160">
        <v>1312</v>
      </c>
      <c r="G157" s="160">
        <v>1393</v>
      </c>
      <c r="H157" s="160">
        <v>1316</v>
      </c>
      <c r="I157" s="161">
        <f t="shared" si="21"/>
        <v>-5.5276381909547756E-2</v>
      </c>
      <c r="J157" s="161">
        <f>H157/H151</f>
        <v>0.13179769654481724</v>
      </c>
    </row>
    <row r="158" spans="2:10" x14ac:dyDescent="0.25">
      <c r="B158" s="159" t="s">
        <v>116</v>
      </c>
      <c r="C158" s="160">
        <v>755</v>
      </c>
      <c r="D158" s="160">
        <v>136</v>
      </c>
      <c r="E158" s="160">
        <v>414</v>
      </c>
      <c r="F158" s="160">
        <v>774</v>
      </c>
      <c r="G158" s="160">
        <v>874</v>
      </c>
      <c r="H158" s="160">
        <v>1305</v>
      </c>
      <c r="I158" s="161">
        <f t="shared" si="21"/>
        <v>0.49313501144164751</v>
      </c>
      <c r="J158" s="161">
        <f>H158/H151</f>
        <v>0.13069604406609914</v>
      </c>
    </row>
    <row r="159" spans="2:10" x14ac:dyDescent="0.25">
      <c r="B159" s="159" t="s">
        <v>123</v>
      </c>
      <c r="C159" s="160">
        <v>198</v>
      </c>
      <c r="D159" s="160">
        <v>12</v>
      </c>
      <c r="E159" s="160">
        <v>150</v>
      </c>
      <c r="F159" s="160">
        <v>203</v>
      </c>
      <c r="G159" s="160">
        <v>293</v>
      </c>
      <c r="H159" s="160">
        <v>370</v>
      </c>
      <c r="I159" s="161">
        <f t="shared" si="21"/>
        <v>0.2627986348122866</v>
      </c>
      <c r="J159" s="161">
        <f>H159/H151</f>
        <v>3.7055583375062595E-2</v>
      </c>
    </row>
    <row r="160" spans="2:10" x14ac:dyDescent="0.25">
      <c r="B160" s="159" t="s">
        <v>119</v>
      </c>
      <c r="C160" s="160">
        <v>203</v>
      </c>
      <c r="D160" s="160">
        <v>26</v>
      </c>
      <c r="E160" s="160">
        <v>196</v>
      </c>
      <c r="F160" s="160">
        <v>311</v>
      </c>
      <c r="G160" s="160">
        <v>326</v>
      </c>
      <c r="H160" s="160">
        <v>357</v>
      </c>
      <c r="I160" s="161">
        <f t="shared" si="21"/>
        <v>9.5092024539877196E-2</v>
      </c>
      <c r="J160" s="161">
        <f>H160/H151</f>
        <v>3.5753630445668504E-2</v>
      </c>
    </row>
    <row r="161" spans="2:10" x14ac:dyDescent="0.25">
      <c r="B161" s="159" t="s">
        <v>128</v>
      </c>
      <c r="C161" s="160">
        <v>167</v>
      </c>
      <c r="D161" s="160">
        <v>6</v>
      </c>
      <c r="E161" s="160">
        <v>100</v>
      </c>
      <c r="F161" s="160">
        <v>112</v>
      </c>
      <c r="G161" s="160">
        <v>127</v>
      </c>
      <c r="H161" s="160">
        <v>85</v>
      </c>
      <c r="I161" s="161">
        <f t="shared" si="21"/>
        <v>-0.3307086614173228</v>
      </c>
      <c r="J161" s="161">
        <f>H161/H151</f>
        <v>8.5127691537305959E-3</v>
      </c>
    </row>
    <row r="162" spans="2:10" x14ac:dyDescent="0.25">
      <c r="B162" s="159" t="s">
        <v>131</v>
      </c>
      <c r="C162" s="160">
        <v>149</v>
      </c>
      <c r="D162" s="160">
        <v>10</v>
      </c>
      <c r="E162" s="160">
        <v>124</v>
      </c>
      <c r="F162" s="160">
        <v>212</v>
      </c>
      <c r="G162" s="160">
        <v>190</v>
      </c>
      <c r="H162" s="160">
        <v>121</v>
      </c>
      <c r="I162" s="161">
        <f t="shared" si="21"/>
        <v>-0.36315789473684212</v>
      </c>
      <c r="J162" s="161">
        <f>H162/H151</f>
        <v>1.2118177265898849E-2</v>
      </c>
    </row>
    <row r="163" spans="2:10" x14ac:dyDescent="0.25">
      <c r="B163" s="164" t="s">
        <v>145</v>
      </c>
      <c r="C163" s="165">
        <f t="shared" ref="C163:H163" si="22">C155-SUM(C156:C162)</f>
        <v>1294</v>
      </c>
      <c r="D163" s="165">
        <f t="shared" si="22"/>
        <v>249</v>
      </c>
      <c r="E163" s="165">
        <f t="shared" si="22"/>
        <v>967</v>
      </c>
      <c r="F163" s="165">
        <f t="shared" si="22"/>
        <v>1305</v>
      </c>
      <c r="G163" s="165">
        <f t="shared" si="22"/>
        <v>1767</v>
      </c>
      <c r="H163" s="165">
        <f t="shared" si="22"/>
        <v>2030</v>
      </c>
      <c r="I163" s="166">
        <f t="shared" si="21"/>
        <v>0.14883984153933216</v>
      </c>
      <c r="J163" s="166">
        <f>H163/H151</f>
        <v>0.20330495743615423</v>
      </c>
    </row>
    <row r="164" spans="2:10" x14ac:dyDescent="0.25">
      <c r="C164" s="79"/>
      <c r="D164" s="79"/>
      <c r="E164" s="79"/>
      <c r="F164" s="79"/>
      <c r="G164" s="79"/>
      <c r="H164" s="79"/>
      <c r="I164" s="79"/>
    </row>
    <row r="165" spans="2:10" x14ac:dyDescent="0.25">
      <c r="B165" s="105" t="s">
        <v>55</v>
      </c>
      <c r="C165" s="105"/>
      <c r="D165" s="105"/>
      <c r="E165" s="105"/>
      <c r="F165" s="105"/>
      <c r="G165" s="105"/>
      <c r="H165" s="105"/>
      <c r="I165" s="105"/>
      <c r="J165" s="105"/>
    </row>
  </sheetData>
  <mergeCells count="3">
    <mergeCell ref="B6:J6"/>
    <mergeCell ref="M6:T6"/>
    <mergeCell ref="C8:J8"/>
  </mergeCells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ECB329-7271-46B7-AAEA-98DE8653B840}">
  <sheetPr codeName="Hoja16">
    <tabColor theme="7" tint="0.79998168889431442"/>
    <pageSetUpPr fitToPage="1"/>
  </sheetPr>
  <dimension ref="A1:W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3" max="13" width="11.42578125" customWidth="1"/>
    <col min="14" max="23" width="11.42578125" hidden="1" customWidth="1"/>
    <col min="24" max="24" width="0" hidden="1" customWidth="1"/>
  </cols>
  <sheetData>
    <row r="1" spans="1:23" ht="42.75" customHeight="1" x14ac:dyDescent="0.25"/>
    <row r="4" spans="1:23" ht="42" customHeight="1" thickBot="1" x14ac:dyDescent="0.3">
      <c r="B4" s="265" t="str">
        <f>CONCATENATE("Viajeros entrados en los hoteles de Tenerife según lugar de residencia y municipio de alojamiento")</f>
        <v>Viajeros entrados en los hoteles de Tenerife según lugar de residencia y municipio de alojamiento</v>
      </c>
      <c r="C4" s="265"/>
      <c r="D4" s="265"/>
      <c r="E4" s="265"/>
      <c r="F4" s="265"/>
      <c r="G4" s="265"/>
      <c r="H4" s="265"/>
      <c r="I4" s="265"/>
      <c r="J4" s="140"/>
      <c r="K4" s="140"/>
      <c r="N4" s="139" t="s">
        <v>266</v>
      </c>
      <c r="O4" s="140"/>
      <c r="P4" s="140"/>
      <c r="Q4" s="140"/>
      <c r="R4" s="140"/>
      <c r="S4" s="140"/>
      <c r="T4" s="140"/>
      <c r="U4" s="140"/>
      <c r="V4" s="140"/>
      <c r="W4" s="140"/>
    </row>
    <row r="5" spans="1:23" ht="6" customHeight="1" x14ac:dyDescent="0.25"/>
    <row r="6" spans="1:23" ht="15.75" x14ac:dyDescent="0.25">
      <c r="B6" s="141"/>
      <c r="C6" s="298" t="s">
        <v>43</v>
      </c>
      <c r="D6" s="299"/>
      <c r="E6" s="299"/>
      <c r="F6" s="299"/>
      <c r="G6" s="299"/>
      <c r="H6" s="299"/>
      <c r="I6" s="299"/>
      <c r="J6" s="299"/>
      <c r="K6" s="299"/>
      <c r="N6" s="141"/>
      <c r="O6" s="298" t="s">
        <v>43</v>
      </c>
      <c r="P6" s="299"/>
      <c r="Q6" s="299"/>
      <c r="R6" s="299"/>
      <c r="S6" s="299"/>
      <c r="T6" s="299"/>
      <c r="U6" s="299"/>
      <c r="V6" s="299"/>
      <c r="W6" s="299"/>
    </row>
    <row r="7" spans="1:23" s="142" customFormat="1" ht="72" customHeight="1" x14ac:dyDescent="0.25">
      <c r="B7" s="143"/>
      <c r="C7" s="168" t="s">
        <v>316</v>
      </c>
      <c r="D7" s="168" t="s">
        <v>317</v>
      </c>
      <c r="E7" s="168" t="s">
        <v>318</v>
      </c>
      <c r="F7" s="168" t="s">
        <v>319</v>
      </c>
      <c r="G7" s="168" t="s">
        <v>320</v>
      </c>
      <c r="H7" s="168" t="s">
        <v>321</v>
      </c>
      <c r="I7" s="169" t="str">
        <f>CONCATENATE("var. ",RIGHT(H7,2),"/",RIGHT(G7,2))</f>
        <v>var. 25/24</v>
      </c>
      <c r="J7" s="168" t="str">
        <f>CONCATENATE("dif. ",RIGHT(H7,2),"/",RIGHT(G7,2))</f>
        <v>dif. 25/24</v>
      </c>
      <c r="K7" s="169" t="str">
        <f>CONCATENATE("Cuota s/ total lugares de residencia ",RIGHT(H7,4))</f>
        <v>Cuota s/ total lugares de residencia 2025</v>
      </c>
      <c r="N7" s="143"/>
      <c r="O7" s="168" t="s">
        <v>316</v>
      </c>
      <c r="P7" s="168" t="s">
        <v>317</v>
      </c>
      <c r="Q7" s="168" t="s">
        <v>318</v>
      </c>
      <c r="R7" s="168" t="s">
        <v>319</v>
      </c>
      <c r="S7" s="168" t="s">
        <v>320</v>
      </c>
      <c r="T7" s="168" t="s">
        <v>321</v>
      </c>
      <c r="U7" s="169" t="str">
        <f>CONCATENATE("var. ",RIGHT(T7,2),"/",RIGHT(S7,2))</f>
        <v>var. 25/24</v>
      </c>
      <c r="V7" s="168" t="str">
        <f>CONCATENATE("dif. ",RIGHT(T7,2),"/",RIGHT(S7,2))</f>
        <v>dif. 25/24</v>
      </c>
      <c r="W7" s="169" t="str">
        <f>CONCATENATE("Cuota s/ total lugares de residencia ",RIGHT(T7,4))</f>
        <v>Cuota s/ total lugares de residencia 2025</v>
      </c>
    </row>
    <row r="8" spans="1:23" x14ac:dyDescent="0.25">
      <c r="A8" s="1"/>
      <c r="B8" s="148" t="s">
        <v>43</v>
      </c>
      <c r="C8" s="149"/>
      <c r="D8" s="149"/>
      <c r="E8" s="149"/>
      <c r="F8" s="149"/>
      <c r="G8" s="149"/>
      <c r="H8" s="150"/>
      <c r="I8" s="150"/>
      <c r="J8" s="150"/>
      <c r="K8" s="149"/>
      <c r="N8" s="151" t="s">
        <v>48</v>
      </c>
      <c r="O8" s="149"/>
      <c r="P8" s="149"/>
      <c r="Q8" s="149"/>
      <c r="R8" s="149"/>
      <c r="S8" s="149"/>
      <c r="T8" s="150"/>
      <c r="U8" s="150"/>
      <c r="V8" s="150"/>
      <c r="W8" s="149"/>
    </row>
    <row r="9" spans="1:23" x14ac:dyDescent="0.25">
      <c r="A9" s="1" t="s">
        <v>96</v>
      </c>
      <c r="B9" s="152" t="s">
        <v>68</v>
      </c>
      <c r="C9" s="172">
        <f t="shared" ref="C9:H9" si="0">C10+C13</f>
        <v>293229</v>
      </c>
      <c r="D9" s="172">
        <f t="shared" si="0"/>
        <v>35671</v>
      </c>
      <c r="E9" s="172">
        <f t="shared" si="0"/>
        <v>211722</v>
      </c>
      <c r="F9" s="172">
        <f t="shared" si="0"/>
        <v>323159</v>
      </c>
      <c r="G9" s="172">
        <f t="shared" si="0"/>
        <v>328440</v>
      </c>
      <c r="H9" s="172">
        <f t="shared" si="0"/>
        <v>336465</v>
      </c>
      <c r="I9" s="173">
        <f>IFERROR(H9/G9-1,"-")</f>
        <v>2.4433686518085418E-2</v>
      </c>
      <c r="J9" s="172">
        <f t="shared" ref="J9:J21" si="1">H9-G9</f>
        <v>8025</v>
      </c>
      <c r="K9" s="173">
        <f t="shared" ref="K9:K21" si="2">H9/H$9</f>
        <v>1</v>
      </c>
      <c r="N9" s="152" t="s">
        <v>68</v>
      </c>
      <c r="O9" s="172">
        <f t="shared" ref="O9:T9" si="3">O10+O13</f>
        <v>49163</v>
      </c>
      <c r="P9" s="172">
        <f t="shared" si="3"/>
        <v>3370</v>
      </c>
      <c r="Q9" s="172">
        <f t="shared" si="3"/>
        <v>28358</v>
      </c>
      <c r="R9" s="172">
        <f t="shared" si="3"/>
        <v>49540</v>
      </c>
      <c r="S9" s="172">
        <f t="shared" si="3"/>
        <v>54397</v>
      </c>
      <c r="T9" s="172">
        <f t="shared" si="3"/>
        <v>54883</v>
      </c>
      <c r="U9" s="173">
        <f>IFERROR(T9/S9-1,"-")</f>
        <v>8.9343162306745327E-3</v>
      </c>
      <c r="V9" s="172">
        <f>T9-S9</f>
        <v>486</v>
      </c>
      <c r="W9" s="173">
        <f t="shared" ref="W9:W21" si="4">T9/T$9</f>
        <v>1</v>
      </c>
    </row>
    <row r="10" spans="1:23" x14ac:dyDescent="0.25">
      <c r="A10" s="158" t="s">
        <v>103</v>
      </c>
      <c r="B10" s="155" t="s">
        <v>97</v>
      </c>
      <c r="C10" s="156">
        <v>49229</v>
      </c>
      <c r="D10" s="156">
        <v>16762</v>
      </c>
      <c r="E10" s="156">
        <v>37221</v>
      </c>
      <c r="F10" s="156">
        <v>55277</v>
      </c>
      <c r="G10" s="156">
        <v>48288</v>
      </c>
      <c r="H10" s="156">
        <v>49489</v>
      </c>
      <c r="I10" s="174">
        <f>IFERROR(H10/G10-1,"-")</f>
        <v>2.4871603711067003E-2</v>
      </c>
      <c r="J10" s="155">
        <f t="shared" si="1"/>
        <v>1201</v>
      </c>
      <c r="K10" s="157">
        <f t="shared" si="2"/>
        <v>0.14708513515521673</v>
      </c>
      <c r="N10" s="155" t="s">
        <v>97</v>
      </c>
      <c r="O10" s="156">
        <v>16841</v>
      </c>
      <c r="P10" s="156">
        <v>1742</v>
      </c>
      <c r="Q10" s="156">
        <v>10573</v>
      </c>
      <c r="R10" s="156">
        <v>16592</v>
      </c>
      <c r="S10" s="156">
        <v>15398</v>
      </c>
      <c r="T10" s="156">
        <v>16231</v>
      </c>
      <c r="U10" s="174">
        <f>IFERROR(T10/S10-1,"-")</f>
        <v>5.4097934796726754E-2</v>
      </c>
      <c r="V10" s="155">
        <f t="shared" ref="V10:V20" si="5">T10-S10</f>
        <v>833</v>
      </c>
      <c r="W10" s="157">
        <f t="shared" si="4"/>
        <v>0.29573820673068163</v>
      </c>
    </row>
    <row r="11" spans="1:23" x14ac:dyDescent="0.25">
      <c r="A11" s="158" t="s">
        <v>100</v>
      </c>
      <c r="B11" s="159" t="s">
        <v>103</v>
      </c>
      <c r="C11" s="160">
        <v>15075</v>
      </c>
      <c r="D11" s="160">
        <v>11722</v>
      </c>
      <c r="E11" s="160">
        <v>14569</v>
      </c>
      <c r="F11" s="160">
        <v>21244</v>
      </c>
      <c r="G11" s="160">
        <v>16804</v>
      </c>
      <c r="H11" s="160">
        <v>15351</v>
      </c>
      <c r="I11" s="175">
        <f>IFERROR(H11/G11-1,"-")</f>
        <v>-8.6467507736253224E-2</v>
      </c>
      <c r="J11" s="159">
        <f t="shared" si="1"/>
        <v>-1453</v>
      </c>
      <c r="K11" s="161">
        <f t="shared" si="2"/>
        <v>4.5624359145824973E-2</v>
      </c>
      <c r="N11" s="159" t="s">
        <v>103</v>
      </c>
      <c r="O11" s="160">
        <v>2432</v>
      </c>
      <c r="P11" s="160">
        <v>914</v>
      </c>
      <c r="Q11" s="160">
        <v>2350</v>
      </c>
      <c r="R11" s="160">
        <v>2569</v>
      </c>
      <c r="S11" s="160">
        <v>2752</v>
      </c>
      <c r="T11" s="160">
        <v>3010</v>
      </c>
      <c r="U11" s="175">
        <f>IFERROR(T11/S11-1,"-")</f>
        <v>9.375E-2</v>
      </c>
      <c r="V11" s="159">
        <f t="shared" si="5"/>
        <v>258</v>
      </c>
      <c r="W11" s="161">
        <f>T11/T$9</f>
        <v>5.4843940746679302E-2</v>
      </c>
    </row>
    <row r="12" spans="1:23" x14ac:dyDescent="0.25">
      <c r="A12" s="1"/>
      <c r="B12" s="159" t="s">
        <v>100</v>
      </c>
      <c r="C12" s="160">
        <v>34154</v>
      </c>
      <c r="D12" s="160">
        <v>5040</v>
      </c>
      <c r="E12" s="160">
        <v>22652</v>
      </c>
      <c r="F12" s="160">
        <v>34033</v>
      </c>
      <c r="G12" s="160">
        <v>31484</v>
      </c>
      <c r="H12" s="160">
        <v>34138</v>
      </c>
      <c r="I12" s="175">
        <f>IFERROR(H12/G12-1,"-")</f>
        <v>8.4296785668911189E-2</v>
      </c>
      <c r="J12" s="159">
        <f t="shared" si="1"/>
        <v>2654</v>
      </c>
      <c r="K12" s="161">
        <f t="shared" si="2"/>
        <v>0.10146077600939177</v>
      </c>
      <c r="N12" s="159" t="s">
        <v>100</v>
      </c>
      <c r="O12" s="160">
        <v>14409</v>
      </c>
      <c r="P12" s="160">
        <v>828</v>
      </c>
      <c r="Q12" s="160">
        <v>8223</v>
      </c>
      <c r="R12" s="160">
        <v>14023</v>
      </c>
      <c r="S12" s="160">
        <v>12646</v>
      </c>
      <c r="T12" s="160">
        <v>13221</v>
      </c>
      <c r="U12" s="175">
        <f>IFERROR(T12/S12-1,"-")</f>
        <v>4.546892297959837E-2</v>
      </c>
      <c r="V12" s="159">
        <f t="shared" si="5"/>
        <v>575</v>
      </c>
      <c r="W12" s="161">
        <f t="shared" si="4"/>
        <v>0.24089426598400232</v>
      </c>
    </row>
    <row r="13" spans="1:23" s="56" customFormat="1" x14ac:dyDescent="0.25">
      <c r="B13" s="155" t="s">
        <v>107</v>
      </c>
      <c r="C13" s="156">
        <v>244000</v>
      </c>
      <c r="D13" s="156">
        <v>18909</v>
      </c>
      <c r="E13" s="156">
        <v>174501</v>
      </c>
      <c r="F13" s="156">
        <v>267882</v>
      </c>
      <c r="G13" s="156">
        <v>280152</v>
      </c>
      <c r="H13" s="156">
        <v>286976</v>
      </c>
      <c r="I13" s="174">
        <f>IFERROR(H13/G13-1,"-")</f>
        <v>2.4358205545560896E-2</v>
      </c>
      <c r="J13" s="155">
        <f t="shared" si="1"/>
        <v>6824</v>
      </c>
      <c r="K13" s="157">
        <f t="shared" si="2"/>
        <v>0.85291486484478329</v>
      </c>
      <c r="N13" s="155" t="s">
        <v>107</v>
      </c>
      <c r="O13" s="156">
        <v>32322</v>
      </c>
      <c r="P13" s="156">
        <v>1628</v>
      </c>
      <c r="Q13" s="156">
        <v>17785</v>
      </c>
      <c r="R13" s="156">
        <v>32948</v>
      </c>
      <c r="S13" s="156">
        <v>38999</v>
      </c>
      <c r="T13" s="156">
        <v>38652</v>
      </c>
      <c r="U13" s="174">
        <f>IFERROR(T13/S13-1,"-")</f>
        <v>-8.8976640426677855E-3</v>
      </c>
      <c r="V13" s="155">
        <f t="shared" si="5"/>
        <v>-347</v>
      </c>
      <c r="W13" s="157">
        <f t="shared" si="4"/>
        <v>0.70426179326931837</v>
      </c>
    </row>
    <row r="14" spans="1:23" s="56" customFormat="1" x14ac:dyDescent="0.25">
      <c r="B14" s="159" t="s">
        <v>110</v>
      </c>
      <c r="C14" s="160">
        <v>92619</v>
      </c>
      <c r="D14" s="160">
        <v>1517</v>
      </c>
      <c r="E14" s="160">
        <v>56233</v>
      </c>
      <c r="F14" s="160">
        <v>98586</v>
      </c>
      <c r="G14" s="160">
        <v>109869</v>
      </c>
      <c r="H14" s="160">
        <v>114151</v>
      </c>
      <c r="I14" s="175">
        <f t="shared" ref="I14:I21" si="6">IFERROR(H14/G14-1,"-")</f>
        <v>3.897368684524305E-2</v>
      </c>
      <c r="J14" s="159">
        <f t="shared" si="1"/>
        <v>4282</v>
      </c>
      <c r="K14" s="161">
        <f t="shared" si="2"/>
        <v>0.33926559969090397</v>
      </c>
      <c r="N14" s="159" t="s">
        <v>110</v>
      </c>
      <c r="O14" s="160">
        <v>6374</v>
      </c>
      <c r="P14" s="160">
        <v>176</v>
      </c>
      <c r="Q14" s="160">
        <v>2440</v>
      </c>
      <c r="R14" s="160">
        <v>6515</v>
      </c>
      <c r="S14" s="160">
        <v>8194</v>
      </c>
      <c r="T14" s="160">
        <v>8023</v>
      </c>
      <c r="U14" s="175">
        <f t="shared" ref="U14:U21" si="7">IFERROR(T14/S14-1,"-")</f>
        <v>-2.086892848425681E-2</v>
      </c>
      <c r="V14" s="159">
        <f t="shared" si="5"/>
        <v>-171</v>
      </c>
      <c r="W14" s="161">
        <f t="shared" si="4"/>
        <v>0.1461836998706339</v>
      </c>
    </row>
    <row r="15" spans="1:23" x14ac:dyDescent="0.25">
      <c r="A15" s="1"/>
      <c r="B15" s="159" t="s">
        <v>113</v>
      </c>
      <c r="C15" s="160">
        <v>35807</v>
      </c>
      <c r="D15" s="160">
        <v>3124</v>
      </c>
      <c r="E15" s="160">
        <v>21725</v>
      </c>
      <c r="F15" s="160">
        <v>34109</v>
      </c>
      <c r="G15" s="160">
        <v>36970</v>
      </c>
      <c r="H15" s="160">
        <v>36155</v>
      </c>
      <c r="I15" s="175">
        <f t="shared" si="6"/>
        <v>-2.2044901271301098E-2</v>
      </c>
      <c r="J15" s="159">
        <f t="shared" si="1"/>
        <v>-815</v>
      </c>
      <c r="K15" s="161">
        <f t="shared" si="2"/>
        <v>0.10745545599096488</v>
      </c>
      <c r="N15" s="159" t="s">
        <v>113</v>
      </c>
      <c r="O15" s="160">
        <v>12387</v>
      </c>
      <c r="P15" s="160">
        <v>354</v>
      </c>
      <c r="Q15" s="160">
        <v>6032</v>
      </c>
      <c r="R15" s="160">
        <v>11151</v>
      </c>
      <c r="S15" s="160">
        <v>12562</v>
      </c>
      <c r="T15" s="160">
        <v>12210</v>
      </c>
      <c r="U15" s="175">
        <f t="shared" si="7"/>
        <v>-2.8021015761821366E-2</v>
      </c>
      <c r="V15" s="159">
        <f t="shared" si="5"/>
        <v>-352</v>
      </c>
      <c r="W15" s="161">
        <f t="shared" si="4"/>
        <v>0.2224732613013137</v>
      </c>
    </row>
    <row r="16" spans="1:23" x14ac:dyDescent="0.25">
      <c r="A16" s="1"/>
      <c r="B16" s="159" t="s">
        <v>116</v>
      </c>
      <c r="C16" s="160">
        <v>12403</v>
      </c>
      <c r="D16" s="160">
        <v>3865</v>
      </c>
      <c r="E16" s="160">
        <v>10088</v>
      </c>
      <c r="F16" s="160">
        <v>15097</v>
      </c>
      <c r="G16" s="160">
        <v>12986</v>
      </c>
      <c r="H16" s="160">
        <v>14132</v>
      </c>
      <c r="I16" s="175">
        <f t="shared" si="6"/>
        <v>8.8248883412906265E-2</v>
      </c>
      <c r="J16" s="159">
        <f t="shared" si="1"/>
        <v>1146</v>
      </c>
      <c r="K16" s="161">
        <f t="shared" si="2"/>
        <v>4.2001396876346721E-2</v>
      </c>
      <c r="N16" s="159" t="s">
        <v>116</v>
      </c>
      <c r="O16" s="160">
        <v>1795</v>
      </c>
      <c r="P16" s="160">
        <v>411</v>
      </c>
      <c r="Q16" s="160">
        <v>1423</v>
      </c>
      <c r="R16" s="160">
        <v>2810</v>
      </c>
      <c r="S16" s="160">
        <v>3315</v>
      </c>
      <c r="T16" s="160">
        <v>3226</v>
      </c>
      <c r="U16" s="175">
        <f t="shared" si="7"/>
        <v>-2.6847662141779804E-2</v>
      </c>
      <c r="V16" s="159">
        <f t="shared" si="5"/>
        <v>-89</v>
      </c>
      <c r="W16" s="161">
        <f t="shared" si="4"/>
        <v>5.8779585664048978E-2</v>
      </c>
    </row>
    <row r="17" spans="1:23" x14ac:dyDescent="0.25">
      <c r="A17" s="1"/>
      <c r="B17" s="159" t="s">
        <v>123</v>
      </c>
      <c r="C17" s="160">
        <v>7539</v>
      </c>
      <c r="D17" s="160">
        <v>260</v>
      </c>
      <c r="E17" s="160">
        <v>9800</v>
      </c>
      <c r="F17" s="160">
        <v>9587</v>
      </c>
      <c r="G17" s="160">
        <v>9868</v>
      </c>
      <c r="H17" s="160">
        <v>9469</v>
      </c>
      <c r="I17" s="175">
        <f t="shared" si="6"/>
        <v>-4.043372517227406E-2</v>
      </c>
      <c r="J17" s="159">
        <f t="shared" si="1"/>
        <v>-399</v>
      </c>
      <c r="K17" s="161">
        <f t="shared" si="2"/>
        <v>2.8142600270459037E-2</v>
      </c>
      <c r="N17" s="159" t="s">
        <v>123</v>
      </c>
      <c r="O17" s="160">
        <v>435</v>
      </c>
      <c r="P17" s="160">
        <v>16</v>
      </c>
      <c r="Q17" s="160">
        <v>597</v>
      </c>
      <c r="R17" s="160">
        <v>578</v>
      </c>
      <c r="S17" s="160">
        <v>852</v>
      </c>
      <c r="T17" s="160">
        <v>1122</v>
      </c>
      <c r="U17" s="175">
        <f t="shared" si="7"/>
        <v>0.31690140845070425</v>
      </c>
      <c r="V17" s="159">
        <f t="shared" si="5"/>
        <v>270</v>
      </c>
      <c r="W17" s="161">
        <f t="shared" si="4"/>
        <v>2.0443488876336936E-2</v>
      </c>
    </row>
    <row r="18" spans="1:23" x14ac:dyDescent="0.25">
      <c r="A18" s="1"/>
      <c r="B18" s="159" t="s">
        <v>119</v>
      </c>
      <c r="C18" s="160">
        <v>11192</v>
      </c>
      <c r="D18" s="160">
        <v>1030</v>
      </c>
      <c r="E18" s="160">
        <v>10492</v>
      </c>
      <c r="F18" s="160">
        <v>11394</v>
      </c>
      <c r="G18" s="160">
        <v>11594</v>
      </c>
      <c r="H18" s="160">
        <v>10574</v>
      </c>
      <c r="I18" s="175">
        <f t="shared" si="6"/>
        <v>-8.7976539589442848E-2</v>
      </c>
      <c r="J18" s="159">
        <f t="shared" si="1"/>
        <v>-1020</v>
      </c>
      <c r="K18" s="161">
        <f t="shared" si="2"/>
        <v>3.1426745723923739E-2</v>
      </c>
      <c r="N18" s="159" t="s">
        <v>119</v>
      </c>
      <c r="O18" s="160">
        <v>379</v>
      </c>
      <c r="P18" s="160">
        <v>63</v>
      </c>
      <c r="Q18" s="160">
        <v>482</v>
      </c>
      <c r="R18" s="160">
        <v>521</v>
      </c>
      <c r="S18" s="160">
        <v>490</v>
      </c>
      <c r="T18" s="160">
        <v>710</v>
      </c>
      <c r="U18" s="175">
        <f t="shared" si="7"/>
        <v>0.44897959183673475</v>
      </c>
      <c r="V18" s="159">
        <f t="shared" si="5"/>
        <v>220</v>
      </c>
      <c r="W18" s="161">
        <f t="shared" si="4"/>
        <v>1.2936610608020699E-2</v>
      </c>
    </row>
    <row r="19" spans="1:23" x14ac:dyDescent="0.25">
      <c r="A19" s="158" t="s">
        <v>144</v>
      </c>
      <c r="B19" s="159" t="s">
        <v>128</v>
      </c>
      <c r="C19" s="160">
        <v>6875</v>
      </c>
      <c r="D19" s="160">
        <v>62</v>
      </c>
      <c r="E19" s="160">
        <v>5184</v>
      </c>
      <c r="F19" s="160">
        <v>8610</v>
      </c>
      <c r="G19" s="160">
        <v>6479</v>
      </c>
      <c r="H19" s="160">
        <v>5821</v>
      </c>
      <c r="I19" s="175">
        <f t="shared" si="6"/>
        <v>-0.10155888254360246</v>
      </c>
      <c r="J19" s="159">
        <f t="shared" si="1"/>
        <v>-658</v>
      </c>
      <c r="K19" s="161">
        <f t="shared" si="2"/>
        <v>1.7300462158025352E-2</v>
      </c>
      <c r="N19" s="159" t="s">
        <v>128</v>
      </c>
      <c r="O19" s="160">
        <v>686</v>
      </c>
      <c r="P19" s="160">
        <v>1</v>
      </c>
      <c r="Q19" s="160">
        <v>516</v>
      </c>
      <c r="R19" s="160">
        <v>964</v>
      </c>
      <c r="S19" s="160">
        <v>812</v>
      </c>
      <c r="T19" s="160">
        <v>753</v>
      </c>
      <c r="U19" s="175">
        <f t="shared" si="7"/>
        <v>-7.2660098522167482E-2</v>
      </c>
      <c r="V19" s="159">
        <f t="shared" si="5"/>
        <v>-59</v>
      </c>
      <c r="W19" s="161">
        <f t="shared" si="4"/>
        <v>1.3720095475830403E-2</v>
      </c>
    </row>
    <row r="20" spans="1:23" x14ac:dyDescent="0.25">
      <c r="A20" s="163" t="s">
        <v>145</v>
      </c>
      <c r="B20" s="159" t="s">
        <v>131</v>
      </c>
      <c r="C20" s="160">
        <v>9801</v>
      </c>
      <c r="D20" s="160">
        <v>419</v>
      </c>
      <c r="E20" s="160">
        <v>4358</v>
      </c>
      <c r="F20" s="160">
        <v>8319</v>
      </c>
      <c r="G20" s="160">
        <v>7542</v>
      </c>
      <c r="H20" s="160">
        <v>6254</v>
      </c>
      <c r="I20" s="175">
        <f t="shared" si="6"/>
        <v>-0.17077698223282944</v>
      </c>
      <c r="J20" s="159">
        <f t="shared" si="1"/>
        <v>-1288</v>
      </c>
      <c r="K20" s="161">
        <f t="shared" si="2"/>
        <v>1.858737164341016E-2</v>
      </c>
      <c r="N20" s="159" t="s">
        <v>131</v>
      </c>
      <c r="O20" s="160">
        <v>1008</v>
      </c>
      <c r="P20" s="160">
        <v>26</v>
      </c>
      <c r="Q20" s="160">
        <v>391</v>
      </c>
      <c r="R20" s="160">
        <v>746</v>
      </c>
      <c r="S20" s="160">
        <v>929</v>
      </c>
      <c r="T20" s="160">
        <v>716</v>
      </c>
      <c r="U20" s="175">
        <f t="shared" si="7"/>
        <v>-0.22927879440258347</v>
      </c>
      <c r="V20" s="159">
        <f t="shared" si="5"/>
        <v>-213</v>
      </c>
      <c r="W20" s="161">
        <f t="shared" si="4"/>
        <v>1.3045934077947635E-2</v>
      </c>
    </row>
    <row r="21" spans="1:23" x14ac:dyDescent="0.25">
      <c r="B21" s="164" t="s">
        <v>145</v>
      </c>
      <c r="C21" s="165">
        <f t="shared" ref="C21:H21" si="8">C13-SUM(C14:C20)</f>
        <v>67764</v>
      </c>
      <c r="D21" s="165">
        <f t="shared" si="8"/>
        <v>8632</v>
      </c>
      <c r="E21" s="165">
        <f t="shared" si="8"/>
        <v>56621</v>
      </c>
      <c r="F21" s="165">
        <f t="shared" si="8"/>
        <v>82180</v>
      </c>
      <c r="G21" s="165">
        <f t="shared" si="8"/>
        <v>84844</v>
      </c>
      <c r="H21" s="165">
        <f t="shared" si="8"/>
        <v>90420</v>
      </c>
      <c r="I21" s="176">
        <f t="shared" si="6"/>
        <v>6.5720616661166353E-2</v>
      </c>
      <c r="J21" s="164">
        <f t="shared" si="1"/>
        <v>5576</v>
      </c>
      <c r="K21" s="166">
        <f t="shared" si="2"/>
        <v>0.26873523249074943</v>
      </c>
      <c r="N21" s="164" t="s">
        <v>145</v>
      </c>
      <c r="O21" s="165">
        <f t="shared" ref="O21:T21" si="9">O13-SUM(O14:O20)</f>
        <v>9258</v>
      </c>
      <c r="P21" s="165">
        <f t="shared" si="9"/>
        <v>581</v>
      </c>
      <c r="Q21" s="165">
        <f t="shared" si="9"/>
        <v>5904</v>
      </c>
      <c r="R21" s="165">
        <f t="shared" si="9"/>
        <v>9663</v>
      </c>
      <c r="S21" s="165">
        <f t="shared" si="9"/>
        <v>11845</v>
      </c>
      <c r="T21" s="165">
        <f t="shared" si="9"/>
        <v>11892</v>
      </c>
      <c r="U21" s="176">
        <f t="shared" si="7"/>
        <v>3.9679189531447445E-3</v>
      </c>
      <c r="V21" s="164">
        <f>T21-S21</f>
        <v>47</v>
      </c>
      <c r="W21" s="166">
        <f t="shared" si="4"/>
        <v>0.21667911739518611</v>
      </c>
    </row>
    <row r="22" spans="1:23" x14ac:dyDescent="0.25">
      <c r="B22" s="151" t="s">
        <v>44</v>
      </c>
      <c r="C22" s="149"/>
      <c r="D22" s="149"/>
      <c r="E22" s="149"/>
      <c r="F22" s="149"/>
      <c r="G22" s="149"/>
      <c r="H22" s="149"/>
      <c r="I22" s="150"/>
      <c r="J22" s="150"/>
      <c r="K22" s="149"/>
    </row>
    <row r="23" spans="1:23" x14ac:dyDescent="0.25">
      <c r="B23" s="152" t="s">
        <v>68</v>
      </c>
      <c r="C23" s="172">
        <f t="shared" ref="C23:H23" si="10">C24+C27</f>
        <v>111379</v>
      </c>
      <c r="D23" s="172">
        <f t="shared" si="10"/>
        <v>12102</v>
      </c>
      <c r="E23" s="172">
        <f t="shared" si="10"/>
        <v>86205</v>
      </c>
      <c r="F23" s="172">
        <f t="shared" si="10"/>
        <v>115960</v>
      </c>
      <c r="G23" s="172">
        <f t="shared" si="10"/>
        <v>122914</v>
      </c>
      <c r="H23" s="172">
        <f t="shared" si="10"/>
        <v>120846</v>
      </c>
      <c r="I23" s="173">
        <f>IFERROR(H23/G23-1,"-")</f>
        <v>-1.6824771791659199E-2</v>
      </c>
      <c r="J23" s="172">
        <f>H23-G23</f>
        <v>-2068</v>
      </c>
      <c r="K23" s="173">
        <f t="shared" ref="K23:K35" si="11">H23/H$9</f>
        <v>0.35916365743836653</v>
      </c>
    </row>
    <row r="24" spans="1:23" x14ac:dyDescent="0.25">
      <c r="B24" s="155" t="s">
        <v>97</v>
      </c>
      <c r="C24" s="156">
        <v>7413</v>
      </c>
      <c r="D24" s="156">
        <v>5172</v>
      </c>
      <c r="E24" s="156">
        <v>8027</v>
      </c>
      <c r="F24" s="156">
        <v>7164</v>
      </c>
      <c r="G24" s="156">
        <v>5976</v>
      </c>
      <c r="H24" s="156">
        <v>5394</v>
      </c>
      <c r="I24" s="174">
        <f>IFERROR(H24/G24-1,"-")</f>
        <v>-9.7389558232931717E-2</v>
      </c>
      <c r="J24" s="155">
        <f t="shared" ref="J24:J34" si="12">H24-G24</f>
        <v>-582</v>
      </c>
      <c r="K24" s="157">
        <f t="shared" si="11"/>
        <v>1.6031385136641256E-2</v>
      </c>
    </row>
    <row r="25" spans="1:23" x14ac:dyDescent="0.25">
      <c r="B25" s="159" t="s">
        <v>103</v>
      </c>
      <c r="C25" s="160">
        <v>2969</v>
      </c>
      <c r="D25" s="160">
        <v>3680</v>
      </c>
      <c r="E25" s="160">
        <v>3626</v>
      </c>
      <c r="F25" s="160">
        <v>2671</v>
      </c>
      <c r="G25" s="160">
        <v>1720</v>
      </c>
      <c r="H25" s="160">
        <v>1711</v>
      </c>
      <c r="I25" s="175">
        <f>IFERROR(H25/G25-1,"-")</f>
        <v>-5.2325581395349374E-3</v>
      </c>
      <c r="J25" s="159">
        <f t="shared" si="12"/>
        <v>-9</v>
      </c>
      <c r="K25" s="161">
        <f t="shared" si="11"/>
        <v>5.0852243175367427E-3</v>
      </c>
    </row>
    <row r="26" spans="1:23" x14ac:dyDescent="0.25">
      <c r="B26" s="159" t="s">
        <v>100</v>
      </c>
      <c r="C26" s="160">
        <v>4444</v>
      </c>
      <c r="D26" s="160">
        <v>1492</v>
      </c>
      <c r="E26" s="160">
        <v>4401</v>
      </c>
      <c r="F26" s="160">
        <v>4493</v>
      </c>
      <c r="G26" s="160">
        <v>4256</v>
      </c>
      <c r="H26" s="160">
        <v>3683</v>
      </c>
      <c r="I26" s="175">
        <f>IFERROR(H26/G26-1,"-")</f>
        <v>-0.13463345864661658</v>
      </c>
      <c r="J26" s="159">
        <f t="shared" si="12"/>
        <v>-573</v>
      </c>
      <c r="K26" s="161">
        <f t="shared" si="11"/>
        <v>1.0946160819104513E-2</v>
      </c>
    </row>
    <row r="27" spans="1:23" x14ac:dyDescent="0.25">
      <c r="B27" s="155" t="s">
        <v>107</v>
      </c>
      <c r="C27" s="156">
        <v>103966</v>
      </c>
      <c r="D27" s="156">
        <v>6930</v>
      </c>
      <c r="E27" s="156">
        <v>78178</v>
      </c>
      <c r="F27" s="156">
        <v>108796</v>
      </c>
      <c r="G27" s="156">
        <v>116938</v>
      </c>
      <c r="H27" s="156">
        <v>115452</v>
      </c>
      <c r="I27" s="174">
        <f>IFERROR(H27/G27-1,"-")</f>
        <v>-1.2707588636713507E-2</v>
      </c>
      <c r="J27" s="155">
        <f t="shared" si="12"/>
        <v>-1486</v>
      </c>
      <c r="K27" s="157">
        <f t="shared" si="11"/>
        <v>0.34313227230172527</v>
      </c>
    </row>
    <row r="28" spans="1:23" x14ac:dyDescent="0.25">
      <c r="B28" s="159" t="s">
        <v>110</v>
      </c>
      <c r="C28" s="160">
        <v>44308</v>
      </c>
      <c r="D28" s="160">
        <v>397</v>
      </c>
      <c r="E28" s="160">
        <v>30160</v>
      </c>
      <c r="F28" s="160">
        <v>47385</v>
      </c>
      <c r="G28" s="160">
        <v>53137</v>
      </c>
      <c r="H28" s="160">
        <v>54014</v>
      </c>
      <c r="I28" s="175">
        <f t="shared" ref="I28:I35" si="13">IFERROR(H28/G28-1,"-")</f>
        <v>1.6504507217193209E-2</v>
      </c>
      <c r="J28" s="159">
        <f t="shared" si="12"/>
        <v>877</v>
      </c>
      <c r="K28" s="161">
        <f t="shared" si="11"/>
        <v>0.16053378508908803</v>
      </c>
    </row>
    <row r="29" spans="1:23" x14ac:dyDescent="0.25">
      <c r="B29" s="159" t="s">
        <v>113</v>
      </c>
      <c r="C29" s="160">
        <v>13318</v>
      </c>
      <c r="D29" s="160">
        <v>1178</v>
      </c>
      <c r="E29" s="160">
        <v>8945</v>
      </c>
      <c r="F29" s="160">
        <v>12661</v>
      </c>
      <c r="G29" s="160">
        <v>13392</v>
      </c>
      <c r="H29" s="160">
        <v>12949</v>
      </c>
      <c r="I29" s="175">
        <f t="shared" si="13"/>
        <v>-3.3079450418160072E-2</v>
      </c>
      <c r="J29" s="159">
        <f t="shared" si="12"/>
        <v>-443</v>
      </c>
      <c r="K29" s="161">
        <f t="shared" si="11"/>
        <v>3.8485429390872752E-2</v>
      </c>
    </row>
    <row r="30" spans="1:23" x14ac:dyDescent="0.25">
      <c r="B30" s="159" t="s">
        <v>116</v>
      </c>
      <c r="C30" s="160">
        <v>3906</v>
      </c>
      <c r="D30" s="160">
        <v>1294</v>
      </c>
      <c r="E30" s="160">
        <v>3083</v>
      </c>
      <c r="F30" s="160">
        <v>3681</v>
      </c>
      <c r="G30" s="160">
        <v>3412</v>
      </c>
      <c r="H30" s="160">
        <v>3360</v>
      </c>
      <c r="I30" s="175">
        <f t="shared" si="13"/>
        <v>-1.5240328253223967E-2</v>
      </c>
      <c r="J30" s="159">
        <f t="shared" si="12"/>
        <v>-52</v>
      </c>
      <c r="K30" s="161">
        <f t="shared" si="11"/>
        <v>9.9861798403994475E-3</v>
      </c>
    </row>
    <row r="31" spans="1:23" x14ac:dyDescent="0.25">
      <c r="B31" s="159" t="s">
        <v>123</v>
      </c>
      <c r="C31" s="160">
        <v>3634</v>
      </c>
      <c r="D31" s="160">
        <v>91</v>
      </c>
      <c r="E31" s="160">
        <v>5043</v>
      </c>
      <c r="F31" s="160">
        <v>4299</v>
      </c>
      <c r="G31" s="160">
        <v>4182</v>
      </c>
      <c r="H31" s="160">
        <v>3809</v>
      </c>
      <c r="I31" s="175">
        <f t="shared" si="13"/>
        <v>-8.9191774270683921E-2</v>
      </c>
      <c r="J31" s="159">
        <f t="shared" si="12"/>
        <v>-373</v>
      </c>
      <c r="K31" s="161">
        <f t="shared" si="11"/>
        <v>1.1320642563119493E-2</v>
      </c>
    </row>
    <row r="32" spans="1:23" x14ac:dyDescent="0.25">
      <c r="B32" s="159" t="s">
        <v>119</v>
      </c>
      <c r="C32" s="160">
        <v>5928</v>
      </c>
      <c r="D32" s="160">
        <v>453</v>
      </c>
      <c r="E32" s="160">
        <v>6497</v>
      </c>
      <c r="F32" s="160">
        <v>5813</v>
      </c>
      <c r="G32" s="160">
        <v>5880</v>
      </c>
      <c r="H32" s="160">
        <v>5802</v>
      </c>
      <c r="I32" s="175">
        <f t="shared" si="13"/>
        <v>-1.3265306122449028E-2</v>
      </c>
      <c r="J32" s="159">
        <f t="shared" si="12"/>
        <v>-78</v>
      </c>
      <c r="K32" s="161">
        <f t="shared" si="11"/>
        <v>1.7243992688689761E-2</v>
      </c>
    </row>
    <row r="33" spans="2:11" x14ac:dyDescent="0.25">
      <c r="B33" s="159" t="s">
        <v>128</v>
      </c>
      <c r="C33" s="160">
        <v>3499</v>
      </c>
      <c r="D33" s="160">
        <v>10</v>
      </c>
      <c r="E33" s="160">
        <v>2307</v>
      </c>
      <c r="F33" s="160">
        <v>3510</v>
      </c>
      <c r="G33" s="160">
        <v>2957</v>
      </c>
      <c r="H33" s="160">
        <v>2108</v>
      </c>
      <c r="I33" s="175">
        <f t="shared" si="13"/>
        <v>-0.28711531958065606</v>
      </c>
      <c r="J33" s="159">
        <f t="shared" si="12"/>
        <v>-849</v>
      </c>
      <c r="K33" s="161">
        <f t="shared" si="11"/>
        <v>6.2651390189172726E-3</v>
      </c>
    </row>
    <row r="34" spans="2:11" x14ac:dyDescent="0.25">
      <c r="B34" s="159" t="s">
        <v>131</v>
      </c>
      <c r="C34" s="160">
        <v>4692</v>
      </c>
      <c r="D34" s="160">
        <v>41</v>
      </c>
      <c r="E34" s="160">
        <v>1601</v>
      </c>
      <c r="F34" s="160">
        <v>4098</v>
      </c>
      <c r="G34" s="160">
        <v>3484</v>
      </c>
      <c r="H34" s="160">
        <v>2809</v>
      </c>
      <c r="I34" s="175">
        <f t="shared" si="13"/>
        <v>-0.19374282433983925</v>
      </c>
      <c r="J34" s="159">
        <f t="shared" si="12"/>
        <v>-675</v>
      </c>
      <c r="K34" s="161">
        <f t="shared" si="11"/>
        <v>8.3485652296672753E-3</v>
      </c>
    </row>
    <row r="35" spans="2:11" x14ac:dyDescent="0.25">
      <c r="B35" s="164" t="s">
        <v>145</v>
      </c>
      <c r="C35" s="165">
        <f t="shared" ref="C35:H35" si="14">C27-SUM(C28:C34)</f>
        <v>24681</v>
      </c>
      <c r="D35" s="165">
        <f t="shared" si="14"/>
        <v>3466</v>
      </c>
      <c r="E35" s="165">
        <f t="shared" si="14"/>
        <v>20542</v>
      </c>
      <c r="F35" s="165">
        <f t="shared" si="14"/>
        <v>27349</v>
      </c>
      <c r="G35" s="165">
        <f t="shared" si="14"/>
        <v>30494</v>
      </c>
      <c r="H35" s="165">
        <f t="shared" si="14"/>
        <v>30601</v>
      </c>
      <c r="I35" s="176">
        <f t="shared" si="13"/>
        <v>3.508886994162852E-3</v>
      </c>
      <c r="J35" s="164">
        <f>H35-G35</f>
        <v>107</v>
      </c>
      <c r="K35" s="166">
        <f t="shared" si="11"/>
        <v>9.0948538480971272E-2</v>
      </c>
    </row>
    <row r="36" spans="2:11" x14ac:dyDescent="0.25">
      <c r="B36" s="151" t="s">
        <v>45</v>
      </c>
      <c r="C36" s="149"/>
      <c r="D36" s="149"/>
      <c r="E36" s="149"/>
      <c r="F36" s="149"/>
      <c r="G36" s="149"/>
      <c r="H36" s="149"/>
      <c r="I36" s="150"/>
      <c r="J36" s="150"/>
      <c r="K36" s="149"/>
    </row>
    <row r="37" spans="2:11" x14ac:dyDescent="0.25">
      <c r="B37" s="152" t="s">
        <v>68</v>
      </c>
      <c r="C37" s="172">
        <f t="shared" ref="C37:H37" si="15">C38+C41</f>
        <v>60504</v>
      </c>
      <c r="D37" s="172">
        <f t="shared" si="15"/>
        <v>2072</v>
      </c>
      <c r="E37" s="172">
        <f t="shared" si="15"/>
        <v>40098</v>
      </c>
      <c r="F37" s="172">
        <f t="shared" si="15"/>
        <v>63291</v>
      </c>
      <c r="G37" s="172">
        <f t="shared" si="15"/>
        <v>62071</v>
      </c>
      <c r="H37" s="172">
        <f t="shared" si="15"/>
        <v>69478</v>
      </c>
      <c r="I37" s="173">
        <f>IFERROR(H37/G37-1,"-")</f>
        <v>0.11933108859209618</v>
      </c>
      <c r="J37" s="172">
        <f>H37-G37</f>
        <v>7407</v>
      </c>
      <c r="K37" s="173">
        <f t="shared" ref="K37:K49" si="16">H37/H$9</f>
        <v>0.20649398897359308</v>
      </c>
    </row>
    <row r="38" spans="2:11" x14ac:dyDescent="0.25">
      <c r="B38" s="155" t="s">
        <v>97</v>
      </c>
      <c r="C38" s="156">
        <v>3948</v>
      </c>
      <c r="D38" s="156">
        <v>280</v>
      </c>
      <c r="E38" s="156">
        <v>2933</v>
      </c>
      <c r="F38" s="156">
        <v>4280</v>
      </c>
      <c r="G38" s="156">
        <v>3133</v>
      </c>
      <c r="H38" s="156">
        <v>4162</v>
      </c>
      <c r="I38" s="174">
        <f>IFERROR(H38/G38-1,"-")</f>
        <v>0.32843919565911261</v>
      </c>
      <c r="J38" s="155">
        <f t="shared" ref="J38:J48" si="17">H38-G38</f>
        <v>1029</v>
      </c>
      <c r="K38" s="157">
        <f t="shared" si="16"/>
        <v>1.2369785861828124E-2</v>
      </c>
    </row>
    <row r="39" spans="2:11" x14ac:dyDescent="0.25">
      <c r="B39" s="159" t="s">
        <v>103</v>
      </c>
      <c r="C39" s="160">
        <v>813</v>
      </c>
      <c r="D39" s="160">
        <v>120</v>
      </c>
      <c r="E39" s="160">
        <v>834</v>
      </c>
      <c r="F39" s="160">
        <v>707</v>
      </c>
      <c r="G39" s="160">
        <v>606</v>
      </c>
      <c r="H39" s="160">
        <v>1199</v>
      </c>
      <c r="I39" s="175">
        <f>IFERROR(H39/G39-1,"-")</f>
        <v>0.97854785478547845</v>
      </c>
      <c r="J39" s="159">
        <f t="shared" si="17"/>
        <v>593</v>
      </c>
      <c r="K39" s="161">
        <f t="shared" si="16"/>
        <v>3.5635207228092076E-3</v>
      </c>
    </row>
    <row r="40" spans="2:11" x14ac:dyDescent="0.25">
      <c r="B40" s="159" t="s">
        <v>100</v>
      </c>
      <c r="C40" s="160">
        <v>3135</v>
      </c>
      <c r="D40" s="160">
        <v>160</v>
      </c>
      <c r="E40" s="160">
        <v>2099</v>
      </c>
      <c r="F40" s="160">
        <v>3573</v>
      </c>
      <c r="G40" s="160">
        <v>2527</v>
      </c>
      <c r="H40" s="160">
        <v>2963</v>
      </c>
      <c r="I40" s="175">
        <f>IFERROR(H40/G40-1,"-")</f>
        <v>0.17253660466956866</v>
      </c>
      <c r="J40" s="159">
        <f t="shared" si="17"/>
        <v>436</v>
      </c>
      <c r="K40" s="161">
        <f t="shared" si="16"/>
        <v>8.8062651390189168E-3</v>
      </c>
    </row>
    <row r="41" spans="2:11" x14ac:dyDescent="0.25">
      <c r="B41" s="155" t="s">
        <v>107</v>
      </c>
      <c r="C41" s="156">
        <v>56556</v>
      </c>
      <c r="D41" s="156">
        <v>1792</v>
      </c>
      <c r="E41" s="156">
        <v>37165</v>
      </c>
      <c r="F41" s="156">
        <v>59011</v>
      </c>
      <c r="G41" s="156">
        <v>58938</v>
      </c>
      <c r="H41" s="156">
        <v>65316</v>
      </c>
      <c r="I41" s="174">
        <f>IFERROR(H41/G41-1,"-")</f>
        <v>0.10821541280667812</v>
      </c>
      <c r="J41" s="155">
        <f t="shared" si="17"/>
        <v>6378</v>
      </c>
      <c r="K41" s="157">
        <f t="shared" si="16"/>
        <v>0.19412420311176498</v>
      </c>
    </row>
    <row r="42" spans="2:11" x14ac:dyDescent="0.25">
      <c r="B42" s="159" t="s">
        <v>110</v>
      </c>
      <c r="C42" s="160">
        <v>25197</v>
      </c>
      <c r="D42" s="160">
        <v>149</v>
      </c>
      <c r="E42" s="160">
        <v>12781</v>
      </c>
      <c r="F42" s="160">
        <v>22889</v>
      </c>
      <c r="G42" s="160">
        <v>24840</v>
      </c>
      <c r="H42" s="160">
        <v>28459</v>
      </c>
      <c r="I42" s="175">
        <f t="shared" ref="I42:I49" si="18">IFERROR(H42/G42-1,"-")</f>
        <v>0.14569243156199674</v>
      </c>
      <c r="J42" s="159">
        <f t="shared" si="17"/>
        <v>3619</v>
      </c>
      <c r="K42" s="161">
        <f t="shared" si="16"/>
        <v>8.4582348832716633E-2</v>
      </c>
    </row>
    <row r="43" spans="2:11" x14ac:dyDescent="0.25">
      <c r="B43" s="159" t="s">
        <v>113</v>
      </c>
      <c r="C43" s="160">
        <v>3304</v>
      </c>
      <c r="D43" s="160">
        <v>172</v>
      </c>
      <c r="E43" s="160">
        <v>2174</v>
      </c>
      <c r="F43" s="160">
        <v>3121</v>
      </c>
      <c r="G43" s="160">
        <v>2947</v>
      </c>
      <c r="H43" s="160">
        <v>3002</v>
      </c>
      <c r="I43" s="175">
        <f t="shared" si="18"/>
        <v>1.8663047166610047E-2</v>
      </c>
      <c r="J43" s="159">
        <f t="shared" si="17"/>
        <v>55</v>
      </c>
      <c r="K43" s="161">
        <f t="shared" si="16"/>
        <v>8.9221761550235534E-3</v>
      </c>
    </row>
    <row r="44" spans="2:11" x14ac:dyDescent="0.25">
      <c r="B44" s="159" t="s">
        <v>116</v>
      </c>
      <c r="C44" s="160">
        <v>1784</v>
      </c>
      <c r="D44" s="160">
        <v>207</v>
      </c>
      <c r="E44" s="160">
        <v>1138</v>
      </c>
      <c r="F44" s="160">
        <v>1694</v>
      </c>
      <c r="G44" s="160">
        <v>1519</v>
      </c>
      <c r="H44" s="160">
        <v>1807</v>
      </c>
      <c r="I44" s="175">
        <f t="shared" si="18"/>
        <v>0.18959842001316662</v>
      </c>
      <c r="J44" s="159">
        <f t="shared" si="17"/>
        <v>288</v>
      </c>
      <c r="K44" s="161">
        <f t="shared" si="16"/>
        <v>5.3705437415481547E-3</v>
      </c>
    </row>
    <row r="45" spans="2:11" x14ac:dyDescent="0.25">
      <c r="B45" s="159" t="s">
        <v>123</v>
      </c>
      <c r="C45" s="160">
        <v>2460</v>
      </c>
      <c r="D45" s="160">
        <v>55</v>
      </c>
      <c r="E45" s="160">
        <v>1922</v>
      </c>
      <c r="F45" s="160">
        <v>2612</v>
      </c>
      <c r="G45" s="160">
        <v>2536</v>
      </c>
      <c r="H45" s="160">
        <v>2234</v>
      </c>
      <c r="I45" s="175">
        <f t="shared" si="18"/>
        <v>-0.11908517350157732</v>
      </c>
      <c r="J45" s="159">
        <f t="shared" si="17"/>
        <v>-302</v>
      </c>
      <c r="K45" s="161">
        <f t="shared" si="16"/>
        <v>6.6396207629322518E-3</v>
      </c>
    </row>
    <row r="46" spans="2:11" x14ac:dyDescent="0.25">
      <c r="B46" s="159" t="s">
        <v>119</v>
      </c>
      <c r="C46" s="160">
        <v>3752</v>
      </c>
      <c r="D46" s="160">
        <v>75</v>
      </c>
      <c r="E46" s="160">
        <v>2008</v>
      </c>
      <c r="F46" s="160">
        <v>3390</v>
      </c>
      <c r="G46" s="160">
        <v>3414</v>
      </c>
      <c r="H46" s="160">
        <v>2274</v>
      </c>
      <c r="I46" s="175">
        <f t="shared" si="18"/>
        <v>-0.33391915641476277</v>
      </c>
      <c r="J46" s="159">
        <f t="shared" si="17"/>
        <v>-1140</v>
      </c>
      <c r="K46" s="161">
        <f t="shared" si="16"/>
        <v>6.7585038562703401E-3</v>
      </c>
    </row>
    <row r="47" spans="2:11" x14ac:dyDescent="0.25">
      <c r="B47" s="159" t="s">
        <v>128</v>
      </c>
      <c r="C47" s="160">
        <v>1320</v>
      </c>
      <c r="D47" s="160">
        <v>33</v>
      </c>
      <c r="E47" s="160">
        <v>1228</v>
      </c>
      <c r="F47" s="160">
        <v>1692</v>
      </c>
      <c r="G47" s="160">
        <v>1352</v>
      </c>
      <c r="H47" s="160">
        <v>1709</v>
      </c>
      <c r="I47" s="175">
        <f t="shared" si="18"/>
        <v>0.26405325443786976</v>
      </c>
      <c r="J47" s="159">
        <f t="shared" si="17"/>
        <v>357</v>
      </c>
      <c r="K47" s="161">
        <f t="shared" si="16"/>
        <v>5.0792801628698377E-3</v>
      </c>
    </row>
    <row r="48" spans="2:11" x14ac:dyDescent="0.25">
      <c r="B48" s="159" t="s">
        <v>131</v>
      </c>
      <c r="C48" s="160">
        <v>1957</v>
      </c>
      <c r="D48" s="160">
        <v>305</v>
      </c>
      <c r="E48" s="160">
        <v>1451</v>
      </c>
      <c r="F48" s="160">
        <v>1767</v>
      </c>
      <c r="G48" s="160">
        <v>1732</v>
      </c>
      <c r="H48" s="160">
        <v>1458</v>
      </c>
      <c r="I48" s="175">
        <f t="shared" si="18"/>
        <v>-0.15819861431870674</v>
      </c>
      <c r="J48" s="159">
        <f t="shared" si="17"/>
        <v>-274</v>
      </c>
      <c r="K48" s="161">
        <f t="shared" si="16"/>
        <v>4.3332887521733317E-3</v>
      </c>
    </row>
    <row r="49" spans="2:11" x14ac:dyDescent="0.25">
      <c r="B49" s="164" t="s">
        <v>145</v>
      </c>
      <c r="C49" s="165">
        <f t="shared" ref="C49:H49" si="19">C41-SUM(C42:C48)</f>
        <v>16782</v>
      </c>
      <c r="D49" s="165">
        <f t="shared" si="19"/>
        <v>796</v>
      </c>
      <c r="E49" s="165">
        <f t="shared" si="19"/>
        <v>14463</v>
      </c>
      <c r="F49" s="165">
        <f t="shared" si="19"/>
        <v>21846</v>
      </c>
      <c r="G49" s="165">
        <f t="shared" si="19"/>
        <v>20598</v>
      </c>
      <c r="H49" s="165">
        <f t="shared" si="19"/>
        <v>24373</v>
      </c>
      <c r="I49" s="176">
        <f t="shared" si="18"/>
        <v>0.1832702204097485</v>
      </c>
      <c r="J49" s="164">
        <f>H49-G49</f>
        <v>3775</v>
      </c>
      <c r="K49" s="166">
        <f t="shared" si="16"/>
        <v>7.2438440848230867E-2</v>
      </c>
    </row>
    <row r="50" spans="2:11" x14ac:dyDescent="0.25">
      <c r="B50" s="151" t="s">
        <v>46</v>
      </c>
      <c r="C50" s="149"/>
      <c r="D50" s="149"/>
      <c r="E50" s="149"/>
      <c r="F50" s="149"/>
      <c r="G50" s="149"/>
      <c r="H50" s="149"/>
      <c r="I50" s="150"/>
      <c r="J50" s="150"/>
      <c r="K50" s="149"/>
    </row>
    <row r="51" spans="2:11" x14ac:dyDescent="0.25">
      <c r="B51" s="152" t="s">
        <v>68</v>
      </c>
      <c r="C51" s="172">
        <f t="shared" ref="C51:H51" si="20">C52+C55</f>
        <v>3026</v>
      </c>
      <c r="D51" s="172">
        <f t="shared" si="20"/>
        <v>596</v>
      </c>
      <c r="E51" s="172">
        <f t="shared" si="20"/>
        <v>2563</v>
      </c>
      <c r="F51" s="172">
        <f t="shared" si="20"/>
        <v>6858</v>
      </c>
      <c r="G51" s="172">
        <f t="shared" si="20"/>
        <v>4426</v>
      </c>
      <c r="H51" s="172">
        <f t="shared" si="20"/>
        <v>4533</v>
      </c>
      <c r="I51" s="173">
        <f>IFERROR(H51/G51-1,"-")</f>
        <v>2.4175327609579744E-2</v>
      </c>
      <c r="J51" s="172">
        <f>H51-G51</f>
        <v>107</v>
      </c>
      <c r="K51" s="173">
        <f t="shared" ref="K51:K63" si="21">H51/H$9</f>
        <v>1.3472426552538897E-2</v>
      </c>
    </row>
    <row r="52" spans="2:11" x14ac:dyDescent="0.25">
      <c r="B52" s="155" t="s">
        <v>97</v>
      </c>
      <c r="C52" s="156">
        <v>273</v>
      </c>
      <c r="D52" s="156">
        <v>107</v>
      </c>
      <c r="E52" s="156">
        <v>161</v>
      </c>
      <c r="F52" s="156">
        <v>3474</v>
      </c>
      <c r="G52" s="156">
        <v>596</v>
      </c>
      <c r="H52" s="156">
        <v>894</v>
      </c>
      <c r="I52" s="174">
        <f>IFERROR(H52/G52-1,"-")</f>
        <v>0.5</v>
      </c>
      <c r="J52" s="155">
        <f t="shared" ref="J52:J62" si="22">H52-G52</f>
        <v>298</v>
      </c>
      <c r="K52" s="157">
        <f t="shared" si="21"/>
        <v>2.6570371361062813E-3</v>
      </c>
    </row>
    <row r="53" spans="2:11" x14ac:dyDescent="0.25">
      <c r="B53" s="159" t="s">
        <v>103</v>
      </c>
      <c r="C53" s="160">
        <v>125</v>
      </c>
      <c r="D53" s="160">
        <v>45</v>
      </c>
      <c r="E53" s="160">
        <v>36</v>
      </c>
      <c r="F53" s="160">
        <v>2737</v>
      </c>
      <c r="G53" s="160">
        <v>279</v>
      </c>
      <c r="H53" s="160">
        <v>394</v>
      </c>
      <c r="I53" s="175">
        <f>IFERROR(H53/G53-1,"-")</f>
        <v>0.41218637992831542</v>
      </c>
      <c r="J53" s="159">
        <f t="shared" si="22"/>
        <v>115</v>
      </c>
      <c r="K53" s="161">
        <f t="shared" si="21"/>
        <v>1.1709984693801733E-3</v>
      </c>
    </row>
    <row r="54" spans="2:11" x14ac:dyDescent="0.25">
      <c r="B54" s="159" t="s">
        <v>100</v>
      </c>
      <c r="C54" s="160">
        <v>148</v>
      </c>
      <c r="D54" s="160">
        <v>62</v>
      </c>
      <c r="E54" s="160">
        <v>125</v>
      </c>
      <c r="F54" s="160">
        <v>737</v>
      </c>
      <c r="G54" s="160">
        <v>317</v>
      </c>
      <c r="H54" s="160">
        <v>500</v>
      </c>
      <c r="I54" s="175">
        <f>IFERROR(H54/G54-1,"-")</f>
        <v>0.57728706624605675</v>
      </c>
      <c r="J54" s="159">
        <f t="shared" si="22"/>
        <v>183</v>
      </c>
      <c r="K54" s="161">
        <f t="shared" si="21"/>
        <v>1.4860386667261082E-3</v>
      </c>
    </row>
    <row r="55" spans="2:11" x14ac:dyDescent="0.25">
      <c r="B55" s="155" t="s">
        <v>107</v>
      </c>
      <c r="C55" s="156">
        <v>2753</v>
      </c>
      <c r="D55" s="156">
        <v>489</v>
      </c>
      <c r="E55" s="156">
        <v>2402</v>
      </c>
      <c r="F55" s="156">
        <v>3384</v>
      </c>
      <c r="G55" s="156">
        <v>3830</v>
      </c>
      <c r="H55" s="156">
        <v>3639</v>
      </c>
      <c r="I55" s="174">
        <f>IFERROR(H55/G55-1,"-")</f>
        <v>-4.9869451697127976E-2</v>
      </c>
      <c r="J55" s="155">
        <f t="shared" si="22"/>
        <v>-191</v>
      </c>
      <c r="K55" s="157">
        <f t="shared" si="21"/>
        <v>1.0815389416432616E-2</v>
      </c>
    </row>
    <row r="56" spans="2:11" x14ac:dyDescent="0.25">
      <c r="B56" s="159" t="s">
        <v>110</v>
      </c>
      <c r="C56" s="160">
        <v>668</v>
      </c>
      <c r="D56" s="160">
        <v>19</v>
      </c>
      <c r="E56" s="160">
        <v>648</v>
      </c>
      <c r="F56" s="160">
        <v>937</v>
      </c>
      <c r="G56" s="160">
        <v>903</v>
      </c>
      <c r="H56" s="160">
        <v>1236</v>
      </c>
      <c r="I56" s="175">
        <f t="shared" ref="I56:I63" si="23">IFERROR(H56/G56-1,"-")</f>
        <v>0.36877076411960141</v>
      </c>
      <c r="J56" s="159">
        <f t="shared" si="22"/>
        <v>333</v>
      </c>
      <c r="K56" s="161">
        <f t="shared" si="21"/>
        <v>3.6734875841469396E-3</v>
      </c>
    </row>
    <row r="57" spans="2:11" x14ac:dyDescent="0.25">
      <c r="B57" s="159" t="s">
        <v>113</v>
      </c>
      <c r="C57" s="160">
        <v>842</v>
      </c>
      <c r="D57" s="160">
        <v>168</v>
      </c>
      <c r="E57" s="160">
        <v>758</v>
      </c>
      <c r="F57" s="160">
        <v>563</v>
      </c>
      <c r="G57" s="160">
        <v>1048</v>
      </c>
      <c r="H57" s="160">
        <v>831</v>
      </c>
      <c r="I57" s="175">
        <f t="shared" si="23"/>
        <v>-0.20706106870229013</v>
      </c>
      <c r="J57" s="159">
        <f t="shared" si="22"/>
        <v>-217</v>
      </c>
      <c r="K57" s="161">
        <f t="shared" si="21"/>
        <v>2.4697962640987917E-3</v>
      </c>
    </row>
    <row r="58" spans="2:11" x14ac:dyDescent="0.25">
      <c r="B58" s="159" t="s">
        <v>116</v>
      </c>
      <c r="C58" s="160">
        <v>164</v>
      </c>
      <c r="D58" s="160">
        <v>42</v>
      </c>
      <c r="E58" s="160">
        <v>117</v>
      </c>
      <c r="F58" s="160">
        <v>335</v>
      </c>
      <c r="G58" s="160">
        <v>271</v>
      </c>
      <c r="H58" s="160">
        <v>191</v>
      </c>
      <c r="I58" s="175">
        <f t="shared" si="23"/>
        <v>-0.29520295202952029</v>
      </c>
      <c r="J58" s="159">
        <f t="shared" si="22"/>
        <v>-80</v>
      </c>
      <c r="K58" s="161">
        <f t="shared" si="21"/>
        <v>5.676667706893733E-4</v>
      </c>
    </row>
    <row r="59" spans="2:11" x14ac:dyDescent="0.25">
      <c r="B59" s="159" t="s">
        <v>123</v>
      </c>
      <c r="C59" s="160">
        <v>73</v>
      </c>
      <c r="D59" s="160">
        <v>14</v>
      </c>
      <c r="E59" s="160">
        <v>98</v>
      </c>
      <c r="F59" s="160">
        <v>78</v>
      </c>
      <c r="G59" s="160">
        <v>130</v>
      </c>
      <c r="H59" s="160">
        <v>132</v>
      </c>
      <c r="I59" s="175">
        <f t="shared" si="23"/>
        <v>1.538461538461533E-2</v>
      </c>
      <c r="J59" s="159">
        <f t="shared" si="22"/>
        <v>2</v>
      </c>
      <c r="K59" s="161">
        <f t="shared" si="21"/>
        <v>3.9231420801569256E-4</v>
      </c>
    </row>
    <row r="60" spans="2:11" x14ac:dyDescent="0.25">
      <c r="B60" s="159" t="s">
        <v>119</v>
      </c>
      <c r="C60" s="160">
        <v>50</v>
      </c>
      <c r="D60" s="160">
        <v>18</v>
      </c>
      <c r="E60" s="160">
        <v>89</v>
      </c>
      <c r="F60" s="160">
        <v>72</v>
      </c>
      <c r="G60" s="160">
        <v>165</v>
      </c>
      <c r="H60" s="160">
        <v>106</v>
      </c>
      <c r="I60" s="175">
        <f t="shared" si="23"/>
        <v>-0.35757575757575755</v>
      </c>
      <c r="J60" s="159">
        <f t="shared" si="22"/>
        <v>-59</v>
      </c>
      <c r="K60" s="161">
        <f t="shared" si="21"/>
        <v>3.1504019734593494E-4</v>
      </c>
    </row>
    <row r="61" spans="2:11" x14ac:dyDescent="0.25">
      <c r="B61" s="159" t="s">
        <v>128</v>
      </c>
      <c r="C61" s="160">
        <v>42</v>
      </c>
      <c r="D61" s="160">
        <v>3</v>
      </c>
      <c r="E61" s="160">
        <v>13</v>
      </c>
      <c r="F61" s="160">
        <v>52</v>
      </c>
      <c r="G61" s="160">
        <v>31</v>
      </c>
      <c r="H61" s="160">
        <v>38</v>
      </c>
      <c r="I61" s="175">
        <f t="shared" si="23"/>
        <v>0.22580645161290325</v>
      </c>
      <c r="J61" s="159">
        <f t="shared" si="22"/>
        <v>7</v>
      </c>
      <c r="K61" s="161">
        <f t="shared" si="21"/>
        <v>1.1293893867118422E-4</v>
      </c>
    </row>
    <row r="62" spans="2:11" x14ac:dyDescent="0.25">
      <c r="B62" s="159" t="s">
        <v>131</v>
      </c>
      <c r="C62" s="160">
        <v>45</v>
      </c>
      <c r="D62" s="160">
        <v>2</v>
      </c>
      <c r="E62" s="160">
        <v>29</v>
      </c>
      <c r="F62" s="160">
        <v>48</v>
      </c>
      <c r="G62" s="160">
        <v>13</v>
      </c>
      <c r="H62" s="160">
        <v>50</v>
      </c>
      <c r="I62" s="175">
        <f t="shared" si="23"/>
        <v>2.8461538461538463</v>
      </c>
      <c r="J62" s="159">
        <f t="shared" si="22"/>
        <v>37</v>
      </c>
      <c r="K62" s="161">
        <f t="shared" si="21"/>
        <v>1.4860386667261082E-4</v>
      </c>
    </row>
    <row r="63" spans="2:11" x14ac:dyDescent="0.25">
      <c r="B63" s="164" t="s">
        <v>145</v>
      </c>
      <c r="C63" s="165">
        <f t="shared" ref="C63:H63" si="24">C55-SUM(C56:C62)</f>
        <v>869</v>
      </c>
      <c r="D63" s="165">
        <f t="shared" si="24"/>
        <v>223</v>
      </c>
      <c r="E63" s="165">
        <f t="shared" si="24"/>
        <v>650</v>
      </c>
      <c r="F63" s="165">
        <f t="shared" si="24"/>
        <v>1299</v>
      </c>
      <c r="G63" s="165">
        <f t="shared" si="24"/>
        <v>1269</v>
      </c>
      <c r="H63" s="165">
        <f t="shared" si="24"/>
        <v>1055</v>
      </c>
      <c r="I63" s="176">
        <f t="shared" si="23"/>
        <v>-0.16863672182821121</v>
      </c>
      <c r="J63" s="164">
        <f>H63-G63</f>
        <v>-214</v>
      </c>
      <c r="K63" s="166">
        <f t="shared" si="21"/>
        <v>3.1355415867920884E-3</v>
      </c>
    </row>
    <row r="64" spans="2:11" x14ac:dyDescent="0.25">
      <c r="B64" s="151" t="s">
        <v>47</v>
      </c>
      <c r="C64" s="149"/>
      <c r="D64" s="149"/>
      <c r="E64" s="149"/>
      <c r="F64" s="149"/>
      <c r="G64" s="149"/>
      <c r="H64" s="149"/>
      <c r="I64" s="150"/>
      <c r="J64" s="150"/>
      <c r="K64" s="149"/>
    </row>
    <row r="65" spans="2:11" x14ac:dyDescent="0.25">
      <c r="B65" s="152" t="s">
        <v>68</v>
      </c>
      <c r="C65" s="172">
        <f t="shared" ref="C65:H65" si="25">C66+C69</f>
        <v>9499</v>
      </c>
      <c r="D65" s="172">
        <f t="shared" si="25"/>
        <v>1150</v>
      </c>
      <c r="E65" s="172">
        <f t="shared" si="25"/>
        <v>7546</v>
      </c>
      <c r="F65" s="172">
        <f t="shared" si="25"/>
        <v>17462</v>
      </c>
      <c r="G65" s="172">
        <f t="shared" si="25"/>
        <v>12086</v>
      </c>
      <c r="H65" s="172">
        <f t="shared" si="25"/>
        <v>11355</v>
      </c>
      <c r="I65" s="173">
        <f>IFERROR(H65/G65-1,"-")</f>
        <v>-6.0483203706768185E-2</v>
      </c>
      <c r="J65" s="172">
        <f>H65-G65</f>
        <v>-731</v>
      </c>
      <c r="K65" s="173">
        <f t="shared" ref="K65:K77" si="26">H65/H$9</f>
        <v>3.3747938121349914E-2</v>
      </c>
    </row>
    <row r="66" spans="2:11" x14ac:dyDescent="0.25">
      <c r="B66" s="155" t="s">
        <v>97</v>
      </c>
      <c r="C66" s="156">
        <v>2353</v>
      </c>
      <c r="D66" s="156">
        <v>561</v>
      </c>
      <c r="E66" s="156">
        <v>1796</v>
      </c>
      <c r="F66" s="156">
        <v>2759</v>
      </c>
      <c r="G66" s="156">
        <v>2599</v>
      </c>
      <c r="H66" s="156">
        <v>2003</v>
      </c>
      <c r="I66" s="174">
        <f>IFERROR(H66/G66-1,"-")</f>
        <v>-0.22931896883416703</v>
      </c>
      <c r="J66" s="155">
        <f t="shared" ref="J66:J76" si="27">H66-G66</f>
        <v>-596</v>
      </c>
      <c r="K66" s="157">
        <f t="shared" si="26"/>
        <v>5.9530708989047896E-3</v>
      </c>
    </row>
    <row r="67" spans="2:11" x14ac:dyDescent="0.25">
      <c r="B67" s="159" t="s">
        <v>103</v>
      </c>
      <c r="C67" s="160">
        <v>770</v>
      </c>
      <c r="D67" s="160">
        <v>561</v>
      </c>
      <c r="E67" s="160">
        <v>1000</v>
      </c>
      <c r="F67" s="160">
        <v>2230</v>
      </c>
      <c r="G67" s="160">
        <v>1637</v>
      </c>
      <c r="H67" s="160">
        <v>279</v>
      </c>
      <c r="I67" s="175">
        <f>IFERROR(H67/G67-1,"-")</f>
        <v>-0.82956627978008557</v>
      </c>
      <c r="J67" s="159">
        <f t="shared" si="27"/>
        <v>-1358</v>
      </c>
      <c r="K67" s="161">
        <f t="shared" si="26"/>
        <v>8.2920957603316834E-4</v>
      </c>
    </row>
    <row r="68" spans="2:11" x14ac:dyDescent="0.25">
      <c r="B68" s="159" t="s">
        <v>100</v>
      </c>
      <c r="C68" s="160">
        <v>1583</v>
      </c>
      <c r="D68" s="160">
        <v>0</v>
      </c>
      <c r="E68" s="160">
        <v>796</v>
      </c>
      <c r="F68" s="160">
        <v>529</v>
      </c>
      <c r="G68" s="160">
        <v>962</v>
      </c>
      <c r="H68" s="160">
        <v>1724</v>
      </c>
      <c r="I68" s="175">
        <f>IFERROR(H68/G68-1,"-")</f>
        <v>0.79209979209979209</v>
      </c>
      <c r="J68" s="159">
        <f t="shared" si="27"/>
        <v>762</v>
      </c>
      <c r="K68" s="161">
        <f t="shared" si="26"/>
        <v>5.1238613228716213E-3</v>
      </c>
    </row>
    <row r="69" spans="2:11" x14ac:dyDescent="0.25">
      <c r="B69" s="155" t="s">
        <v>107</v>
      </c>
      <c r="C69" s="156">
        <v>7146</v>
      </c>
      <c r="D69" s="156">
        <v>589</v>
      </c>
      <c r="E69" s="156">
        <v>5750</v>
      </c>
      <c r="F69" s="156">
        <v>14703</v>
      </c>
      <c r="G69" s="156">
        <v>9487</v>
      </c>
      <c r="H69" s="156">
        <v>9352</v>
      </c>
      <c r="I69" s="174">
        <f>IFERROR(H69/G69-1,"-")</f>
        <v>-1.4229998945926026E-2</v>
      </c>
      <c r="J69" s="155">
        <f t="shared" si="27"/>
        <v>-135</v>
      </c>
      <c r="K69" s="157">
        <f t="shared" si="26"/>
        <v>2.7794867222445129E-2</v>
      </c>
    </row>
    <row r="70" spans="2:11" x14ac:dyDescent="0.25">
      <c r="B70" s="159" t="s">
        <v>110</v>
      </c>
      <c r="C70" s="160">
        <v>2262</v>
      </c>
      <c r="D70" s="160">
        <v>0</v>
      </c>
      <c r="E70" s="160">
        <v>516</v>
      </c>
      <c r="F70" s="160">
        <v>4620</v>
      </c>
      <c r="G70" s="160">
        <v>4414</v>
      </c>
      <c r="H70" s="160">
        <v>3321</v>
      </c>
      <c r="I70" s="175">
        <f t="shared" ref="I70:I77" si="28">IFERROR(H70/G70-1,"-")</f>
        <v>-0.24762120525600362</v>
      </c>
      <c r="J70" s="159">
        <f t="shared" si="27"/>
        <v>-1093</v>
      </c>
      <c r="K70" s="161">
        <f t="shared" si="26"/>
        <v>9.8702688243948108E-3</v>
      </c>
    </row>
    <row r="71" spans="2:11" x14ac:dyDescent="0.25">
      <c r="B71" s="159" t="s">
        <v>113</v>
      </c>
      <c r="C71" s="160">
        <v>831</v>
      </c>
      <c r="D71" s="160">
        <v>88</v>
      </c>
      <c r="E71" s="160">
        <v>371</v>
      </c>
      <c r="F71" s="160">
        <v>812</v>
      </c>
      <c r="G71" s="160">
        <v>1035</v>
      </c>
      <c r="H71" s="160">
        <v>1002</v>
      </c>
      <c r="I71" s="175">
        <f t="shared" si="28"/>
        <v>-3.1884057971014457E-2</v>
      </c>
      <c r="J71" s="159">
        <f t="shared" si="27"/>
        <v>-33</v>
      </c>
      <c r="K71" s="161">
        <f t="shared" si="26"/>
        <v>2.978021488119121E-3</v>
      </c>
    </row>
    <row r="72" spans="2:11" x14ac:dyDescent="0.25">
      <c r="B72" s="159" t="s">
        <v>116</v>
      </c>
      <c r="C72" s="160">
        <v>1272</v>
      </c>
      <c r="D72" s="160">
        <v>47</v>
      </c>
      <c r="E72" s="160">
        <v>1189</v>
      </c>
      <c r="F72" s="160">
        <v>2149</v>
      </c>
      <c r="G72" s="160">
        <v>417</v>
      </c>
      <c r="H72" s="160">
        <v>658</v>
      </c>
      <c r="I72" s="175">
        <f t="shared" si="28"/>
        <v>0.57793764988009588</v>
      </c>
      <c r="J72" s="159">
        <f t="shared" si="27"/>
        <v>241</v>
      </c>
      <c r="K72" s="161">
        <f t="shared" si="26"/>
        <v>1.9556268854115585E-3</v>
      </c>
    </row>
    <row r="73" spans="2:11" x14ac:dyDescent="0.25">
      <c r="B73" s="159" t="s">
        <v>123</v>
      </c>
      <c r="C73" s="160">
        <v>49</v>
      </c>
      <c r="D73" s="160">
        <v>0</v>
      </c>
      <c r="E73" s="160">
        <v>262</v>
      </c>
      <c r="F73" s="160">
        <v>353</v>
      </c>
      <c r="G73" s="160">
        <v>399</v>
      </c>
      <c r="H73" s="160">
        <v>256</v>
      </c>
      <c r="I73" s="175">
        <f t="shared" si="28"/>
        <v>-0.35839598997493738</v>
      </c>
      <c r="J73" s="159">
        <f t="shared" si="27"/>
        <v>-143</v>
      </c>
      <c r="K73" s="161">
        <f t="shared" si="26"/>
        <v>7.6085179736376746E-4</v>
      </c>
    </row>
    <row r="74" spans="2:11" x14ac:dyDescent="0.25">
      <c r="B74" s="159" t="s">
        <v>119</v>
      </c>
      <c r="C74" s="160">
        <v>131</v>
      </c>
      <c r="D74" s="160">
        <v>149</v>
      </c>
      <c r="E74" s="160">
        <v>210</v>
      </c>
      <c r="F74" s="160">
        <v>263</v>
      </c>
      <c r="G74" s="160">
        <v>123</v>
      </c>
      <c r="H74" s="160">
        <v>266</v>
      </c>
      <c r="I74" s="175">
        <f t="shared" si="28"/>
        <v>1.1626016260162602</v>
      </c>
      <c r="J74" s="159">
        <f t="shared" si="27"/>
        <v>143</v>
      </c>
      <c r="K74" s="161">
        <f t="shared" si="26"/>
        <v>7.9057257069828954E-4</v>
      </c>
    </row>
    <row r="75" spans="2:11" x14ac:dyDescent="0.25">
      <c r="B75" s="159" t="s">
        <v>128</v>
      </c>
      <c r="C75" s="160">
        <v>272</v>
      </c>
      <c r="D75" s="160">
        <v>0</v>
      </c>
      <c r="E75" s="160">
        <v>352</v>
      </c>
      <c r="F75" s="160">
        <v>1185</v>
      </c>
      <c r="G75" s="160">
        <v>168</v>
      </c>
      <c r="H75" s="160">
        <v>202</v>
      </c>
      <c r="I75" s="175">
        <f t="shared" si="28"/>
        <v>0.20238095238095233</v>
      </c>
      <c r="J75" s="159">
        <f t="shared" si="27"/>
        <v>34</v>
      </c>
      <c r="K75" s="161">
        <f t="shared" si="26"/>
        <v>6.003596213573477E-4</v>
      </c>
    </row>
    <row r="76" spans="2:11" x14ac:dyDescent="0.25">
      <c r="B76" s="159" t="s">
        <v>131</v>
      </c>
      <c r="C76" s="160">
        <v>311</v>
      </c>
      <c r="D76" s="160">
        <v>0</v>
      </c>
      <c r="E76" s="160">
        <v>26</v>
      </c>
      <c r="F76" s="160">
        <v>304</v>
      </c>
      <c r="G76" s="160">
        <v>69</v>
      </c>
      <c r="H76" s="160">
        <v>190</v>
      </c>
      <c r="I76" s="175">
        <f t="shared" si="28"/>
        <v>1.7536231884057969</v>
      </c>
      <c r="J76" s="159">
        <f t="shared" si="27"/>
        <v>121</v>
      </c>
      <c r="K76" s="161">
        <f t="shared" si="26"/>
        <v>5.646946933559211E-4</v>
      </c>
    </row>
    <row r="77" spans="2:11" x14ac:dyDescent="0.25">
      <c r="B77" s="164" t="s">
        <v>145</v>
      </c>
      <c r="C77" s="165">
        <f t="shared" ref="C77:H77" si="29">C69-SUM(C70:C76)</f>
        <v>2018</v>
      </c>
      <c r="D77" s="165">
        <f t="shared" si="29"/>
        <v>305</v>
      </c>
      <c r="E77" s="165">
        <f t="shared" si="29"/>
        <v>2824</v>
      </c>
      <c r="F77" s="165">
        <f t="shared" si="29"/>
        <v>5017</v>
      </c>
      <c r="G77" s="165">
        <f t="shared" si="29"/>
        <v>2862</v>
      </c>
      <c r="H77" s="165">
        <f t="shared" si="29"/>
        <v>3457</v>
      </c>
      <c r="I77" s="176">
        <f t="shared" si="28"/>
        <v>0.20789657582110421</v>
      </c>
      <c r="J77" s="164">
        <f>H77-G77</f>
        <v>595</v>
      </c>
      <c r="K77" s="166">
        <f t="shared" si="26"/>
        <v>1.0274471341744312E-2</v>
      </c>
    </row>
    <row r="78" spans="2:11" x14ac:dyDescent="0.25">
      <c r="B78" s="151" t="s">
        <v>48</v>
      </c>
      <c r="C78" s="149"/>
      <c r="D78" s="149"/>
      <c r="E78" s="149"/>
      <c r="F78" s="149"/>
      <c r="G78" s="149"/>
      <c r="H78" s="149"/>
      <c r="I78" s="150"/>
      <c r="J78" s="150"/>
      <c r="K78" s="149"/>
    </row>
    <row r="79" spans="2:11" x14ac:dyDescent="0.25">
      <c r="B79" s="152" t="s">
        <v>68</v>
      </c>
      <c r="C79" s="172">
        <f t="shared" ref="C79:H79" si="30">C80+C83</f>
        <v>49163</v>
      </c>
      <c r="D79" s="172">
        <f t="shared" si="30"/>
        <v>3370</v>
      </c>
      <c r="E79" s="172">
        <f t="shared" si="30"/>
        <v>28358</v>
      </c>
      <c r="F79" s="172">
        <f t="shared" si="30"/>
        <v>49540</v>
      </c>
      <c r="G79" s="172">
        <f t="shared" si="30"/>
        <v>54397</v>
      </c>
      <c r="H79" s="172">
        <f t="shared" si="30"/>
        <v>54883</v>
      </c>
      <c r="I79" s="173">
        <f>IFERROR(H79/G79-1,"-")</f>
        <v>8.9343162306745327E-3</v>
      </c>
      <c r="J79" s="172">
        <f>H79-G79</f>
        <v>486</v>
      </c>
      <c r="K79" s="173">
        <f t="shared" ref="K79:K91" si="31">H79/H$9</f>
        <v>0.163116520291858</v>
      </c>
    </row>
    <row r="80" spans="2:11" x14ac:dyDescent="0.25">
      <c r="B80" s="155" t="s">
        <v>97</v>
      </c>
      <c r="C80" s="156">
        <v>16841</v>
      </c>
      <c r="D80" s="156">
        <v>1742</v>
      </c>
      <c r="E80" s="156">
        <v>10573</v>
      </c>
      <c r="F80" s="156">
        <v>16592</v>
      </c>
      <c r="G80" s="156">
        <v>15398</v>
      </c>
      <c r="H80" s="156">
        <v>16231</v>
      </c>
      <c r="I80" s="174">
        <f>IFERROR(H80/G80-1,"-")</f>
        <v>5.4097934796726754E-2</v>
      </c>
      <c r="J80" s="155">
        <f t="shared" ref="J80:J90" si="32">H80-G80</f>
        <v>833</v>
      </c>
      <c r="K80" s="157">
        <f t="shared" si="31"/>
        <v>4.8239787199262925E-2</v>
      </c>
    </row>
    <row r="81" spans="2:11" x14ac:dyDescent="0.25">
      <c r="B81" s="159" t="s">
        <v>103</v>
      </c>
      <c r="C81" s="160">
        <v>2432</v>
      </c>
      <c r="D81" s="160">
        <v>914</v>
      </c>
      <c r="E81" s="160">
        <v>2350</v>
      </c>
      <c r="F81" s="160">
        <v>2569</v>
      </c>
      <c r="G81" s="160">
        <v>2752</v>
      </c>
      <c r="H81" s="160">
        <v>3010</v>
      </c>
      <c r="I81" s="175">
        <f>IFERROR(H81/G81-1,"-")</f>
        <v>9.375E-2</v>
      </c>
      <c r="J81" s="159">
        <f t="shared" si="32"/>
        <v>258</v>
      </c>
      <c r="K81" s="161">
        <f t="shared" si="31"/>
        <v>8.945952773691172E-3</v>
      </c>
    </row>
    <row r="82" spans="2:11" x14ac:dyDescent="0.25">
      <c r="B82" s="159" t="s">
        <v>100</v>
      </c>
      <c r="C82" s="160">
        <v>14409</v>
      </c>
      <c r="D82" s="160">
        <v>828</v>
      </c>
      <c r="E82" s="160">
        <v>8223</v>
      </c>
      <c r="F82" s="160">
        <v>14023</v>
      </c>
      <c r="G82" s="160">
        <v>12646</v>
      </c>
      <c r="H82" s="160">
        <v>13221</v>
      </c>
      <c r="I82" s="175">
        <f>IFERROR(H82/G82-1,"-")</f>
        <v>4.546892297959837E-2</v>
      </c>
      <c r="J82" s="159">
        <f t="shared" si="32"/>
        <v>575</v>
      </c>
      <c r="K82" s="161">
        <f t="shared" si="31"/>
        <v>3.9293834425571751E-2</v>
      </c>
    </row>
    <row r="83" spans="2:11" x14ac:dyDescent="0.25">
      <c r="B83" s="155" t="s">
        <v>107</v>
      </c>
      <c r="C83" s="156">
        <v>32322</v>
      </c>
      <c r="D83" s="156">
        <v>1628</v>
      </c>
      <c r="E83" s="156">
        <v>17785</v>
      </c>
      <c r="F83" s="156">
        <v>32948</v>
      </c>
      <c r="G83" s="156">
        <v>38999</v>
      </c>
      <c r="H83" s="156">
        <v>38652</v>
      </c>
      <c r="I83" s="174">
        <f>IFERROR(H83/G83-1,"-")</f>
        <v>-8.8976640426677855E-3</v>
      </c>
      <c r="J83" s="155">
        <f t="shared" si="32"/>
        <v>-347</v>
      </c>
      <c r="K83" s="157">
        <f t="shared" si="31"/>
        <v>0.11487673309259507</v>
      </c>
    </row>
    <row r="84" spans="2:11" x14ac:dyDescent="0.25">
      <c r="B84" s="159" t="s">
        <v>110</v>
      </c>
      <c r="C84" s="160">
        <v>6374</v>
      </c>
      <c r="D84" s="160">
        <v>176</v>
      </c>
      <c r="E84" s="160">
        <v>2440</v>
      </c>
      <c r="F84" s="160">
        <v>6515</v>
      </c>
      <c r="G84" s="160">
        <v>8194</v>
      </c>
      <c r="H84" s="160">
        <v>8023</v>
      </c>
      <c r="I84" s="175">
        <f t="shared" ref="I84:I91" si="33">IFERROR(H84/G84-1,"-")</f>
        <v>-2.086892848425681E-2</v>
      </c>
      <c r="J84" s="159">
        <f t="shared" si="32"/>
        <v>-171</v>
      </c>
      <c r="K84" s="161">
        <f t="shared" si="31"/>
        <v>2.3844976446287133E-2</v>
      </c>
    </row>
    <row r="85" spans="2:11" x14ac:dyDescent="0.25">
      <c r="B85" s="159" t="s">
        <v>113</v>
      </c>
      <c r="C85" s="160">
        <v>12387</v>
      </c>
      <c r="D85" s="160">
        <v>354</v>
      </c>
      <c r="E85" s="160">
        <v>6032</v>
      </c>
      <c r="F85" s="160">
        <v>11151</v>
      </c>
      <c r="G85" s="160">
        <v>12562</v>
      </c>
      <c r="H85" s="160">
        <v>12210</v>
      </c>
      <c r="I85" s="175">
        <f t="shared" si="33"/>
        <v>-2.8021015761821366E-2</v>
      </c>
      <c r="J85" s="159">
        <f t="shared" si="32"/>
        <v>-352</v>
      </c>
      <c r="K85" s="161">
        <f t="shared" si="31"/>
        <v>3.6289064241451563E-2</v>
      </c>
    </row>
    <row r="86" spans="2:11" x14ac:dyDescent="0.25">
      <c r="B86" s="159" t="s">
        <v>116</v>
      </c>
      <c r="C86" s="160">
        <v>1795</v>
      </c>
      <c r="D86" s="160">
        <v>411</v>
      </c>
      <c r="E86" s="160">
        <v>1423</v>
      </c>
      <c r="F86" s="160">
        <v>2810</v>
      </c>
      <c r="G86" s="160">
        <v>3315</v>
      </c>
      <c r="H86" s="160">
        <v>3226</v>
      </c>
      <c r="I86" s="175">
        <f t="shared" si="33"/>
        <v>-2.6847662141779804E-2</v>
      </c>
      <c r="J86" s="159">
        <f t="shared" si="32"/>
        <v>-89</v>
      </c>
      <c r="K86" s="161">
        <f t="shared" si="31"/>
        <v>9.5879214777168497E-3</v>
      </c>
    </row>
    <row r="87" spans="2:11" x14ac:dyDescent="0.25">
      <c r="B87" s="159" t="s">
        <v>123</v>
      </c>
      <c r="C87" s="160">
        <v>435</v>
      </c>
      <c r="D87" s="160">
        <v>16</v>
      </c>
      <c r="E87" s="160">
        <v>597</v>
      </c>
      <c r="F87" s="160">
        <v>578</v>
      </c>
      <c r="G87" s="160">
        <v>852</v>
      </c>
      <c r="H87" s="160">
        <v>1122</v>
      </c>
      <c r="I87" s="175">
        <f t="shared" si="33"/>
        <v>0.31690140845070425</v>
      </c>
      <c r="J87" s="159">
        <f t="shared" si="32"/>
        <v>270</v>
      </c>
      <c r="K87" s="161">
        <f t="shared" si="31"/>
        <v>3.3346707681333868E-3</v>
      </c>
    </row>
    <row r="88" spans="2:11" x14ac:dyDescent="0.25">
      <c r="B88" s="159" t="s">
        <v>119</v>
      </c>
      <c r="C88" s="160">
        <v>379</v>
      </c>
      <c r="D88" s="160">
        <v>63</v>
      </c>
      <c r="E88" s="160">
        <v>482</v>
      </c>
      <c r="F88" s="160">
        <v>521</v>
      </c>
      <c r="G88" s="160">
        <v>490</v>
      </c>
      <c r="H88" s="160">
        <v>710</v>
      </c>
      <c r="I88" s="175">
        <f t="shared" si="33"/>
        <v>0.44897959183673475</v>
      </c>
      <c r="J88" s="159">
        <f t="shared" si="32"/>
        <v>220</v>
      </c>
      <c r="K88" s="161">
        <f t="shared" si="31"/>
        <v>2.1101749067510738E-3</v>
      </c>
    </row>
    <row r="89" spans="2:11" x14ac:dyDescent="0.25">
      <c r="B89" s="159" t="s">
        <v>128</v>
      </c>
      <c r="C89" s="160">
        <v>686</v>
      </c>
      <c r="D89" s="160">
        <v>1</v>
      </c>
      <c r="E89" s="160">
        <v>516</v>
      </c>
      <c r="F89" s="160">
        <v>964</v>
      </c>
      <c r="G89" s="160">
        <v>812</v>
      </c>
      <c r="H89" s="160">
        <v>753</v>
      </c>
      <c r="I89" s="175">
        <f t="shared" si="33"/>
        <v>-7.2660098522167482E-2</v>
      </c>
      <c r="J89" s="159">
        <f t="shared" si="32"/>
        <v>-59</v>
      </c>
      <c r="K89" s="161">
        <f t="shared" si="31"/>
        <v>2.2379742320895188E-3</v>
      </c>
    </row>
    <row r="90" spans="2:11" x14ac:dyDescent="0.25">
      <c r="B90" s="159" t="s">
        <v>131</v>
      </c>
      <c r="C90" s="160">
        <v>1008</v>
      </c>
      <c r="D90" s="160">
        <v>26</v>
      </c>
      <c r="E90" s="160">
        <v>391</v>
      </c>
      <c r="F90" s="160">
        <v>746</v>
      </c>
      <c r="G90" s="160">
        <v>929</v>
      </c>
      <c r="H90" s="160">
        <v>716</v>
      </c>
      <c r="I90" s="175">
        <f t="shared" si="33"/>
        <v>-0.22927879440258347</v>
      </c>
      <c r="J90" s="159">
        <f t="shared" si="32"/>
        <v>-213</v>
      </c>
      <c r="K90" s="161">
        <f t="shared" si="31"/>
        <v>2.1280073707517868E-3</v>
      </c>
    </row>
    <row r="91" spans="2:11" x14ac:dyDescent="0.25">
      <c r="B91" s="164" t="s">
        <v>145</v>
      </c>
      <c r="C91" s="165">
        <f t="shared" ref="C91:H91" si="34">C83-SUM(C84:C90)</f>
        <v>9258</v>
      </c>
      <c r="D91" s="165">
        <f t="shared" si="34"/>
        <v>581</v>
      </c>
      <c r="E91" s="165">
        <f t="shared" si="34"/>
        <v>5904</v>
      </c>
      <c r="F91" s="165">
        <f t="shared" si="34"/>
        <v>9663</v>
      </c>
      <c r="G91" s="165">
        <f t="shared" si="34"/>
        <v>11845</v>
      </c>
      <c r="H91" s="165">
        <f t="shared" si="34"/>
        <v>11892</v>
      </c>
      <c r="I91" s="176">
        <f t="shared" si="33"/>
        <v>3.9679189531447445E-3</v>
      </c>
      <c r="J91" s="164">
        <f>H91-G91</f>
        <v>47</v>
      </c>
      <c r="K91" s="166">
        <f t="shared" si="31"/>
        <v>3.5343943649413755E-2</v>
      </c>
    </row>
    <row r="92" spans="2:11" x14ac:dyDescent="0.25">
      <c r="B92" s="151" t="s">
        <v>49</v>
      </c>
      <c r="C92" s="149"/>
      <c r="D92" s="149"/>
      <c r="E92" s="149"/>
      <c r="F92" s="149"/>
      <c r="G92" s="149"/>
      <c r="H92" s="149"/>
      <c r="I92" s="150"/>
      <c r="J92" s="150"/>
      <c r="K92" s="149"/>
    </row>
    <row r="93" spans="2:11" x14ac:dyDescent="0.25">
      <c r="B93" s="152" t="s">
        <v>68</v>
      </c>
      <c r="C93" s="172">
        <f t="shared" ref="C93:H93" si="35">C94+C97</f>
        <v>5197</v>
      </c>
      <c r="D93" s="172">
        <f t="shared" si="35"/>
        <v>1146</v>
      </c>
      <c r="E93" s="172">
        <f t="shared" si="35"/>
        <v>3527</v>
      </c>
      <c r="F93" s="172">
        <f t="shared" si="35"/>
        <v>5390</v>
      </c>
      <c r="G93" s="172">
        <f t="shared" si="35"/>
        <v>5217</v>
      </c>
      <c r="H93" s="172">
        <f t="shared" si="35"/>
        <v>5311</v>
      </c>
      <c r="I93" s="173">
        <f>IFERROR(H93/G93-1,"-")</f>
        <v>1.8018018018018056E-2</v>
      </c>
      <c r="J93" s="172">
        <f>H93-G93</f>
        <v>94</v>
      </c>
      <c r="K93" s="173">
        <f t="shared" ref="K93:K105" si="36">H93/H$9</f>
        <v>1.578470271796472E-2</v>
      </c>
    </row>
    <row r="94" spans="2:11" x14ac:dyDescent="0.25">
      <c r="B94" s="155" t="s">
        <v>97</v>
      </c>
      <c r="C94" s="156">
        <v>3059</v>
      </c>
      <c r="D94" s="156">
        <v>582</v>
      </c>
      <c r="E94" s="156">
        <v>1773</v>
      </c>
      <c r="F94" s="156">
        <v>3042</v>
      </c>
      <c r="G94" s="156">
        <v>2177</v>
      </c>
      <c r="H94" s="156">
        <v>2652</v>
      </c>
      <c r="I94" s="174">
        <f>IFERROR(H94/G94-1,"-")</f>
        <v>0.21819016995865881</v>
      </c>
      <c r="J94" s="155">
        <f t="shared" ref="J94:J104" si="37">H94-G94</f>
        <v>475</v>
      </c>
      <c r="K94" s="157">
        <f t="shared" si="36"/>
        <v>7.8819490883152779E-3</v>
      </c>
    </row>
    <row r="95" spans="2:11" x14ac:dyDescent="0.25">
      <c r="B95" s="159" t="s">
        <v>103</v>
      </c>
      <c r="C95" s="160">
        <v>1851</v>
      </c>
      <c r="D95" s="160">
        <v>279</v>
      </c>
      <c r="E95" s="160">
        <v>734</v>
      </c>
      <c r="F95" s="160">
        <v>1485</v>
      </c>
      <c r="G95" s="160">
        <v>732</v>
      </c>
      <c r="H95" s="160">
        <v>900</v>
      </c>
      <c r="I95" s="175">
        <f>IFERROR(H95/G95-1,"-")</f>
        <v>0.22950819672131151</v>
      </c>
      <c r="J95" s="159">
        <f t="shared" si="37"/>
        <v>168</v>
      </c>
      <c r="K95" s="161">
        <f t="shared" si="36"/>
        <v>2.6748696001069948E-3</v>
      </c>
    </row>
    <row r="96" spans="2:11" x14ac:dyDescent="0.25">
      <c r="B96" s="159" t="s">
        <v>100</v>
      </c>
      <c r="C96" s="160">
        <v>1208</v>
      </c>
      <c r="D96" s="160">
        <v>303</v>
      </c>
      <c r="E96" s="160">
        <v>1039</v>
      </c>
      <c r="F96" s="160">
        <v>1557</v>
      </c>
      <c r="G96" s="160">
        <v>1445</v>
      </c>
      <c r="H96" s="160">
        <v>1752</v>
      </c>
      <c r="I96" s="175">
        <f>IFERROR(H96/G96-1,"-")</f>
        <v>0.21245674740484422</v>
      </c>
      <c r="J96" s="159">
        <f t="shared" si="37"/>
        <v>307</v>
      </c>
      <c r="K96" s="161">
        <f t="shared" si="36"/>
        <v>5.2070794882082836E-3</v>
      </c>
    </row>
    <row r="97" spans="2:11" x14ac:dyDescent="0.25">
      <c r="B97" s="155" t="s">
        <v>107</v>
      </c>
      <c r="C97" s="156">
        <v>2138</v>
      </c>
      <c r="D97" s="156">
        <v>564</v>
      </c>
      <c r="E97" s="156">
        <v>1754</v>
      </c>
      <c r="F97" s="156">
        <v>2348</v>
      </c>
      <c r="G97" s="156">
        <v>3040</v>
      </c>
      <c r="H97" s="156">
        <v>2659</v>
      </c>
      <c r="I97" s="174">
        <f>IFERROR(H97/G97-1,"-")</f>
        <v>-0.12532894736842104</v>
      </c>
      <c r="J97" s="155">
        <f t="shared" si="37"/>
        <v>-381</v>
      </c>
      <c r="K97" s="157">
        <f t="shared" si="36"/>
        <v>7.9027536296494439E-3</v>
      </c>
    </row>
    <row r="98" spans="2:11" x14ac:dyDescent="0.25">
      <c r="B98" s="159" t="s">
        <v>110</v>
      </c>
      <c r="C98" s="160">
        <v>357</v>
      </c>
      <c r="D98" s="160">
        <v>24</v>
      </c>
      <c r="E98" s="160">
        <v>277</v>
      </c>
      <c r="F98" s="160">
        <v>378</v>
      </c>
      <c r="G98" s="160">
        <v>447</v>
      </c>
      <c r="H98" s="160">
        <v>393</v>
      </c>
      <c r="I98" s="175">
        <f t="shared" ref="I98:I105" si="38">IFERROR(H98/G98-1,"-")</f>
        <v>-0.12080536912751683</v>
      </c>
      <c r="J98" s="159">
        <f t="shared" si="37"/>
        <v>-54</v>
      </c>
      <c r="K98" s="161">
        <f t="shared" si="36"/>
        <v>1.168026392046721E-3</v>
      </c>
    </row>
    <row r="99" spans="2:11" x14ac:dyDescent="0.25">
      <c r="B99" s="159" t="s">
        <v>113</v>
      </c>
      <c r="C99" s="160">
        <v>427</v>
      </c>
      <c r="D99" s="160">
        <v>89</v>
      </c>
      <c r="E99" s="160">
        <v>309</v>
      </c>
      <c r="F99" s="160">
        <v>460</v>
      </c>
      <c r="G99" s="160">
        <v>643</v>
      </c>
      <c r="H99" s="160">
        <v>526</v>
      </c>
      <c r="I99" s="175">
        <f t="shared" si="38"/>
        <v>-0.18195956454121309</v>
      </c>
      <c r="J99" s="159">
        <f t="shared" si="37"/>
        <v>-117</v>
      </c>
      <c r="K99" s="161">
        <f t="shared" si="36"/>
        <v>1.5633126773958658E-3</v>
      </c>
    </row>
    <row r="100" spans="2:11" x14ac:dyDescent="0.25">
      <c r="B100" s="159" t="s">
        <v>116</v>
      </c>
      <c r="C100" s="160">
        <v>405</v>
      </c>
      <c r="D100" s="160">
        <v>213</v>
      </c>
      <c r="E100" s="160">
        <v>325</v>
      </c>
      <c r="F100" s="160">
        <v>488</v>
      </c>
      <c r="G100" s="160">
        <v>385</v>
      </c>
      <c r="H100" s="160">
        <v>398</v>
      </c>
      <c r="I100" s="175">
        <f t="shared" si="38"/>
        <v>3.3766233766233666E-2</v>
      </c>
      <c r="J100" s="159">
        <f t="shared" si="37"/>
        <v>13</v>
      </c>
      <c r="K100" s="161">
        <f t="shared" si="36"/>
        <v>1.1828867787139821E-3</v>
      </c>
    </row>
    <row r="101" spans="2:11" x14ac:dyDescent="0.25">
      <c r="B101" s="159" t="s">
        <v>123</v>
      </c>
      <c r="C101" s="160">
        <v>89</v>
      </c>
      <c r="D101" s="160">
        <v>5</v>
      </c>
      <c r="E101" s="160">
        <v>129</v>
      </c>
      <c r="F101" s="160">
        <v>137</v>
      </c>
      <c r="G101" s="160">
        <v>154</v>
      </c>
      <c r="H101" s="160">
        <v>182</v>
      </c>
      <c r="I101" s="175">
        <f t="shared" si="38"/>
        <v>0.18181818181818188</v>
      </c>
      <c r="J101" s="159">
        <f t="shared" si="37"/>
        <v>28</v>
      </c>
      <c r="K101" s="161">
        <f t="shared" si="36"/>
        <v>5.4091807468830343E-4</v>
      </c>
    </row>
    <row r="102" spans="2:11" x14ac:dyDescent="0.25">
      <c r="B102" s="159" t="s">
        <v>119</v>
      </c>
      <c r="C102" s="160">
        <v>71</v>
      </c>
      <c r="D102" s="160">
        <v>24</v>
      </c>
      <c r="E102" s="160">
        <v>89</v>
      </c>
      <c r="F102" s="160">
        <v>81</v>
      </c>
      <c r="G102" s="160">
        <v>171</v>
      </c>
      <c r="H102" s="160">
        <v>130</v>
      </c>
      <c r="I102" s="175">
        <f t="shared" si="38"/>
        <v>-0.23976608187134507</v>
      </c>
      <c r="J102" s="159">
        <f t="shared" si="37"/>
        <v>-41</v>
      </c>
      <c r="K102" s="161">
        <f t="shared" si="36"/>
        <v>3.8637005334878814E-4</v>
      </c>
    </row>
    <row r="103" spans="2:11" x14ac:dyDescent="0.25">
      <c r="B103" s="159" t="s">
        <v>128</v>
      </c>
      <c r="C103" s="160">
        <v>87</v>
      </c>
      <c r="D103" s="160">
        <v>4</v>
      </c>
      <c r="E103" s="160">
        <v>50</v>
      </c>
      <c r="F103" s="160">
        <v>36</v>
      </c>
      <c r="G103" s="160">
        <v>58</v>
      </c>
      <c r="H103" s="160">
        <v>22</v>
      </c>
      <c r="I103" s="175">
        <f t="shared" si="38"/>
        <v>-0.62068965517241381</v>
      </c>
      <c r="J103" s="159">
        <f t="shared" si="37"/>
        <v>-36</v>
      </c>
      <c r="K103" s="161">
        <f t="shared" si="36"/>
        <v>6.538570133594876E-5</v>
      </c>
    </row>
    <row r="104" spans="2:11" x14ac:dyDescent="0.25">
      <c r="B104" s="159" t="s">
        <v>131</v>
      </c>
      <c r="C104" s="160">
        <v>30</v>
      </c>
      <c r="D104" s="160">
        <v>7</v>
      </c>
      <c r="E104" s="160">
        <v>37</v>
      </c>
      <c r="F104" s="160">
        <v>64</v>
      </c>
      <c r="G104" s="160">
        <v>161</v>
      </c>
      <c r="H104" s="160">
        <v>83</v>
      </c>
      <c r="I104" s="175">
        <f t="shared" si="38"/>
        <v>-0.48447204968944102</v>
      </c>
      <c r="J104" s="159">
        <f t="shared" si="37"/>
        <v>-78</v>
      </c>
      <c r="K104" s="161">
        <f t="shared" si="36"/>
        <v>2.4668241867653395E-4</v>
      </c>
    </row>
    <row r="105" spans="2:11" x14ac:dyDescent="0.25">
      <c r="B105" s="164" t="s">
        <v>145</v>
      </c>
      <c r="C105" s="165">
        <f t="shared" ref="C105:H105" si="39">C97-SUM(C98:C104)</f>
        <v>672</v>
      </c>
      <c r="D105" s="165">
        <f t="shared" si="39"/>
        <v>198</v>
      </c>
      <c r="E105" s="165">
        <f t="shared" si="39"/>
        <v>538</v>
      </c>
      <c r="F105" s="165">
        <f t="shared" si="39"/>
        <v>704</v>
      </c>
      <c r="G105" s="165">
        <f t="shared" si="39"/>
        <v>1021</v>
      </c>
      <c r="H105" s="165">
        <f t="shared" si="39"/>
        <v>925</v>
      </c>
      <c r="I105" s="176">
        <f t="shared" si="38"/>
        <v>-9.4025465230166527E-2</v>
      </c>
      <c r="J105" s="164">
        <f>H105-G105</f>
        <v>-96</v>
      </c>
      <c r="K105" s="166">
        <f t="shared" si="36"/>
        <v>2.7491715334433003E-3</v>
      </c>
    </row>
    <row r="106" spans="2:11" x14ac:dyDescent="0.25">
      <c r="B106" s="151" t="s">
        <v>50</v>
      </c>
      <c r="C106" s="149"/>
      <c r="D106" s="149"/>
      <c r="E106" s="149"/>
      <c r="F106" s="149"/>
      <c r="G106" s="149"/>
      <c r="H106" s="149"/>
      <c r="I106" s="150"/>
      <c r="J106" s="150"/>
      <c r="K106" s="149"/>
    </row>
    <row r="107" spans="2:11" x14ac:dyDescent="0.25">
      <c r="B107" s="152" t="s">
        <v>68</v>
      </c>
      <c r="C107" s="172">
        <f t="shared" ref="C107:H107" si="40">C108+C111</f>
        <v>9284</v>
      </c>
      <c r="D107" s="172">
        <f t="shared" si="40"/>
        <v>2470</v>
      </c>
      <c r="E107" s="172">
        <f t="shared" si="40"/>
        <v>9886</v>
      </c>
      <c r="F107" s="172">
        <f t="shared" si="40"/>
        <v>13452</v>
      </c>
      <c r="G107" s="172">
        <f t="shared" si="40"/>
        <v>15230</v>
      </c>
      <c r="H107" s="172">
        <f t="shared" si="40"/>
        <v>18184</v>
      </c>
      <c r="I107" s="173">
        <f>IFERROR(H107/G107-1,"-")</f>
        <v>0.19395929087327635</v>
      </c>
      <c r="J107" s="172">
        <f>H107-G107</f>
        <v>2954</v>
      </c>
      <c r="K107" s="173">
        <f t="shared" ref="K107:K119" si="41">H107/H$9</f>
        <v>5.4044254231495101E-2</v>
      </c>
    </row>
    <row r="108" spans="2:11" x14ac:dyDescent="0.25">
      <c r="B108" s="155" t="s">
        <v>97</v>
      </c>
      <c r="C108" s="156">
        <v>2541</v>
      </c>
      <c r="D108" s="156">
        <v>923</v>
      </c>
      <c r="E108" s="156">
        <v>1709</v>
      </c>
      <c r="F108" s="156">
        <v>2380</v>
      </c>
      <c r="G108" s="156">
        <v>2125</v>
      </c>
      <c r="H108" s="156">
        <v>2426</v>
      </c>
      <c r="I108" s="174">
        <f>IFERROR(H108/G108-1,"-")</f>
        <v>0.14164705882352946</v>
      </c>
      <c r="J108" s="155">
        <f t="shared" ref="J108:J118" si="42">H108-G108</f>
        <v>301</v>
      </c>
      <c r="K108" s="157">
        <f t="shared" si="41"/>
        <v>7.2102596109550774E-3</v>
      </c>
    </row>
    <row r="109" spans="2:11" x14ac:dyDescent="0.25">
      <c r="B109" s="159" t="s">
        <v>103</v>
      </c>
      <c r="C109" s="160">
        <v>116</v>
      </c>
      <c r="D109" s="160">
        <v>842</v>
      </c>
      <c r="E109" s="160">
        <v>778</v>
      </c>
      <c r="F109" s="160">
        <v>386</v>
      </c>
      <c r="G109" s="160">
        <v>489</v>
      </c>
      <c r="H109" s="160">
        <v>607</v>
      </c>
      <c r="I109" s="175">
        <f>IFERROR(H109/G109-1,"-")</f>
        <v>0.24130879345603273</v>
      </c>
      <c r="J109" s="159">
        <f t="shared" si="42"/>
        <v>118</v>
      </c>
      <c r="K109" s="161">
        <f t="shared" si="41"/>
        <v>1.8040509414054954E-3</v>
      </c>
    </row>
    <row r="110" spans="2:11" x14ac:dyDescent="0.25">
      <c r="B110" s="159" t="s">
        <v>100</v>
      </c>
      <c r="C110" s="160">
        <v>2425</v>
      </c>
      <c r="D110" s="160">
        <v>81</v>
      </c>
      <c r="E110" s="160">
        <v>931</v>
      </c>
      <c r="F110" s="160">
        <v>1994</v>
      </c>
      <c r="G110" s="160">
        <v>1636</v>
      </c>
      <c r="H110" s="160">
        <v>1819</v>
      </c>
      <c r="I110" s="175">
        <f>IFERROR(H110/G110-1,"-")</f>
        <v>0.11185819070904635</v>
      </c>
      <c r="J110" s="159">
        <f t="shared" si="42"/>
        <v>183</v>
      </c>
      <c r="K110" s="161">
        <f t="shared" si="41"/>
        <v>5.4062086695495816E-3</v>
      </c>
    </row>
    <row r="111" spans="2:11" x14ac:dyDescent="0.25">
      <c r="B111" s="155" t="s">
        <v>107</v>
      </c>
      <c r="C111" s="156">
        <v>6743</v>
      </c>
      <c r="D111" s="156">
        <v>1547</v>
      </c>
      <c r="E111" s="156">
        <v>8177</v>
      </c>
      <c r="F111" s="156">
        <v>11072</v>
      </c>
      <c r="G111" s="156">
        <v>13105</v>
      </c>
      <c r="H111" s="156">
        <v>15758</v>
      </c>
      <c r="I111" s="174">
        <f>IFERROR(H111/G111-1,"-")</f>
        <v>0.20244181610072487</v>
      </c>
      <c r="J111" s="155">
        <f t="shared" si="42"/>
        <v>2653</v>
      </c>
      <c r="K111" s="157">
        <f t="shared" si="41"/>
        <v>4.6833994620540026E-2</v>
      </c>
    </row>
    <row r="112" spans="2:11" x14ac:dyDescent="0.25">
      <c r="B112" s="159" t="s">
        <v>110</v>
      </c>
      <c r="C112" s="160">
        <v>3741</v>
      </c>
      <c r="D112" s="160">
        <v>600</v>
      </c>
      <c r="E112" s="160">
        <v>3660</v>
      </c>
      <c r="F112" s="160">
        <v>6307</v>
      </c>
      <c r="G112" s="160">
        <v>7383</v>
      </c>
      <c r="H112" s="160">
        <v>8811</v>
      </c>
      <c r="I112" s="175">
        <f t="shared" ref="I112:I119" si="43">IFERROR(H112/G112-1,"-")</f>
        <v>0.19341731003657059</v>
      </c>
      <c r="J112" s="159">
        <f t="shared" si="42"/>
        <v>1428</v>
      </c>
      <c r="K112" s="161">
        <f t="shared" si="41"/>
        <v>2.6186973385047479E-2</v>
      </c>
    </row>
    <row r="113" spans="2:11" x14ac:dyDescent="0.25">
      <c r="B113" s="159" t="s">
        <v>113</v>
      </c>
      <c r="C113" s="160">
        <v>570</v>
      </c>
      <c r="D113" s="160">
        <v>468</v>
      </c>
      <c r="E113" s="160">
        <v>596</v>
      </c>
      <c r="F113" s="160">
        <v>704</v>
      </c>
      <c r="G113" s="160">
        <v>892</v>
      </c>
      <c r="H113" s="160">
        <v>760</v>
      </c>
      <c r="I113" s="175">
        <f t="shared" si="43"/>
        <v>-0.14798206278026904</v>
      </c>
      <c r="J113" s="159">
        <f t="shared" si="42"/>
        <v>-132</v>
      </c>
      <c r="K113" s="161">
        <f t="shared" si="41"/>
        <v>2.2587787734236844E-3</v>
      </c>
    </row>
    <row r="114" spans="2:11" x14ac:dyDescent="0.25">
      <c r="B114" s="159" t="s">
        <v>116</v>
      </c>
      <c r="C114" s="160">
        <v>330</v>
      </c>
      <c r="D114" s="160">
        <v>270</v>
      </c>
      <c r="E114" s="160">
        <v>516</v>
      </c>
      <c r="F114" s="160">
        <v>718</v>
      </c>
      <c r="G114" s="160">
        <v>726</v>
      </c>
      <c r="H114" s="160">
        <v>1101</v>
      </c>
      <c r="I114" s="175">
        <f t="shared" si="43"/>
        <v>0.51652892561983466</v>
      </c>
      <c r="J114" s="159">
        <f t="shared" si="42"/>
        <v>375</v>
      </c>
      <c r="K114" s="161">
        <f t="shared" si="41"/>
        <v>3.2722571441308902E-3</v>
      </c>
    </row>
    <row r="115" spans="2:11" x14ac:dyDescent="0.25">
      <c r="B115" s="159" t="s">
        <v>123</v>
      </c>
      <c r="C115" s="160">
        <v>220</v>
      </c>
      <c r="D115" s="160">
        <v>0</v>
      </c>
      <c r="E115" s="160">
        <v>603</v>
      </c>
      <c r="F115" s="160">
        <v>494</v>
      </c>
      <c r="G115" s="160">
        <v>656</v>
      </c>
      <c r="H115" s="160">
        <v>636</v>
      </c>
      <c r="I115" s="175">
        <f t="shared" si="43"/>
        <v>-3.0487804878048808E-2</v>
      </c>
      <c r="J115" s="159">
        <f t="shared" si="42"/>
        <v>-20</v>
      </c>
      <c r="K115" s="161">
        <f t="shared" si="41"/>
        <v>1.8902411840756095E-3</v>
      </c>
    </row>
    <row r="116" spans="2:11" x14ac:dyDescent="0.25">
      <c r="B116" s="159" t="s">
        <v>119</v>
      </c>
      <c r="C116" s="160">
        <v>211</v>
      </c>
      <c r="D116" s="160">
        <v>5</v>
      </c>
      <c r="E116" s="160">
        <v>426</v>
      </c>
      <c r="F116" s="160">
        <v>440</v>
      </c>
      <c r="G116" s="160">
        <v>452</v>
      </c>
      <c r="H116" s="160">
        <v>377</v>
      </c>
      <c r="I116" s="175">
        <f t="shared" si="43"/>
        <v>-0.16592920353982299</v>
      </c>
      <c r="J116" s="159">
        <f t="shared" si="42"/>
        <v>-75</v>
      </c>
      <c r="K116" s="161">
        <f t="shared" si="41"/>
        <v>1.1204731547114857E-3</v>
      </c>
    </row>
    <row r="117" spans="2:11" x14ac:dyDescent="0.25">
      <c r="B117" s="159" t="s">
        <v>128</v>
      </c>
      <c r="C117" s="160">
        <v>81</v>
      </c>
      <c r="D117" s="160">
        <v>0</v>
      </c>
      <c r="E117" s="160">
        <v>84</v>
      </c>
      <c r="F117" s="160">
        <v>132</v>
      </c>
      <c r="G117" s="160">
        <v>164</v>
      </c>
      <c r="H117" s="160">
        <v>191</v>
      </c>
      <c r="I117" s="175">
        <f t="shared" si="43"/>
        <v>0.16463414634146334</v>
      </c>
      <c r="J117" s="159">
        <f t="shared" si="42"/>
        <v>27</v>
      </c>
      <c r="K117" s="161">
        <f t="shared" si="41"/>
        <v>5.676667706893733E-4</v>
      </c>
    </row>
    <row r="118" spans="2:11" x14ac:dyDescent="0.25">
      <c r="B118" s="159" t="s">
        <v>131</v>
      </c>
      <c r="C118" s="160">
        <v>199</v>
      </c>
      <c r="D118" s="160">
        <v>0</v>
      </c>
      <c r="E118" s="160">
        <v>217</v>
      </c>
      <c r="F118" s="160">
        <v>159</v>
      </c>
      <c r="G118" s="160">
        <v>258</v>
      </c>
      <c r="H118" s="160">
        <v>182</v>
      </c>
      <c r="I118" s="175">
        <f t="shared" si="43"/>
        <v>-0.29457364341085268</v>
      </c>
      <c r="J118" s="159">
        <f t="shared" si="42"/>
        <v>-76</v>
      </c>
      <c r="K118" s="161">
        <f t="shared" si="41"/>
        <v>5.4091807468830343E-4</v>
      </c>
    </row>
    <row r="119" spans="2:11" x14ac:dyDescent="0.25">
      <c r="B119" s="164" t="s">
        <v>145</v>
      </c>
      <c r="C119" s="165">
        <f t="shared" ref="C119:H119" si="44">C111-SUM(C112:C118)</f>
        <v>1391</v>
      </c>
      <c r="D119" s="165">
        <f t="shared" si="44"/>
        <v>204</v>
      </c>
      <c r="E119" s="165">
        <f t="shared" si="44"/>
        <v>2075</v>
      </c>
      <c r="F119" s="165">
        <f t="shared" si="44"/>
        <v>2118</v>
      </c>
      <c r="G119" s="165">
        <f t="shared" si="44"/>
        <v>2574</v>
      </c>
      <c r="H119" s="165">
        <f t="shared" si="44"/>
        <v>3700</v>
      </c>
      <c r="I119" s="176">
        <f t="shared" si="43"/>
        <v>0.43745143745143755</v>
      </c>
      <c r="J119" s="164">
        <f>H119-G119</f>
        <v>1126</v>
      </c>
      <c r="K119" s="166">
        <f t="shared" si="41"/>
        <v>1.0996686133773201E-2</v>
      </c>
    </row>
    <row r="120" spans="2:11" x14ac:dyDescent="0.25">
      <c r="B120" s="151" t="s">
        <v>51</v>
      </c>
      <c r="C120" s="149"/>
      <c r="D120" s="149"/>
      <c r="E120" s="149"/>
      <c r="F120" s="149"/>
      <c r="G120" s="149"/>
      <c r="H120" s="149"/>
      <c r="I120" s="150"/>
      <c r="J120" s="150"/>
      <c r="K120" s="149"/>
    </row>
    <row r="121" spans="2:11" x14ac:dyDescent="0.25">
      <c r="B121" s="152" t="s">
        <v>68</v>
      </c>
      <c r="C121" s="172">
        <f t="shared" ref="C121:H121" si="45">C122+C125</f>
        <v>20553</v>
      </c>
      <c r="D121" s="172">
        <f t="shared" si="45"/>
        <v>4767</v>
      </c>
      <c r="E121" s="172">
        <f t="shared" si="45"/>
        <v>14146</v>
      </c>
      <c r="F121" s="172">
        <f t="shared" si="45"/>
        <v>23609</v>
      </c>
      <c r="G121" s="172">
        <f t="shared" si="45"/>
        <v>23867</v>
      </c>
      <c r="H121" s="172">
        <f t="shared" si="45"/>
        <v>24602</v>
      </c>
      <c r="I121" s="173">
        <f>IFERROR(H121/G121-1,"-")</f>
        <v>3.0795659278501697E-2</v>
      </c>
      <c r="J121" s="172">
        <f>H121-G121</f>
        <v>735</v>
      </c>
      <c r="K121" s="173">
        <f t="shared" ref="K121:K133" si="46">H121/H$9</f>
        <v>7.3119046557591424E-2</v>
      </c>
    </row>
    <row r="122" spans="2:11" x14ac:dyDescent="0.25">
      <c r="B122" s="155" t="s">
        <v>97</v>
      </c>
      <c r="C122" s="156">
        <v>9789</v>
      </c>
      <c r="D122" s="156">
        <v>2598</v>
      </c>
      <c r="E122" s="156">
        <v>6573</v>
      </c>
      <c r="F122" s="156">
        <v>10452</v>
      </c>
      <c r="G122" s="156">
        <v>11900</v>
      </c>
      <c r="H122" s="156">
        <v>11916</v>
      </c>
      <c r="I122" s="174">
        <f>IFERROR(H122/G122-1,"-")</f>
        <v>1.3445378151260012E-3</v>
      </c>
      <c r="J122" s="155">
        <f t="shared" ref="J122:J132" si="47">H122-G122</f>
        <v>16</v>
      </c>
      <c r="K122" s="157">
        <f t="shared" si="46"/>
        <v>3.5415273505416608E-2</v>
      </c>
    </row>
    <row r="123" spans="2:11" x14ac:dyDescent="0.25">
      <c r="B123" s="159" t="s">
        <v>103</v>
      </c>
      <c r="C123" s="160">
        <v>5042</v>
      </c>
      <c r="D123" s="160">
        <v>1186</v>
      </c>
      <c r="E123" s="160">
        <v>2656</v>
      </c>
      <c r="F123" s="160">
        <v>5002</v>
      </c>
      <c r="G123" s="160">
        <v>5396</v>
      </c>
      <c r="H123" s="160">
        <v>4891</v>
      </c>
      <c r="I123" s="175">
        <f>IFERROR(H123/G123-1,"-")</f>
        <v>-9.3587842846552971E-2</v>
      </c>
      <c r="J123" s="159">
        <f t="shared" si="47"/>
        <v>-505</v>
      </c>
      <c r="K123" s="161">
        <f t="shared" si="46"/>
        <v>1.453643023791479E-2</v>
      </c>
    </row>
    <row r="124" spans="2:11" x14ac:dyDescent="0.25">
      <c r="B124" s="159" t="s">
        <v>100</v>
      </c>
      <c r="C124" s="160">
        <v>4747</v>
      </c>
      <c r="D124" s="160">
        <v>1412</v>
      </c>
      <c r="E124" s="160">
        <v>3917</v>
      </c>
      <c r="F124" s="160">
        <v>5450</v>
      </c>
      <c r="G124" s="160">
        <v>6504</v>
      </c>
      <c r="H124" s="160">
        <v>7025</v>
      </c>
      <c r="I124" s="175">
        <f>IFERROR(H124/G124-1,"-")</f>
        <v>8.0104551045510508E-2</v>
      </c>
      <c r="J124" s="159">
        <f t="shared" si="47"/>
        <v>521</v>
      </c>
      <c r="K124" s="161">
        <f t="shared" si="46"/>
        <v>2.087884326750182E-2</v>
      </c>
    </row>
    <row r="125" spans="2:11" x14ac:dyDescent="0.25">
      <c r="B125" s="155" t="s">
        <v>107</v>
      </c>
      <c r="C125" s="156">
        <v>10764</v>
      </c>
      <c r="D125" s="156">
        <v>2169</v>
      </c>
      <c r="E125" s="156">
        <v>7573</v>
      </c>
      <c r="F125" s="156">
        <v>13157</v>
      </c>
      <c r="G125" s="156">
        <v>11967</v>
      </c>
      <c r="H125" s="156">
        <v>12686</v>
      </c>
      <c r="I125" s="174">
        <f>IFERROR(H125/G125-1,"-")</f>
        <v>6.0081891869307347E-2</v>
      </c>
      <c r="J125" s="155">
        <f t="shared" si="47"/>
        <v>719</v>
      </c>
      <c r="K125" s="157">
        <f t="shared" si="46"/>
        <v>3.7703773052174816E-2</v>
      </c>
    </row>
    <row r="126" spans="2:11" x14ac:dyDescent="0.25">
      <c r="B126" s="159" t="s">
        <v>110</v>
      </c>
      <c r="C126" s="160">
        <v>1289</v>
      </c>
      <c r="D126" s="160">
        <v>52</v>
      </c>
      <c r="E126" s="160">
        <v>805</v>
      </c>
      <c r="F126" s="160">
        <v>1683</v>
      </c>
      <c r="G126" s="160">
        <v>1569</v>
      </c>
      <c r="H126" s="160">
        <v>1627</v>
      </c>
      <c r="I126" s="175">
        <f t="shared" ref="I126:I133" si="48">IFERROR(H126/G126-1,"-")</f>
        <v>3.696622052262577E-2</v>
      </c>
      <c r="J126" s="159">
        <f t="shared" si="47"/>
        <v>58</v>
      </c>
      <c r="K126" s="161">
        <f t="shared" si="46"/>
        <v>4.835569821526756E-3</v>
      </c>
    </row>
    <row r="127" spans="2:11" x14ac:dyDescent="0.25">
      <c r="B127" s="159" t="s">
        <v>113</v>
      </c>
      <c r="C127" s="160">
        <v>1281</v>
      </c>
      <c r="D127" s="160">
        <v>234</v>
      </c>
      <c r="E127" s="160">
        <v>951</v>
      </c>
      <c r="F127" s="160">
        <v>2175</v>
      </c>
      <c r="G127" s="160">
        <v>1964</v>
      </c>
      <c r="H127" s="160">
        <v>2299</v>
      </c>
      <c r="I127" s="175">
        <f t="shared" si="48"/>
        <v>0.17057026476578407</v>
      </c>
      <c r="J127" s="159">
        <f t="shared" si="47"/>
        <v>335</v>
      </c>
      <c r="K127" s="161">
        <f t="shared" si="46"/>
        <v>6.8328057896066456E-3</v>
      </c>
    </row>
    <row r="128" spans="2:11" x14ac:dyDescent="0.25">
      <c r="B128" s="159" t="s">
        <v>116</v>
      </c>
      <c r="C128" s="160">
        <v>701</v>
      </c>
      <c r="D128" s="160">
        <v>254</v>
      </c>
      <c r="E128" s="160">
        <v>659</v>
      </c>
      <c r="F128" s="160">
        <v>1025</v>
      </c>
      <c r="G128" s="160">
        <v>851</v>
      </c>
      <c r="H128" s="160">
        <v>858</v>
      </c>
      <c r="I128" s="175">
        <f t="shared" si="48"/>
        <v>8.2256169212691077E-3</v>
      </c>
      <c r="J128" s="159">
        <f t="shared" si="47"/>
        <v>7</v>
      </c>
      <c r="K128" s="161">
        <f t="shared" si="46"/>
        <v>2.5500423521020018E-3</v>
      </c>
    </row>
    <row r="129" spans="2:11" x14ac:dyDescent="0.25">
      <c r="B129" s="159" t="s">
        <v>123</v>
      </c>
      <c r="C129" s="160">
        <v>231</v>
      </c>
      <c r="D129" s="160">
        <v>38</v>
      </c>
      <c r="E129" s="160">
        <v>270</v>
      </c>
      <c r="F129" s="160">
        <v>297</v>
      </c>
      <c r="G129" s="160">
        <v>273</v>
      </c>
      <c r="H129" s="160">
        <v>376</v>
      </c>
      <c r="I129" s="175">
        <f t="shared" si="48"/>
        <v>0.37728937728937728</v>
      </c>
      <c r="J129" s="159">
        <f t="shared" si="47"/>
        <v>103</v>
      </c>
      <c r="K129" s="161">
        <f t="shared" si="46"/>
        <v>1.1175010773780334E-3</v>
      </c>
    </row>
    <row r="130" spans="2:11" x14ac:dyDescent="0.25">
      <c r="B130" s="159" t="s">
        <v>119</v>
      </c>
      <c r="C130" s="160">
        <v>222</v>
      </c>
      <c r="D130" s="160">
        <v>43</v>
      </c>
      <c r="E130" s="160">
        <v>170</v>
      </c>
      <c r="F130" s="160">
        <v>239</v>
      </c>
      <c r="G130" s="160">
        <v>277</v>
      </c>
      <c r="H130" s="160">
        <v>323</v>
      </c>
      <c r="I130" s="175">
        <f t="shared" si="48"/>
        <v>0.1660649819494584</v>
      </c>
      <c r="J130" s="159">
        <f t="shared" si="47"/>
        <v>46</v>
      </c>
      <c r="K130" s="161">
        <f t="shared" si="46"/>
        <v>9.5998097870506592E-4</v>
      </c>
    </row>
    <row r="131" spans="2:11" x14ac:dyDescent="0.25">
      <c r="B131" s="159" t="s">
        <v>128</v>
      </c>
      <c r="C131" s="160">
        <v>301</v>
      </c>
      <c r="D131" s="160">
        <v>2</v>
      </c>
      <c r="E131" s="160">
        <v>168</v>
      </c>
      <c r="F131" s="160">
        <v>190</v>
      </c>
      <c r="G131" s="160">
        <v>268</v>
      </c>
      <c r="H131" s="160">
        <v>203</v>
      </c>
      <c r="I131" s="175">
        <f t="shared" si="48"/>
        <v>-0.2425373134328358</v>
      </c>
      <c r="J131" s="159">
        <f t="shared" si="47"/>
        <v>-65</v>
      </c>
      <c r="K131" s="161">
        <f t="shared" si="46"/>
        <v>6.0333169869079991E-4</v>
      </c>
    </row>
    <row r="132" spans="2:11" x14ac:dyDescent="0.25">
      <c r="B132" s="159" t="s">
        <v>131</v>
      </c>
      <c r="C132" s="160">
        <v>386</v>
      </c>
      <c r="D132" s="160">
        <v>20</v>
      </c>
      <c r="E132" s="160">
        <v>275</v>
      </c>
      <c r="F132" s="160">
        <v>453</v>
      </c>
      <c r="G132" s="160">
        <v>381</v>
      </c>
      <c r="H132" s="160">
        <v>448</v>
      </c>
      <c r="I132" s="175">
        <f t="shared" si="48"/>
        <v>0.1758530183727034</v>
      </c>
      <c r="J132" s="159">
        <f t="shared" si="47"/>
        <v>67</v>
      </c>
      <c r="K132" s="161">
        <f t="shared" si="46"/>
        <v>1.331490645386593E-3</v>
      </c>
    </row>
    <row r="133" spans="2:11" x14ac:dyDescent="0.25">
      <c r="B133" s="164" t="s">
        <v>145</v>
      </c>
      <c r="C133" s="165">
        <f t="shared" ref="C133:H133" si="49">C125-SUM(C126:C132)</f>
        <v>6353</v>
      </c>
      <c r="D133" s="165">
        <f t="shared" si="49"/>
        <v>1526</v>
      </c>
      <c r="E133" s="165">
        <f t="shared" si="49"/>
        <v>4275</v>
      </c>
      <c r="F133" s="165">
        <f t="shared" si="49"/>
        <v>7095</v>
      </c>
      <c r="G133" s="165">
        <f t="shared" si="49"/>
        <v>6384</v>
      </c>
      <c r="H133" s="165">
        <f t="shared" si="49"/>
        <v>6552</v>
      </c>
      <c r="I133" s="176">
        <f t="shared" si="48"/>
        <v>2.6315789473684292E-2</v>
      </c>
      <c r="J133" s="164">
        <f>H133-G133</f>
        <v>168</v>
      </c>
      <c r="K133" s="166">
        <f t="shared" si="46"/>
        <v>1.9473050688778921E-2</v>
      </c>
    </row>
    <row r="134" spans="2:11" x14ac:dyDescent="0.25">
      <c r="B134" s="151" t="s">
        <v>52</v>
      </c>
      <c r="C134" s="149"/>
      <c r="D134" s="149"/>
      <c r="E134" s="149"/>
      <c r="F134" s="149"/>
      <c r="G134" s="149"/>
      <c r="H134" s="149"/>
      <c r="I134" s="150"/>
      <c r="J134" s="150"/>
      <c r="K134" s="149"/>
    </row>
    <row r="135" spans="2:11" x14ac:dyDescent="0.25">
      <c r="B135" s="152" t="s">
        <v>68</v>
      </c>
      <c r="C135" s="172">
        <f t="shared" ref="C135:H135" si="50">C136+C139</f>
        <v>15979</v>
      </c>
      <c r="D135" s="172">
        <f t="shared" si="50"/>
        <v>5851</v>
      </c>
      <c r="E135" s="172">
        <f t="shared" si="50"/>
        <v>12209</v>
      </c>
      <c r="F135" s="172">
        <f t="shared" si="50"/>
        <v>18402</v>
      </c>
      <c r="G135" s="172">
        <f t="shared" si="50"/>
        <v>18282</v>
      </c>
      <c r="H135" s="172">
        <f t="shared" si="50"/>
        <v>18130</v>
      </c>
      <c r="I135" s="173">
        <f>IFERROR(H135/G135-1,"-")</f>
        <v>-8.3141888196039959E-3</v>
      </c>
      <c r="J135" s="172">
        <f>H135-G135</f>
        <v>-152</v>
      </c>
      <c r="K135" s="173">
        <f t="shared" ref="K135:K147" si="51">H135/H$9</f>
        <v>5.3883762055488685E-2</v>
      </c>
    </row>
    <row r="136" spans="2:11" x14ac:dyDescent="0.25">
      <c r="B136" s="155" t="s">
        <v>97</v>
      </c>
      <c r="C136" s="156">
        <v>699</v>
      </c>
      <c r="D136" s="156">
        <v>3274</v>
      </c>
      <c r="E136" s="156">
        <v>617</v>
      </c>
      <c r="F136" s="156">
        <v>1388</v>
      </c>
      <c r="G136" s="156">
        <v>766</v>
      </c>
      <c r="H136" s="156">
        <v>668</v>
      </c>
      <c r="I136" s="174">
        <f>IFERROR(H136/G136-1,"-")</f>
        <v>-0.12793733681462138</v>
      </c>
      <c r="J136" s="155">
        <f t="shared" ref="J136:J146" si="52">H136-G136</f>
        <v>-98</v>
      </c>
      <c r="K136" s="157">
        <f t="shared" si="51"/>
        <v>1.9853476587460804E-3</v>
      </c>
    </row>
    <row r="137" spans="2:11" x14ac:dyDescent="0.25">
      <c r="B137" s="159" t="s">
        <v>103</v>
      </c>
      <c r="C137" s="160">
        <v>421</v>
      </c>
      <c r="D137" s="160">
        <v>2819</v>
      </c>
      <c r="E137" s="160">
        <v>212</v>
      </c>
      <c r="F137" s="160">
        <v>864</v>
      </c>
      <c r="G137" s="160">
        <v>445</v>
      </c>
      <c r="H137" s="160">
        <v>219</v>
      </c>
      <c r="I137" s="175">
        <f>IFERROR(H137/G137-1,"-")</f>
        <v>-0.50786516853932584</v>
      </c>
      <c r="J137" s="159">
        <f t="shared" si="52"/>
        <v>-226</v>
      </c>
      <c r="K137" s="161">
        <f t="shared" si="51"/>
        <v>6.5088493602603545E-4</v>
      </c>
    </row>
    <row r="138" spans="2:11" x14ac:dyDescent="0.25">
      <c r="B138" s="159" t="s">
        <v>100</v>
      </c>
      <c r="C138" s="160">
        <v>278</v>
      </c>
      <c r="D138" s="160">
        <v>455</v>
      </c>
      <c r="E138" s="160">
        <v>405</v>
      </c>
      <c r="F138" s="160">
        <v>524</v>
      </c>
      <c r="G138" s="160">
        <v>321</v>
      </c>
      <c r="H138" s="160">
        <v>449</v>
      </c>
      <c r="I138" s="175">
        <f>IFERROR(H138/G138-1,"-")</f>
        <v>0.39875389408099693</v>
      </c>
      <c r="J138" s="159">
        <f t="shared" si="52"/>
        <v>128</v>
      </c>
      <c r="K138" s="161">
        <f t="shared" si="51"/>
        <v>1.3344627227200451E-3</v>
      </c>
    </row>
    <row r="139" spans="2:11" x14ac:dyDescent="0.25">
      <c r="B139" s="155" t="s">
        <v>107</v>
      </c>
      <c r="C139" s="156">
        <v>15280</v>
      </c>
      <c r="D139" s="156">
        <v>2577</v>
      </c>
      <c r="E139" s="156">
        <v>11592</v>
      </c>
      <c r="F139" s="156">
        <v>17014</v>
      </c>
      <c r="G139" s="156">
        <v>17516</v>
      </c>
      <c r="H139" s="156">
        <v>17462</v>
      </c>
      <c r="I139" s="174">
        <f>IFERROR(H139/G139-1,"-")</f>
        <v>-3.082895638273575E-3</v>
      </c>
      <c r="J139" s="155">
        <f t="shared" si="52"/>
        <v>-54</v>
      </c>
      <c r="K139" s="157">
        <f t="shared" si="51"/>
        <v>5.1898414396742601E-2</v>
      </c>
    </row>
    <row r="140" spans="2:11" x14ac:dyDescent="0.25">
      <c r="B140" s="159" t="s">
        <v>110</v>
      </c>
      <c r="C140" s="160">
        <v>6291</v>
      </c>
      <c r="D140" s="160">
        <v>75</v>
      </c>
      <c r="E140" s="160">
        <v>3590</v>
      </c>
      <c r="F140" s="160">
        <v>6123</v>
      </c>
      <c r="G140" s="160">
        <v>6945</v>
      </c>
      <c r="H140" s="160">
        <v>7122</v>
      </c>
      <c r="I140" s="175">
        <f t="shared" ref="I140:I147" si="53">IFERROR(H140/G140-1,"-")</f>
        <v>2.548596112311019E-2</v>
      </c>
      <c r="J140" s="159">
        <f t="shared" si="52"/>
        <v>177</v>
      </c>
      <c r="K140" s="161">
        <f t="shared" si="51"/>
        <v>2.1167134768846685E-2</v>
      </c>
    </row>
    <row r="141" spans="2:11" x14ac:dyDescent="0.25">
      <c r="B141" s="159" t="s">
        <v>113</v>
      </c>
      <c r="C141" s="160">
        <v>1220</v>
      </c>
      <c r="D141" s="160">
        <v>209</v>
      </c>
      <c r="E141" s="160">
        <v>737</v>
      </c>
      <c r="F141" s="160">
        <v>1394</v>
      </c>
      <c r="G141" s="160">
        <v>1333</v>
      </c>
      <c r="H141" s="160">
        <v>1480</v>
      </c>
      <c r="I141" s="175">
        <f t="shared" si="53"/>
        <v>0.11027756939234812</v>
      </c>
      <c r="J141" s="159">
        <f t="shared" si="52"/>
        <v>147</v>
      </c>
      <c r="K141" s="161">
        <f t="shared" si="51"/>
        <v>4.3986744535092805E-3</v>
      </c>
    </row>
    <row r="142" spans="2:11" x14ac:dyDescent="0.25">
      <c r="B142" s="159" t="s">
        <v>116</v>
      </c>
      <c r="C142" s="160">
        <v>1307</v>
      </c>
      <c r="D142" s="160">
        <v>991</v>
      </c>
      <c r="E142" s="160">
        <v>1230</v>
      </c>
      <c r="F142" s="160">
        <v>1456</v>
      </c>
      <c r="G142" s="160">
        <v>1276</v>
      </c>
      <c r="H142" s="160">
        <v>1336</v>
      </c>
      <c r="I142" s="175">
        <f t="shared" si="53"/>
        <v>4.7021943573667624E-2</v>
      </c>
      <c r="J142" s="159">
        <f t="shared" si="52"/>
        <v>60</v>
      </c>
      <c r="K142" s="161">
        <f t="shared" si="51"/>
        <v>3.9706953174921608E-3</v>
      </c>
    </row>
    <row r="143" spans="2:11" x14ac:dyDescent="0.25">
      <c r="B143" s="159" t="s">
        <v>123</v>
      </c>
      <c r="C143" s="160">
        <v>152</v>
      </c>
      <c r="D143" s="160">
        <v>29</v>
      </c>
      <c r="E143" s="160">
        <v>728</v>
      </c>
      <c r="F143" s="160">
        <v>565</v>
      </c>
      <c r="G143" s="160">
        <v>448</v>
      </c>
      <c r="H143" s="160">
        <v>410</v>
      </c>
      <c r="I143" s="175">
        <f t="shared" si="53"/>
        <v>-8.4821428571428603E-2</v>
      </c>
      <c r="J143" s="159">
        <f t="shared" si="52"/>
        <v>-38</v>
      </c>
      <c r="K143" s="161">
        <f t="shared" si="51"/>
        <v>1.2185517067154086E-3</v>
      </c>
    </row>
    <row r="144" spans="2:11" x14ac:dyDescent="0.25">
      <c r="B144" s="159" t="s">
        <v>119</v>
      </c>
      <c r="C144" s="160">
        <v>251</v>
      </c>
      <c r="D144" s="160">
        <v>174</v>
      </c>
      <c r="E144" s="160">
        <v>325</v>
      </c>
      <c r="F144" s="160">
        <v>305</v>
      </c>
      <c r="G144" s="160">
        <v>314</v>
      </c>
      <c r="H144" s="160">
        <v>240</v>
      </c>
      <c r="I144" s="175">
        <f t="shared" si="53"/>
        <v>-0.23566878980891715</v>
      </c>
      <c r="J144" s="159">
        <f t="shared" si="52"/>
        <v>-74</v>
      </c>
      <c r="K144" s="161">
        <f t="shared" si="51"/>
        <v>7.1329856002853192E-4</v>
      </c>
    </row>
    <row r="145" spans="2:11" x14ac:dyDescent="0.25">
      <c r="B145" s="159" t="s">
        <v>128</v>
      </c>
      <c r="C145" s="160">
        <v>471</v>
      </c>
      <c r="D145" s="160">
        <v>3</v>
      </c>
      <c r="E145" s="160">
        <v>370</v>
      </c>
      <c r="F145" s="160">
        <v>796</v>
      </c>
      <c r="G145" s="160">
        <v>544</v>
      </c>
      <c r="H145" s="160">
        <v>538</v>
      </c>
      <c r="I145" s="175">
        <f t="shared" si="53"/>
        <v>-1.1029411764705843E-2</v>
      </c>
      <c r="J145" s="159">
        <f t="shared" si="52"/>
        <v>-6</v>
      </c>
      <c r="K145" s="161">
        <f t="shared" si="51"/>
        <v>1.5989776053972925E-3</v>
      </c>
    </row>
    <row r="146" spans="2:11" x14ac:dyDescent="0.25">
      <c r="B146" s="159" t="s">
        <v>131</v>
      </c>
      <c r="C146" s="160">
        <v>1030</v>
      </c>
      <c r="D146" s="160">
        <v>8</v>
      </c>
      <c r="E146" s="160">
        <v>207</v>
      </c>
      <c r="F146" s="160">
        <v>470</v>
      </c>
      <c r="G146" s="160">
        <v>394</v>
      </c>
      <c r="H146" s="160">
        <v>241</v>
      </c>
      <c r="I146" s="175">
        <f t="shared" si="53"/>
        <v>-0.3883248730964467</v>
      </c>
      <c r="J146" s="159">
        <f t="shared" si="52"/>
        <v>-153</v>
      </c>
      <c r="K146" s="161">
        <f t="shared" si="51"/>
        <v>7.1627063736198412E-4</v>
      </c>
    </row>
    <row r="147" spans="2:11" x14ac:dyDescent="0.25">
      <c r="B147" s="164" t="s">
        <v>145</v>
      </c>
      <c r="C147" s="165">
        <f t="shared" ref="C147:H147" si="54">C139-SUM(C140:C146)</f>
        <v>4558</v>
      </c>
      <c r="D147" s="165">
        <f t="shared" si="54"/>
        <v>1088</v>
      </c>
      <c r="E147" s="165">
        <f t="shared" si="54"/>
        <v>4405</v>
      </c>
      <c r="F147" s="165">
        <f t="shared" si="54"/>
        <v>5905</v>
      </c>
      <c r="G147" s="165">
        <f t="shared" si="54"/>
        <v>6262</v>
      </c>
      <c r="H147" s="165">
        <f t="shared" si="54"/>
        <v>6095</v>
      </c>
      <c r="I147" s="176">
        <f t="shared" si="53"/>
        <v>-2.666879591184923E-2</v>
      </c>
      <c r="J147" s="164">
        <f>H147-G147</f>
        <v>-167</v>
      </c>
      <c r="K147" s="166">
        <f t="shared" si="51"/>
        <v>1.811481134739126E-2</v>
      </c>
    </row>
    <row r="148" spans="2:11" x14ac:dyDescent="0.25">
      <c r="B148" s="151" t="s">
        <v>53</v>
      </c>
      <c r="C148" s="149"/>
      <c r="D148" s="149"/>
      <c r="E148" s="149"/>
      <c r="F148" s="149"/>
      <c r="G148" s="149"/>
      <c r="H148" s="149"/>
      <c r="I148" s="150"/>
      <c r="J148" s="150"/>
      <c r="K148" s="149"/>
    </row>
    <row r="149" spans="2:11" x14ac:dyDescent="0.25">
      <c r="B149" s="152" t="s">
        <v>68</v>
      </c>
      <c r="C149" s="172">
        <f t="shared" ref="C149:H149" si="55">C150+C153</f>
        <v>8645</v>
      </c>
      <c r="D149" s="172">
        <f t="shared" si="55"/>
        <v>2147</v>
      </c>
      <c r="E149" s="172">
        <f t="shared" si="55"/>
        <v>7184</v>
      </c>
      <c r="F149" s="172">
        <f t="shared" si="55"/>
        <v>9195</v>
      </c>
      <c r="G149" s="172">
        <f t="shared" si="55"/>
        <v>9950</v>
      </c>
      <c r="H149" s="172">
        <f t="shared" si="55"/>
        <v>9143</v>
      </c>
      <c r="I149" s="173">
        <f>IFERROR(H149/G149-1,"-")</f>
        <v>-8.11055276381909E-2</v>
      </c>
      <c r="J149" s="172">
        <f>H149-G149</f>
        <v>-807</v>
      </c>
      <c r="K149" s="173">
        <f t="shared" ref="K149:K161" si="56">H149/H$9</f>
        <v>2.7173703059753616E-2</v>
      </c>
    </row>
    <row r="150" spans="2:11" x14ac:dyDescent="0.25">
      <c r="B150" s="155" t="s">
        <v>97</v>
      </c>
      <c r="C150" s="156">
        <v>2313</v>
      </c>
      <c r="D150" s="156">
        <v>1523</v>
      </c>
      <c r="E150" s="156">
        <v>3059</v>
      </c>
      <c r="F150" s="156">
        <v>3746</v>
      </c>
      <c r="G150" s="156">
        <v>3618</v>
      </c>
      <c r="H150" s="156">
        <v>3143</v>
      </c>
      <c r="I150" s="174">
        <f>IFERROR(H150/G150-1,"-")</f>
        <v>-0.13128800442233279</v>
      </c>
      <c r="J150" s="155">
        <f t="shared" ref="J150:J160" si="57">H150-G150</f>
        <v>-475</v>
      </c>
      <c r="K150" s="157">
        <f t="shared" si="56"/>
        <v>9.3412390590403155E-3</v>
      </c>
    </row>
    <row r="151" spans="2:11" x14ac:dyDescent="0.25">
      <c r="B151" s="159" t="s">
        <v>103</v>
      </c>
      <c r="C151" s="160">
        <v>536</v>
      </c>
      <c r="D151" s="160">
        <v>1276</v>
      </c>
      <c r="E151" s="160">
        <v>2343</v>
      </c>
      <c r="F151" s="160">
        <v>2593</v>
      </c>
      <c r="G151" s="160">
        <v>2748</v>
      </c>
      <c r="H151" s="160">
        <v>2141</v>
      </c>
      <c r="I151" s="175">
        <f>IFERROR(H151/G151-1,"-")</f>
        <v>-0.22088791848617173</v>
      </c>
      <c r="J151" s="159">
        <f t="shared" si="57"/>
        <v>-607</v>
      </c>
      <c r="K151" s="161">
        <f t="shared" si="56"/>
        <v>6.3632175709211957E-3</v>
      </c>
    </row>
    <row r="152" spans="2:11" x14ac:dyDescent="0.25">
      <c r="B152" s="159" t="s">
        <v>100</v>
      </c>
      <c r="C152" s="160">
        <v>1777</v>
      </c>
      <c r="D152" s="160">
        <v>247</v>
      </c>
      <c r="E152" s="160">
        <v>716</v>
      </c>
      <c r="F152" s="160">
        <v>1153</v>
      </c>
      <c r="G152" s="160">
        <v>870</v>
      </c>
      <c r="H152" s="160">
        <v>1002</v>
      </c>
      <c r="I152" s="175">
        <f>IFERROR(H152/G152-1,"-")</f>
        <v>0.15172413793103456</v>
      </c>
      <c r="J152" s="159">
        <f t="shared" si="57"/>
        <v>132</v>
      </c>
      <c r="K152" s="161">
        <f t="shared" si="56"/>
        <v>2.978021488119121E-3</v>
      </c>
    </row>
    <row r="153" spans="2:11" x14ac:dyDescent="0.25">
      <c r="B153" s="155" t="s">
        <v>107</v>
      </c>
      <c r="C153" s="156">
        <v>6332</v>
      </c>
      <c r="D153" s="156">
        <v>624</v>
      </c>
      <c r="E153" s="156">
        <v>4125</v>
      </c>
      <c r="F153" s="156">
        <v>5449</v>
      </c>
      <c r="G153" s="156">
        <v>6332</v>
      </c>
      <c r="H153" s="156">
        <v>6000</v>
      </c>
      <c r="I153" s="174">
        <f>IFERROR(H153/G153-1,"-")</f>
        <v>-5.243209096651924E-2</v>
      </c>
      <c r="J153" s="155">
        <f t="shared" si="57"/>
        <v>-332</v>
      </c>
      <c r="K153" s="157">
        <f t="shared" si="56"/>
        <v>1.78324640007133E-2</v>
      </c>
    </row>
    <row r="154" spans="2:11" x14ac:dyDescent="0.25">
      <c r="B154" s="159" t="s">
        <v>110</v>
      </c>
      <c r="C154" s="160">
        <v>2132</v>
      </c>
      <c r="D154" s="160">
        <v>25</v>
      </c>
      <c r="E154" s="160">
        <v>1356</v>
      </c>
      <c r="F154" s="160">
        <v>1749</v>
      </c>
      <c r="G154" s="160">
        <v>2037</v>
      </c>
      <c r="H154" s="160">
        <v>1145</v>
      </c>
      <c r="I154" s="175">
        <f t="shared" ref="I154:I161" si="58">IFERROR(H154/G154-1,"-")</f>
        <v>-0.43789887088856161</v>
      </c>
      <c r="J154" s="159">
        <f t="shared" si="57"/>
        <v>-892</v>
      </c>
      <c r="K154" s="161">
        <f t="shared" si="56"/>
        <v>3.4030285468027877E-3</v>
      </c>
    </row>
    <row r="155" spans="2:11" x14ac:dyDescent="0.25">
      <c r="B155" s="159" t="s">
        <v>113</v>
      </c>
      <c r="C155" s="160">
        <v>1627</v>
      </c>
      <c r="D155" s="160">
        <v>164</v>
      </c>
      <c r="E155" s="160">
        <v>852</v>
      </c>
      <c r="F155" s="160">
        <v>1068</v>
      </c>
      <c r="G155" s="160">
        <v>1154</v>
      </c>
      <c r="H155" s="160">
        <v>1096</v>
      </c>
      <c r="I155" s="175">
        <f t="shared" si="58"/>
        <v>-5.0259965337954959E-2</v>
      </c>
      <c r="J155" s="159">
        <f t="shared" si="57"/>
        <v>-58</v>
      </c>
      <c r="K155" s="161">
        <f t="shared" si="56"/>
        <v>3.2573967574636292E-3</v>
      </c>
    </row>
    <row r="156" spans="2:11" x14ac:dyDescent="0.25">
      <c r="B156" s="159" t="s">
        <v>116</v>
      </c>
      <c r="C156" s="160">
        <v>739</v>
      </c>
      <c r="D156" s="160">
        <v>136</v>
      </c>
      <c r="E156" s="160">
        <v>408</v>
      </c>
      <c r="F156" s="160">
        <v>741</v>
      </c>
      <c r="G156" s="160">
        <v>814</v>
      </c>
      <c r="H156" s="160">
        <v>1197</v>
      </c>
      <c r="I156" s="175">
        <f t="shared" si="58"/>
        <v>0.47051597051597049</v>
      </c>
      <c r="J156" s="159">
        <f t="shared" si="57"/>
        <v>383</v>
      </c>
      <c r="K156" s="161">
        <f t="shared" si="56"/>
        <v>3.557576568142303E-3</v>
      </c>
    </row>
    <row r="157" spans="2:11" x14ac:dyDescent="0.25">
      <c r="B157" s="159" t="s">
        <v>123</v>
      </c>
      <c r="C157" s="160">
        <v>196</v>
      </c>
      <c r="D157" s="160">
        <v>12</v>
      </c>
      <c r="E157" s="160">
        <v>148</v>
      </c>
      <c r="F157" s="160">
        <v>174</v>
      </c>
      <c r="G157" s="160">
        <v>238</v>
      </c>
      <c r="H157" s="160">
        <v>312</v>
      </c>
      <c r="I157" s="175">
        <f t="shared" si="58"/>
        <v>0.31092436974789917</v>
      </c>
      <c r="J157" s="159">
        <f t="shared" si="57"/>
        <v>74</v>
      </c>
      <c r="K157" s="161">
        <f t="shared" si="56"/>
        <v>9.2728812803709152E-4</v>
      </c>
    </row>
    <row r="158" spans="2:11" x14ac:dyDescent="0.25">
      <c r="B158" s="159" t="s">
        <v>119</v>
      </c>
      <c r="C158" s="160">
        <v>197</v>
      </c>
      <c r="D158" s="160">
        <v>26</v>
      </c>
      <c r="E158" s="160">
        <v>196</v>
      </c>
      <c r="F158" s="160">
        <v>270</v>
      </c>
      <c r="G158" s="160">
        <v>308</v>
      </c>
      <c r="H158" s="160">
        <v>346</v>
      </c>
      <c r="I158" s="175">
        <f t="shared" si="58"/>
        <v>0.12337662337662336</v>
      </c>
      <c r="J158" s="159">
        <f t="shared" si="57"/>
        <v>38</v>
      </c>
      <c r="K158" s="161">
        <f t="shared" si="56"/>
        <v>1.0283387573744669E-3</v>
      </c>
    </row>
    <row r="159" spans="2:11" x14ac:dyDescent="0.25">
      <c r="B159" s="159" t="s">
        <v>128</v>
      </c>
      <c r="C159" s="160">
        <v>116</v>
      </c>
      <c r="D159" s="160">
        <v>6</v>
      </c>
      <c r="E159" s="160">
        <v>96</v>
      </c>
      <c r="F159" s="160">
        <v>53</v>
      </c>
      <c r="G159" s="160">
        <v>125</v>
      </c>
      <c r="H159" s="160">
        <v>57</v>
      </c>
      <c r="I159" s="175">
        <f t="shared" si="58"/>
        <v>-0.54400000000000004</v>
      </c>
      <c r="J159" s="159">
        <f t="shared" si="57"/>
        <v>-68</v>
      </c>
      <c r="K159" s="161">
        <f t="shared" si="56"/>
        <v>1.6940840800677633E-4</v>
      </c>
    </row>
    <row r="160" spans="2:11" x14ac:dyDescent="0.25">
      <c r="B160" s="159" t="s">
        <v>131</v>
      </c>
      <c r="C160" s="160">
        <v>143</v>
      </c>
      <c r="D160" s="160">
        <v>10</v>
      </c>
      <c r="E160" s="160">
        <v>124</v>
      </c>
      <c r="F160" s="160">
        <v>210</v>
      </c>
      <c r="G160" s="160">
        <v>121</v>
      </c>
      <c r="H160" s="160">
        <v>77</v>
      </c>
      <c r="I160" s="175">
        <f t="shared" si="58"/>
        <v>-0.36363636363636365</v>
      </c>
      <c r="J160" s="159">
        <f t="shared" si="57"/>
        <v>-44</v>
      </c>
      <c r="K160" s="161">
        <f t="shared" si="56"/>
        <v>2.2884995467582067E-4</v>
      </c>
    </row>
    <row r="161" spans="2:11" x14ac:dyDescent="0.25">
      <c r="B161" s="164" t="s">
        <v>145</v>
      </c>
      <c r="C161" s="165">
        <f t="shared" ref="C161:H161" si="59">C153-SUM(C154:C160)</f>
        <v>1182</v>
      </c>
      <c r="D161" s="165">
        <f t="shared" si="59"/>
        <v>245</v>
      </c>
      <c r="E161" s="165">
        <f t="shared" si="59"/>
        <v>945</v>
      </c>
      <c r="F161" s="165">
        <f t="shared" si="59"/>
        <v>1184</v>
      </c>
      <c r="G161" s="165">
        <f t="shared" si="59"/>
        <v>1535</v>
      </c>
      <c r="H161" s="165">
        <f t="shared" si="59"/>
        <v>1770</v>
      </c>
      <c r="I161" s="176">
        <f t="shared" si="58"/>
        <v>0.15309446254071668</v>
      </c>
      <c r="J161" s="164">
        <f>H161-G161</f>
        <v>235</v>
      </c>
      <c r="K161" s="166">
        <f t="shared" si="56"/>
        <v>5.2605768802104231E-3</v>
      </c>
    </row>
    <row r="162" spans="2:11" x14ac:dyDescent="0.25">
      <c r="C162" s="79"/>
      <c r="D162" s="79"/>
      <c r="E162" s="79"/>
      <c r="F162" s="79"/>
      <c r="G162" s="79"/>
      <c r="H162" s="79"/>
      <c r="I162" s="79"/>
    </row>
    <row r="163" spans="2:11" x14ac:dyDescent="0.25">
      <c r="B163" s="105" t="s">
        <v>55</v>
      </c>
      <c r="C163" s="105"/>
      <c r="D163" s="105"/>
      <c r="E163" s="105"/>
      <c r="F163" s="105"/>
      <c r="G163" s="105"/>
      <c r="H163" s="105"/>
      <c r="I163" s="105"/>
      <c r="J163" s="105"/>
      <c r="K163" s="105"/>
    </row>
  </sheetData>
  <mergeCells count="3">
    <mergeCell ref="B4:I4"/>
    <mergeCell ref="C6:K6"/>
    <mergeCell ref="O6:W6"/>
  </mergeCells>
  <pageMargins left="0.25" right="0.25" top="0.75" bottom="0.75" header="0.3" footer="0.3"/>
  <pageSetup paperSize="9" scale="88" orientation="landscape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FD133F-9580-4A08-8548-6C8CECCFD4E6}">
  <sheetPr codeName="Hoja17">
    <tabColor theme="7" tint="0.79998168889431442"/>
    <pageSetUpPr fitToPage="1"/>
  </sheetPr>
  <dimension ref="A1:W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3" max="13" width="11.42578125" customWidth="1"/>
    <col min="14" max="23" width="11.42578125" hidden="1" customWidth="1"/>
  </cols>
  <sheetData>
    <row r="1" spans="1:23" ht="42.75" customHeight="1" x14ac:dyDescent="0.25"/>
    <row r="4" spans="1:23" ht="42" customHeight="1" thickBot="1" x14ac:dyDescent="0.3">
      <c r="B4" s="265" t="str">
        <f>CONCATENATE("Viajeros entrados en los apartamentos de Tenerife según lugar de residencia y municipio de alojamiento")</f>
        <v>Viajeros entrados en los apartamentos de Tenerife según lugar de residencia y municipio de alojamiento</v>
      </c>
      <c r="C4" s="265"/>
      <c r="D4" s="265"/>
      <c r="E4" s="265"/>
      <c r="F4" s="265"/>
      <c r="G4" s="265"/>
      <c r="H4" s="265"/>
      <c r="I4" s="265"/>
      <c r="J4" s="140"/>
      <c r="K4" s="140"/>
      <c r="N4" s="139" t="s">
        <v>267</v>
      </c>
      <c r="O4" s="140"/>
      <c r="P4" s="140"/>
      <c r="Q4" s="140"/>
      <c r="R4" s="140"/>
      <c r="S4" s="140"/>
      <c r="T4" s="140"/>
      <c r="U4" s="140"/>
      <c r="V4" s="140"/>
      <c r="W4" s="140"/>
    </row>
    <row r="5" spans="1:23" ht="6" customHeight="1" x14ac:dyDescent="0.25"/>
    <row r="6" spans="1:23" ht="15.75" x14ac:dyDescent="0.25">
      <c r="B6" s="141"/>
      <c r="C6" s="298" t="s">
        <v>43</v>
      </c>
      <c r="D6" s="299"/>
      <c r="E6" s="299"/>
      <c r="F6" s="299"/>
      <c r="G6" s="299"/>
      <c r="H6" s="299"/>
      <c r="I6" s="299"/>
      <c r="J6" s="299"/>
      <c r="K6" s="299"/>
      <c r="N6" s="141"/>
      <c r="O6" s="298" t="s">
        <v>43</v>
      </c>
      <c r="P6" s="299"/>
      <c r="Q6" s="299"/>
      <c r="R6" s="299"/>
      <c r="S6" s="299"/>
      <c r="T6" s="299"/>
      <c r="U6" s="299"/>
      <c r="V6" s="299"/>
      <c r="W6" s="299"/>
    </row>
    <row r="7" spans="1:23" s="142" customFormat="1" ht="72" customHeight="1" x14ac:dyDescent="0.25">
      <c r="B7" s="143"/>
      <c r="C7" s="168" t="s">
        <v>316</v>
      </c>
      <c r="D7" s="168" t="s">
        <v>317</v>
      </c>
      <c r="E7" s="168" t="s">
        <v>318</v>
      </c>
      <c r="F7" s="168" t="s">
        <v>319</v>
      </c>
      <c r="G7" s="168" t="s">
        <v>320</v>
      </c>
      <c r="H7" s="168" t="s">
        <v>321</v>
      </c>
      <c r="I7" s="169" t="str">
        <f>CONCATENATE("var. ",RIGHT(H7,2),"/",RIGHT(G7,2))</f>
        <v>var. 25/24</v>
      </c>
      <c r="J7" s="168" t="str">
        <f>CONCATENATE("dif. ",RIGHT(H7,2),"/",RIGHT(G7,2))</f>
        <v>dif. 25/24</v>
      </c>
      <c r="K7" s="169" t="str">
        <f>CONCATENATE("Cuota s/ total lugares de residencia ",RIGHT(H7,4))</f>
        <v>Cuota s/ total lugares de residencia 2025</v>
      </c>
      <c r="N7" s="143"/>
      <c r="O7" s="168" t="s">
        <v>316</v>
      </c>
      <c r="P7" s="168" t="s">
        <v>317</v>
      </c>
      <c r="Q7" s="168" t="s">
        <v>318</v>
      </c>
      <c r="R7" s="168" t="s">
        <v>319</v>
      </c>
      <c r="S7" s="168" t="s">
        <v>320</v>
      </c>
      <c r="T7" s="168" t="s">
        <v>321</v>
      </c>
      <c r="U7" s="169" t="str">
        <f>CONCATENATE("var. ",RIGHT(T7,2),"/",RIGHT(S7,2))</f>
        <v>var. 25/24</v>
      </c>
      <c r="V7" s="168" t="str">
        <f>CONCATENATE("dif. ",RIGHT(T7,2),"/",RIGHT(S7,2))</f>
        <v>dif. 25/24</v>
      </c>
      <c r="W7" s="169" t="str">
        <f>CONCATENATE("Cuota s/ total lugares de residencia ",RIGHT(T7,4))</f>
        <v>Cuota s/ total lugares de residencia 2025</v>
      </c>
    </row>
    <row r="8" spans="1:23" x14ac:dyDescent="0.25">
      <c r="A8" s="1"/>
      <c r="B8" s="148" t="s">
        <v>43</v>
      </c>
      <c r="C8" s="149"/>
      <c r="D8" s="149"/>
      <c r="E8" s="149"/>
      <c r="F8" s="149"/>
      <c r="G8" s="149"/>
      <c r="H8" s="150"/>
      <c r="I8" s="150"/>
      <c r="J8" s="150"/>
      <c r="K8" s="149"/>
      <c r="N8" s="151" t="s">
        <v>48</v>
      </c>
      <c r="O8" s="149"/>
      <c r="P8" s="149"/>
      <c r="Q8" s="149"/>
      <c r="R8" s="149"/>
      <c r="S8" s="149"/>
      <c r="T8" s="150"/>
      <c r="U8" s="150"/>
      <c r="V8" s="150"/>
      <c r="W8" s="149"/>
    </row>
    <row r="9" spans="1:23" x14ac:dyDescent="0.25">
      <c r="A9" s="1" t="s">
        <v>96</v>
      </c>
      <c r="B9" s="152" t="s">
        <v>68</v>
      </c>
      <c r="C9" s="172">
        <f t="shared" ref="C9:H9" si="0">C10+C13</f>
        <v>93024</v>
      </c>
      <c r="D9" s="172">
        <f t="shared" si="0"/>
        <v>10691</v>
      </c>
      <c r="E9" s="172">
        <f t="shared" si="0"/>
        <v>61995</v>
      </c>
      <c r="F9" s="172">
        <f t="shared" si="0"/>
        <v>80478</v>
      </c>
      <c r="G9" s="172">
        <f t="shared" si="0"/>
        <v>89182</v>
      </c>
      <c r="H9" s="172">
        <f t="shared" si="0"/>
        <v>85997</v>
      </c>
      <c r="I9" s="173">
        <f>IFERROR(H9/G9-1,"-")</f>
        <v>-3.5713484783924998E-2</v>
      </c>
      <c r="J9" s="172">
        <f t="shared" ref="J9:J21" si="1">H9-G9</f>
        <v>-3185</v>
      </c>
      <c r="K9" s="173">
        <f t="shared" ref="K9:K21" si="2">H9/H$9</f>
        <v>1</v>
      </c>
      <c r="N9" s="152" t="s">
        <v>68</v>
      </c>
      <c r="O9" s="172">
        <f t="shared" ref="O9:T9" si="3">O10+O13</f>
        <v>12148</v>
      </c>
      <c r="P9" s="172">
        <f t="shared" si="3"/>
        <v>1233</v>
      </c>
      <c r="Q9" s="172">
        <f t="shared" si="3"/>
        <v>7747</v>
      </c>
      <c r="R9" s="172">
        <f t="shared" si="3"/>
        <v>10548</v>
      </c>
      <c r="S9" s="172">
        <f t="shared" si="3"/>
        <v>10084</v>
      </c>
      <c r="T9" s="172">
        <f t="shared" si="3"/>
        <v>10527</v>
      </c>
      <c r="U9" s="173">
        <f>IFERROR(T9/S9-1,"-")</f>
        <v>4.3930979769932543E-2</v>
      </c>
      <c r="V9" s="172">
        <f>T9-S9</f>
        <v>443</v>
      </c>
      <c r="W9" s="173">
        <f t="shared" ref="W9:W21" si="4">T9/T$9</f>
        <v>1</v>
      </c>
    </row>
    <row r="10" spans="1:23" x14ac:dyDescent="0.25">
      <c r="A10" s="158" t="s">
        <v>103</v>
      </c>
      <c r="B10" s="155" t="s">
        <v>97</v>
      </c>
      <c r="C10" s="156">
        <v>7100</v>
      </c>
      <c r="D10" s="156">
        <v>2860</v>
      </c>
      <c r="E10" s="156">
        <v>4551</v>
      </c>
      <c r="F10" s="156">
        <v>5711</v>
      </c>
      <c r="G10" s="156">
        <v>4937</v>
      </c>
      <c r="H10" s="156">
        <v>5915</v>
      </c>
      <c r="I10" s="174">
        <f>IFERROR(H10/G10-1,"-")</f>
        <v>0.19809600972250352</v>
      </c>
      <c r="J10" s="155">
        <f t="shared" si="1"/>
        <v>978</v>
      </c>
      <c r="K10" s="157">
        <f t="shared" si="2"/>
        <v>6.8781469121015848E-2</v>
      </c>
      <c r="N10" s="155" t="s">
        <v>97</v>
      </c>
      <c r="O10" s="156">
        <v>3151</v>
      </c>
      <c r="P10" s="156">
        <v>394</v>
      </c>
      <c r="Q10" s="156">
        <v>1819</v>
      </c>
      <c r="R10" s="156">
        <v>2153</v>
      </c>
      <c r="S10" s="156">
        <v>1791</v>
      </c>
      <c r="T10" s="156">
        <v>2394</v>
      </c>
      <c r="U10" s="174">
        <f>IFERROR(T10/S10-1,"-")</f>
        <v>0.33668341708542715</v>
      </c>
      <c r="V10" s="155">
        <f t="shared" ref="V10:V20" si="5">T10-S10</f>
        <v>603</v>
      </c>
      <c r="W10" s="157">
        <f t="shared" si="4"/>
        <v>0.22741521801082928</v>
      </c>
    </row>
    <row r="11" spans="1:23" x14ac:dyDescent="0.25">
      <c r="A11" s="158" t="s">
        <v>100</v>
      </c>
      <c r="B11" s="159" t="s">
        <v>103</v>
      </c>
      <c r="C11" s="160">
        <v>3816</v>
      </c>
      <c r="D11" s="160">
        <v>2327</v>
      </c>
      <c r="E11" s="160">
        <v>2463</v>
      </c>
      <c r="F11" s="160">
        <v>3082</v>
      </c>
      <c r="G11" s="160">
        <v>1935</v>
      </c>
      <c r="H11" s="160">
        <v>2582</v>
      </c>
      <c r="I11" s="175">
        <f>IFERROR(H11/G11-1,"-")</f>
        <v>0.33436692506459953</v>
      </c>
      <c r="J11" s="159">
        <f t="shared" si="1"/>
        <v>647</v>
      </c>
      <c r="K11" s="161">
        <f t="shared" si="2"/>
        <v>3.0024303173366514E-2</v>
      </c>
      <c r="N11" s="159" t="s">
        <v>103</v>
      </c>
      <c r="O11" s="160">
        <v>1111</v>
      </c>
      <c r="P11" s="160">
        <v>187</v>
      </c>
      <c r="Q11" s="160">
        <v>798</v>
      </c>
      <c r="R11" s="160">
        <v>1045</v>
      </c>
      <c r="S11" s="160">
        <v>546</v>
      </c>
      <c r="T11" s="160">
        <v>803</v>
      </c>
      <c r="U11" s="175">
        <f>IFERROR(T11/S11-1,"-")</f>
        <v>0.4706959706959708</v>
      </c>
      <c r="V11" s="159">
        <f t="shared" si="5"/>
        <v>257</v>
      </c>
      <c r="W11" s="161">
        <f>T11/T$9</f>
        <v>7.6280041797283177E-2</v>
      </c>
    </row>
    <row r="12" spans="1:23" x14ac:dyDescent="0.25">
      <c r="A12" s="1"/>
      <c r="B12" s="159" t="s">
        <v>100</v>
      </c>
      <c r="C12" s="160">
        <v>3284</v>
      </c>
      <c r="D12" s="160">
        <v>533</v>
      </c>
      <c r="E12" s="160">
        <v>2088</v>
      </c>
      <c r="F12" s="160">
        <v>2629</v>
      </c>
      <c r="G12" s="160">
        <v>3002</v>
      </c>
      <c r="H12" s="160">
        <v>3333</v>
      </c>
      <c r="I12" s="175">
        <f>IFERROR(H12/G12-1,"-")</f>
        <v>0.1102598267821453</v>
      </c>
      <c r="J12" s="159">
        <f t="shared" si="1"/>
        <v>331</v>
      </c>
      <c r="K12" s="161">
        <f t="shared" si="2"/>
        <v>3.8757165947649337E-2</v>
      </c>
      <c r="N12" s="159" t="s">
        <v>100</v>
      </c>
      <c r="O12" s="160">
        <v>2040</v>
      </c>
      <c r="P12" s="160">
        <v>207</v>
      </c>
      <c r="Q12" s="160">
        <v>1021</v>
      </c>
      <c r="R12" s="160">
        <v>1108</v>
      </c>
      <c r="S12" s="160">
        <v>1245</v>
      </c>
      <c r="T12" s="160">
        <v>1591</v>
      </c>
      <c r="U12" s="175">
        <f>IFERROR(T12/S12-1,"-")</f>
        <v>0.27791164658634537</v>
      </c>
      <c r="V12" s="159">
        <f t="shared" si="5"/>
        <v>346</v>
      </c>
      <c r="W12" s="161">
        <f t="shared" si="4"/>
        <v>0.15113517621354611</v>
      </c>
    </row>
    <row r="13" spans="1:23" s="56" customFormat="1" x14ac:dyDescent="0.25">
      <c r="B13" s="155" t="s">
        <v>107</v>
      </c>
      <c r="C13" s="156">
        <v>85924</v>
      </c>
      <c r="D13" s="156">
        <v>7831</v>
      </c>
      <c r="E13" s="156">
        <v>57444</v>
      </c>
      <c r="F13" s="156">
        <v>74767</v>
      </c>
      <c r="G13" s="156">
        <v>84245</v>
      </c>
      <c r="H13" s="156">
        <v>80082</v>
      </c>
      <c r="I13" s="174">
        <f>IFERROR(H13/G13-1,"-")</f>
        <v>-4.941539557243757E-2</v>
      </c>
      <c r="J13" s="155">
        <f t="shared" si="1"/>
        <v>-4163</v>
      </c>
      <c r="K13" s="157">
        <f t="shared" si="2"/>
        <v>0.9312185308789841</v>
      </c>
      <c r="N13" s="155" t="s">
        <v>107</v>
      </c>
      <c r="O13" s="156">
        <v>8997</v>
      </c>
      <c r="P13" s="156">
        <v>839</v>
      </c>
      <c r="Q13" s="156">
        <v>5928</v>
      </c>
      <c r="R13" s="156">
        <v>8395</v>
      </c>
      <c r="S13" s="156">
        <v>8293</v>
      </c>
      <c r="T13" s="156">
        <v>8133</v>
      </c>
      <c r="U13" s="174">
        <f>IFERROR(T13/S13-1,"-")</f>
        <v>-1.92933799590016E-2</v>
      </c>
      <c r="V13" s="155">
        <f t="shared" si="5"/>
        <v>-160</v>
      </c>
      <c r="W13" s="157">
        <f t="shared" si="4"/>
        <v>0.77258478198917069</v>
      </c>
    </row>
    <row r="14" spans="1:23" s="56" customFormat="1" x14ac:dyDescent="0.25">
      <c r="B14" s="159" t="s">
        <v>110</v>
      </c>
      <c r="C14" s="160">
        <v>36419</v>
      </c>
      <c r="D14" s="160">
        <v>798</v>
      </c>
      <c r="E14" s="160">
        <v>18577</v>
      </c>
      <c r="F14" s="160">
        <v>30177</v>
      </c>
      <c r="G14" s="160">
        <v>36178</v>
      </c>
      <c r="H14" s="160">
        <v>36200</v>
      </c>
      <c r="I14" s="175">
        <f t="shared" ref="I14:I21" si="6">IFERROR(H14/G14-1,"-")</f>
        <v>6.0810437282321494E-4</v>
      </c>
      <c r="J14" s="159">
        <f t="shared" si="1"/>
        <v>22</v>
      </c>
      <c r="K14" s="161">
        <f t="shared" si="2"/>
        <v>0.4209449166831401</v>
      </c>
      <c r="N14" s="159" t="s">
        <v>110</v>
      </c>
      <c r="O14" s="160">
        <v>783</v>
      </c>
      <c r="P14" s="160">
        <v>45</v>
      </c>
      <c r="Q14" s="160">
        <v>451</v>
      </c>
      <c r="R14" s="160">
        <v>766</v>
      </c>
      <c r="S14" s="160">
        <v>984</v>
      </c>
      <c r="T14" s="160">
        <v>930</v>
      </c>
      <c r="U14" s="175">
        <f t="shared" ref="U14:U21" si="7">IFERROR(T14/S14-1,"-")</f>
        <v>-5.4878048780487854E-2</v>
      </c>
      <c r="V14" s="159">
        <f t="shared" si="5"/>
        <v>-54</v>
      </c>
      <c r="W14" s="161">
        <f t="shared" si="4"/>
        <v>8.8344257623254485E-2</v>
      </c>
    </row>
    <row r="15" spans="1:23" x14ac:dyDescent="0.25">
      <c r="A15" s="1"/>
      <c r="B15" s="159" t="s">
        <v>113</v>
      </c>
      <c r="C15" s="160">
        <v>6138</v>
      </c>
      <c r="D15" s="160">
        <v>773</v>
      </c>
      <c r="E15" s="160">
        <v>3401</v>
      </c>
      <c r="F15" s="160">
        <v>4537</v>
      </c>
      <c r="G15" s="160">
        <v>4896</v>
      </c>
      <c r="H15" s="160">
        <v>5045</v>
      </c>
      <c r="I15" s="175">
        <f t="shared" si="6"/>
        <v>3.0433006535947715E-2</v>
      </c>
      <c r="J15" s="159">
        <f t="shared" si="1"/>
        <v>149</v>
      </c>
      <c r="K15" s="161">
        <f t="shared" si="2"/>
        <v>5.8664837145481818E-2</v>
      </c>
      <c r="N15" s="159" t="s">
        <v>113</v>
      </c>
      <c r="O15" s="160">
        <v>1769</v>
      </c>
      <c r="P15" s="160">
        <v>178</v>
      </c>
      <c r="Q15" s="160">
        <v>1082</v>
      </c>
      <c r="R15" s="160">
        <v>1744</v>
      </c>
      <c r="S15" s="160">
        <v>1613</v>
      </c>
      <c r="T15" s="160">
        <v>1952</v>
      </c>
      <c r="U15" s="175">
        <f t="shared" si="7"/>
        <v>0.21016738995660256</v>
      </c>
      <c r="V15" s="159">
        <f t="shared" si="5"/>
        <v>339</v>
      </c>
      <c r="W15" s="161">
        <f t="shared" si="4"/>
        <v>0.18542794718343308</v>
      </c>
    </row>
    <row r="16" spans="1:23" x14ac:dyDescent="0.25">
      <c r="A16" s="1"/>
      <c r="B16" s="159" t="s">
        <v>116</v>
      </c>
      <c r="C16" s="160">
        <v>1709</v>
      </c>
      <c r="D16" s="160">
        <v>1036</v>
      </c>
      <c r="E16" s="160">
        <v>1898</v>
      </c>
      <c r="F16" s="160">
        <v>2238</v>
      </c>
      <c r="G16" s="160">
        <v>3045</v>
      </c>
      <c r="H16" s="160">
        <v>2130</v>
      </c>
      <c r="I16" s="175">
        <f t="shared" si="6"/>
        <v>-0.30049261083743839</v>
      </c>
      <c r="J16" s="159">
        <f t="shared" si="1"/>
        <v>-915</v>
      </c>
      <c r="K16" s="161">
        <f t="shared" si="2"/>
        <v>2.476830587113504E-2</v>
      </c>
      <c r="N16" s="159" t="s">
        <v>116</v>
      </c>
      <c r="O16" s="160">
        <v>270</v>
      </c>
      <c r="P16" s="160">
        <v>150</v>
      </c>
      <c r="Q16" s="160">
        <v>313</v>
      </c>
      <c r="R16" s="160">
        <v>250</v>
      </c>
      <c r="S16" s="160">
        <v>251</v>
      </c>
      <c r="T16" s="160">
        <v>393</v>
      </c>
      <c r="U16" s="175">
        <f t="shared" si="7"/>
        <v>0.56573705179282863</v>
      </c>
      <c r="V16" s="159">
        <f t="shared" si="5"/>
        <v>142</v>
      </c>
      <c r="W16" s="161">
        <f t="shared" si="4"/>
        <v>3.7332573382730119E-2</v>
      </c>
    </row>
    <row r="17" spans="1:23" x14ac:dyDescent="0.25">
      <c r="A17" s="1"/>
      <c r="B17" s="159" t="s">
        <v>123</v>
      </c>
      <c r="C17" s="160">
        <v>3364</v>
      </c>
      <c r="D17" s="160">
        <v>191</v>
      </c>
      <c r="E17" s="160">
        <v>4524</v>
      </c>
      <c r="F17" s="160">
        <v>3241</v>
      </c>
      <c r="G17" s="160">
        <v>3647</v>
      </c>
      <c r="H17" s="160">
        <v>3154</v>
      </c>
      <c r="I17" s="175">
        <f t="shared" si="6"/>
        <v>-0.13517959967096238</v>
      </c>
      <c r="J17" s="159">
        <f t="shared" si="1"/>
        <v>-493</v>
      </c>
      <c r="K17" s="161">
        <f t="shared" si="2"/>
        <v>3.6675697989464746E-2</v>
      </c>
      <c r="N17" s="159" t="s">
        <v>123</v>
      </c>
      <c r="O17" s="160">
        <v>108</v>
      </c>
      <c r="P17" s="160">
        <v>9</v>
      </c>
      <c r="Q17" s="160">
        <v>413</v>
      </c>
      <c r="R17" s="160">
        <v>300</v>
      </c>
      <c r="S17" s="160">
        <v>432</v>
      </c>
      <c r="T17" s="160">
        <v>283</v>
      </c>
      <c r="U17" s="175">
        <f t="shared" si="7"/>
        <v>-0.34490740740740744</v>
      </c>
      <c r="V17" s="159">
        <f t="shared" si="5"/>
        <v>-149</v>
      </c>
      <c r="W17" s="161">
        <f t="shared" si="4"/>
        <v>2.6883252588581742E-2</v>
      </c>
    </row>
    <row r="18" spans="1:23" x14ac:dyDescent="0.25">
      <c r="A18" s="1"/>
      <c r="B18" s="159" t="s">
        <v>119</v>
      </c>
      <c r="C18" s="160">
        <v>1354</v>
      </c>
      <c r="D18" s="160">
        <v>337</v>
      </c>
      <c r="E18" s="160">
        <v>1312</v>
      </c>
      <c r="F18" s="160">
        <v>1340</v>
      </c>
      <c r="G18" s="160">
        <v>1553</v>
      </c>
      <c r="H18" s="160">
        <v>1388</v>
      </c>
      <c r="I18" s="175">
        <f t="shared" si="6"/>
        <v>-0.10624597553122983</v>
      </c>
      <c r="J18" s="159">
        <f t="shared" si="1"/>
        <v>-165</v>
      </c>
      <c r="K18" s="161">
        <f t="shared" si="2"/>
        <v>1.6140097910392222E-2</v>
      </c>
      <c r="N18" s="159" t="s">
        <v>119</v>
      </c>
      <c r="O18" s="160">
        <v>54</v>
      </c>
      <c r="P18" s="160">
        <v>16</v>
      </c>
      <c r="Q18" s="160">
        <v>81</v>
      </c>
      <c r="R18" s="160">
        <v>56</v>
      </c>
      <c r="S18" s="160">
        <v>62</v>
      </c>
      <c r="T18" s="160">
        <v>82</v>
      </c>
      <c r="U18" s="175">
        <f t="shared" si="7"/>
        <v>0.32258064516129026</v>
      </c>
      <c r="V18" s="159">
        <f t="shared" si="5"/>
        <v>20</v>
      </c>
      <c r="W18" s="161">
        <f t="shared" si="4"/>
        <v>7.7894936829106106E-3</v>
      </c>
    </row>
    <row r="19" spans="1:23" x14ac:dyDescent="0.25">
      <c r="A19" s="158" t="s">
        <v>144</v>
      </c>
      <c r="B19" s="159" t="s">
        <v>128</v>
      </c>
      <c r="C19" s="160">
        <v>3940</v>
      </c>
      <c r="D19" s="160">
        <v>74</v>
      </c>
      <c r="E19" s="160">
        <v>3007</v>
      </c>
      <c r="F19" s="160">
        <v>3681</v>
      </c>
      <c r="G19" s="160">
        <v>3355</v>
      </c>
      <c r="H19" s="160">
        <v>2765</v>
      </c>
      <c r="I19" s="175">
        <f t="shared" si="6"/>
        <v>-0.17585692995529056</v>
      </c>
      <c r="J19" s="159">
        <f t="shared" si="1"/>
        <v>-590</v>
      </c>
      <c r="K19" s="161">
        <f t="shared" si="2"/>
        <v>3.2152284382013327E-2</v>
      </c>
      <c r="N19" s="159" t="s">
        <v>128</v>
      </c>
      <c r="O19" s="160">
        <v>565</v>
      </c>
      <c r="P19" s="160">
        <v>12</v>
      </c>
      <c r="Q19" s="160">
        <v>373</v>
      </c>
      <c r="R19" s="160">
        <v>722</v>
      </c>
      <c r="S19" s="160">
        <v>542</v>
      </c>
      <c r="T19" s="160">
        <v>460</v>
      </c>
      <c r="U19" s="175">
        <f t="shared" si="7"/>
        <v>-0.1512915129151291</v>
      </c>
      <c r="V19" s="159">
        <f t="shared" si="5"/>
        <v>-82</v>
      </c>
      <c r="W19" s="161">
        <f t="shared" si="4"/>
        <v>4.3697159684620498E-2</v>
      </c>
    </row>
    <row r="20" spans="1:23" x14ac:dyDescent="0.25">
      <c r="A20" s="163" t="s">
        <v>145</v>
      </c>
      <c r="B20" s="159" t="s">
        <v>131</v>
      </c>
      <c r="C20" s="160">
        <v>6993</v>
      </c>
      <c r="D20" s="160">
        <v>309</v>
      </c>
      <c r="E20" s="160">
        <v>3374</v>
      </c>
      <c r="F20" s="160">
        <v>4443</v>
      </c>
      <c r="G20" s="160">
        <v>5131</v>
      </c>
      <c r="H20" s="160">
        <v>3538</v>
      </c>
      <c r="I20" s="175">
        <f t="shared" si="6"/>
        <v>-0.31046579614110315</v>
      </c>
      <c r="J20" s="159">
        <f t="shared" si="1"/>
        <v>-1593</v>
      </c>
      <c r="K20" s="161">
        <f t="shared" si="2"/>
        <v>4.1140970033838389E-2</v>
      </c>
      <c r="N20" s="159" t="s">
        <v>131</v>
      </c>
      <c r="O20" s="160">
        <v>1193</v>
      </c>
      <c r="P20" s="160">
        <v>48</v>
      </c>
      <c r="Q20" s="160">
        <v>528</v>
      </c>
      <c r="R20" s="160">
        <v>981</v>
      </c>
      <c r="S20" s="160">
        <v>822</v>
      </c>
      <c r="T20" s="160">
        <v>698</v>
      </c>
      <c r="U20" s="175">
        <f t="shared" si="7"/>
        <v>-0.15085158150851585</v>
      </c>
      <c r="V20" s="159">
        <f t="shared" si="5"/>
        <v>-124</v>
      </c>
      <c r="W20" s="161">
        <f t="shared" si="4"/>
        <v>6.6305690130141537E-2</v>
      </c>
    </row>
    <row r="21" spans="1:23" x14ac:dyDescent="0.25">
      <c r="B21" s="164" t="s">
        <v>145</v>
      </c>
      <c r="C21" s="165">
        <f t="shared" ref="C21:H21" si="8">C13-SUM(C14:C20)</f>
        <v>26007</v>
      </c>
      <c r="D21" s="165">
        <f t="shared" si="8"/>
        <v>4313</v>
      </c>
      <c r="E21" s="165">
        <f t="shared" si="8"/>
        <v>21351</v>
      </c>
      <c r="F21" s="165">
        <f t="shared" si="8"/>
        <v>25110</v>
      </c>
      <c r="G21" s="165">
        <f t="shared" si="8"/>
        <v>26440</v>
      </c>
      <c r="H21" s="165">
        <f t="shared" si="8"/>
        <v>25862</v>
      </c>
      <c r="I21" s="176">
        <f t="shared" si="6"/>
        <v>-2.1860816944024197E-2</v>
      </c>
      <c r="J21" s="164">
        <f t="shared" si="1"/>
        <v>-578</v>
      </c>
      <c r="K21" s="166">
        <f t="shared" si="2"/>
        <v>0.30073142086351851</v>
      </c>
      <c r="N21" s="164" t="s">
        <v>145</v>
      </c>
      <c r="O21" s="165">
        <f t="shared" ref="O21:T21" si="9">O13-SUM(O14:O20)</f>
        <v>4255</v>
      </c>
      <c r="P21" s="165">
        <f t="shared" si="9"/>
        <v>381</v>
      </c>
      <c r="Q21" s="165">
        <f t="shared" si="9"/>
        <v>2687</v>
      </c>
      <c r="R21" s="165">
        <f t="shared" si="9"/>
        <v>3576</v>
      </c>
      <c r="S21" s="165">
        <f t="shared" si="9"/>
        <v>3587</v>
      </c>
      <c r="T21" s="165">
        <f t="shared" si="9"/>
        <v>3335</v>
      </c>
      <c r="U21" s="176">
        <f t="shared" si="7"/>
        <v>-7.025369389461944E-2</v>
      </c>
      <c r="V21" s="164">
        <f>T21-S21</f>
        <v>-252</v>
      </c>
      <c r="W21" s="166">
        <f t="shared" si="4"/>
        <v>0.3168044077134986</v>
      </c>
    </row>
    <row r="22" spans="1:23" x14ac:dyDescent="0.25">
      <c r="B22" s="151" t="s">
        <v>44</v>
      </c>
      <c r="C22" s="149"/>
      <c r="D22" s="149"/>
      <c r="E22" s="149"/>
      <c r="F22" s="149"/>
      <c r="G22" s="149"/>
      <c r="H22" s="149"/>
      <c r="I22" s="150"/>
      <c r="J22" s="150"/>
      <c r="K22" s="149"/>
    </row>
    <row r="23" spans="1:23" x14ac:dyDescent="0.25">
      <c r="B23" s="152" t="s">
        <v>68</v>
      </c>
      <c r="C23" s="172">
        <f t="shared" ref="C23:H23" si="10">C24+C27</f>
        <v>26721</v>
      </c>
      <c r="D23" s="172">
        <f t="shared" si="10"/>
        <v>3080</v>
      </c>
      <c r="E23" s="172">
        <f t="shared" si="10"/>
        <v>13744</v>
      </c>
      <c r="F23" s="172">
        <f t="shared" si="10"/>
        <v>23642</v>
      </c>
      <c r="G23" s="172">
        <f t="shared" si="10"/>
        <v>28011</v>
      </c>
      <c r="H23" s="172">
        <f t="shared" si="10"/>
        <v>25205</v>
      </c>
      <c r="I23" s="173">
        <f>IFERROR(H23/G23-1,"-")</f>
        <v>-0.10017493127699828</v>
      </c>
      <c r="J23" s="172">
        <f>H23-G23</f>
        <v>-2806</v>
      </c>
      <c r="K23" s="173">
        <f t="shared" ref="K23:K35" si="11">H23/H$9</f>
        <v>0.29309161947509799</v>
      </c>
    </row>
    <row r="24" spans="1:23" x14ac:dyDescent="0.25">
      <c r="B24" s="155" t="s">
        <v>97</v>
      </c>
      <c r="C24" s="156">
        <v>1365</v>
      </c>
      <c r="D24" s="156">
        <v>773</v>
      </c>
      <c r="E24" s="156">
        <v>936</v>
      </c>
      <c r="F24" s="156">
        <v>1564</v>
      </c>
      <c r="G24" s="156">
        <v>1124</v>
      </c>
      <c r="H24" s="156">
        <v>1589</v>
      </c>
      <c r="I24" s="174">
        <f>IFERROR(H24/G24-1,"-")</f>
        <v>0.41370106761565828</v>
      </c>
      <c r="J24" s="155">
        <f t="shared" ref="J24:J34" si="12">H24-G24</f>
        <v>465</v>
      </c>
      <c r="K24" s="157">
        <f t="shared" si="11"/>
        <v>1.8477388746119049E-2</v>
      </c>
    </row>
    <row r="25" spans="1:23" x14ac:dyDescent="0.25">
      <c r="B25" s="159" t="s">
        <v>103</v>
      </c>
      <c r="C25" s="160">
        <v>1068</v>
      </c>
      <c r="D25" s="160">
        <v>603</v>
      </c>
      <c r="E25" s="160">
        <v>605</v>
      </c>
      <c r="F25" s="160">
        <v>1143</v>
      </c>
      <c r="G25" s="160">
        <v>383</v>
      </c>
      <c r="H25" s="160">
        <v>983</v>
      </c>
      <c r="I25" s="175">
        <f>IFERROR(H25/G25-1,"-")</f>
        <v>1.5665796344647518</v>
      </c>
      <c r="J25" s="159">
        <f t="shared" si="12"/>
        <v>600</v>
      </c>
      <c r="K25" s="161">
        <f t="shared" si="11"/>
        <v>1.1430631301091898E-2</v>
      </c>
    </row>
    <row r="26" spans="1:23" x14ac:dyDescent="0.25">
      <c r="B26" s="159" t="s">
        <v>100</v>
      </c>
      <c r="C26" s="160">
        <v>297</v>
      </c>
      <c r="D26" s="160">
        <v>170</v>
      </c>
      <c r="E26" s="160">
        <v>331</v>
      </c>
      <c r="F26" s="160">
        <v>421</v>
      </c>
      <c r="G26" s="160">
        <v>741</v>
      </c>
      <c r="H26" s="160">
        <v>606</v>
      </c>
      <c r="I26" s="175">
        <f>IFERROR(H26/G26-1,"-")</f>
        <v>-0.18218623481781382</v>
      </c>
      <c r="J26" s="159">
        <f t="shared" si="12"/>
        <v>-135</v>
      </c>
      <c r="K26" s="161">
        <f t="shared" si="11"/>
        <v>7.0467574450271521E-3</v>
      </c>
    </row>
    <row r="27" spans="1:23" x14ac:dyDescent="0.25">
      <c r="B27" s="155" t="s">
        <v>107</v>
      </c>
      <c r="C27" s="156">
        <v>25356</v>
      </c>
      <c r="D27" s="156">
        <v>2307</v>
      </c>
      <c r="E27" s="156">
        <v>12808</v>
      </c>
      <c r="F27" s="156">
        <v>22078</v>
      </c>
      <c r="G27" s="156">
        <v>26887</v>
      </c>
      <c r="H27" s="156">
        <v>23616</v>
      </c>
      <c r="I27" s="174">
        <f>IFERROR(H27/G27-1,"-")</f>
        <v>-0.12165730650500239</v>
      </c>
      <c r="J27" s="155">
        <f t="shared" si="12"/>
        <v>-3271</v>
      </c>
      <c r="K27" s="157">
        <f t="shared" si="11"/>
        <v>0.27461423072897889</v>
      </c>
    </row>
    <row r="28" spans="1:23" x14ac:dyDescent="0.25">
      <c r="B28" s="159" t="s">
        <v>110</v>
      </c>
      <c r="C28" s="160">
        <v>13383</v>
      </c>
      <c r="D28" s="160">
        <v>370</v>
      </c>
      <c r="E28" s="160">
        <v>4925</v>
      </c>
      <c r="F28" s="160">
        <v>10556</v>
      </c>
      <c r="G28" s="160">
        <v>13523</v>
      </c>
      <c r="H28" s="160">
        <v>13194</v>
      </c>
      <c r="I28" s="175">
        <f t="shared" ref="I28:I35" si="13">IFERROR(H28/G28-1,"-")</f>
        <v>-2.43289210973896E-2</v>
      </c>
      <c r="J28" s="159">
        <f t="shared" si="12"/>
        <v>-329</v>
      </c>
      <c r="K28" s="161">
        <f t="shared" si="11"/>
        <v>0.15342395664965056</v>
      </c>
    </row>
    <row r="29" spans="1:23" x14ac:dyDescent="0.25">
      <c r="B29" s="159" t="s">
        <v>113</v>
      </c>
      <c r="C29" s="160">
        <v>2217</v>
      </c>
      <c r="D29" s="160">
        <v>181</v>
      </c>
      <c r="E29" s="160">
        <v>846</v>
      </c>
      <c r="F29" s="160">
        <v>1090</v>
      </c>
      <c r="G29" s="160">
        <v>1443</v>
      </c>
      <c r="H29" s="160">
        <v>1200</v>
      </c>
      <c r="I29" s="175">
        <f t="shared" si="13"/>
        <v>-0.16839916839916835</v>
      </c>
      <c r="J29" s="159">
        <f t="shared" si="12"/>
        <v>-243</v>
      </c>
      <c r="K29" s="161">
        <f t="shared" si="11"/>
        <v>1.3953975138667628E-2</v>
      </c>
    </row>
    <row r="30" spans="1:23" x14ac:dyDescent="0.25">
      <c r="B30" s="159" t="s">
        <v>116</v>
      </c>
      <c r="C30" s="160">
        <v>551</v>
      </c>
      <c r="D30" s="160">
        <v>329</v>
      </c>
      <c r="E30" s="160">
        <v>731</v>
      </c>
      <c r="F30" s="160">
        <v>1128</v>
      </c>
      <c r="G30" s="160">
        <v>1851</v>
      </c>
      <c r="H30" s="160">
        <v>800</v>
      </c>
      <c r="I30" s="175">
        <f t="shared" si="13"/>
        <v>-0.56780118854673156</v>
      </c>
      <c r="J30" s="159">
        <f t="shared" si="12"/>
        <v>-1051</v>
      </c>
      <c r="K30" s="161">
        <f t="shared" si="11"/>
        <v>9.3026500924450854E-3</v>
      </c>
    </row>
    <row r="31" spans="1:23" x14ac:dyDescent="0.25">
      <c r="B31" s="159" t="s">
        <v>123</v>
      </c>
      <c r="C31" s="160">
        <v>941</v>
      </c>
      <c r="D31" s="160">
        <v>47</v>
      </c>
      <c r="E31" s="160">
        <v>855</v>
      </c>
      <c r="F31" s="160">
        <v>1088</v>
      </c>
      <c r="G31" s="160">
        <v>1041</v>
      </c>
      <c r="H31" s="160">
        <v>741</v>
      </c>
      <c r="I31" s="175">
        <f t="shared" si="13"/>
        <v>-0.28818443804034577</v>
      </c>
      <c r="J31" s="159">
        <f t="shared" si="12"/>
        <v>-300</v>
      </c>
      <c r="K31" s="161">
        <f t="shared" si="11"/>
        <v>8.6165796481272594E-3</v>
      </c>
    </row>
    <row r="32" spans="1:23" x14ac:dyDescent="0.25">
      <c r="B32" s="159" t="s">
        <v>119</v>
      </c>
      <c r="C32" s="160">
        <v>544</v>
      </c>
      <c r="D32" s="160">
        <v>109</v>
      </c>
      <c r="E32" s="160">
        <v>397</v>
      </c>
      <c r="F32" s="160">
        <v>448</v>
      </c>
      <c r="G32" s="160">
        <v>498</v>
      </c>
      <c r="H32" s="160">
        <v>443</v>
      </c>
      <c r="I32" s="175">
        <f t="shared" si="13"/>
        <v>-0.11044176706827313</v>
      </c>
      <c r="J32" s="159">
        <f t="shared" si="12"/>
        <v>-55</v>
      </c>
      <c r="K32" s="161">
        <f t="shared" si="11"/>
        <v>5.1513424886914664E-3</v>
      </c>
    </row>
    <row r="33" spans="2:11" x14ac:dyDescent="0.25">
      <c r="B33" s="159" t="s">
        <v>128</v>
      </c>
      <c r="C33" s="160">
        <v>734</v>
      </c>
      <c r="D33" s="160">
        <v>5</v>
      </c>
      <c r="E33" s="160">
        <v>361</v>
      </c>
      <c r="F33" s="160">
        <v>629</v>
      </c>
      <c r="G33" s="160">
        <v>478</v>
      </c>
      <c r="H33" s="160">
        <v>478</v>
      </c>
      <c r="I33" s="175">
        <f t="shared" si="13"/>
        <v>0</v>
      </c>
      <c r="J33" s="159">
        <f t="shared" si="12"/>
        <v>0</v>
      </c>
      <c r="K33" s="161">
        <f t="shared" si="11"/>
        <v>5.5583334302359384E-3</v>
      </c>
    </row>
    <row r="34" spans="2:11" x14ac:dyDescent="0.25">
      <c r="B34" s="159" t="s">
        <v>131</v>
      </c>
      <c r="C34" s="160">
        <v>742</v>
      </c>
      <c r="D34" s="160">
        <v>15</v>
      </c>
      <c r="E34" s="160">
        <v>296</v>
      </c>
      <c r="F34" s="160">
        <v>713</v>
      </c>
      <c r="G34" s="160">
        <v>601</v>
      </c>
      <c r="H34" s="160">
        <v>285</v>
      </c>
      <c r="I34" s="175">
        <f t="shared" si="13"/>
        <v>-0.52579034941763725</v>
      </c>
      <c r="J34" s="159">
        <f t="shared" si="12"/>
        <v>-316</v>
      </c>
      <c r="K34" s="161">
        <f t="shared" si="11"/>
        <v>3.3140690954335614E-3</v>
      </c>
    </row>
    <row r="35" spans="2:11" x14ac:dyDescent="0.25">
      <c r="B35" s="164" t="s">
        <v>145</v>
      </c>
      <c r="C35" s="165">
        <f t="shared" ref="C35:H35" si="14">C27-SUM(C28:C34)</f>
        <v>6244</v>
      </c>
      <c r="D35" s="165">
        <f t="shared" si="14"/>
        <v>1251</v>
      </c>
      <c r="E35" s="165">
        <f t="shared" si="14"/>
        <v>4397</v>
      </c>
      <c r="F35" s="165">
        <f t="shared" si="14"/>
        <v>6426</v>
      </c>
      <c r="G35" s="165">
        <f t="shared" si="14"/>
        <v>7452</v>
      </c>
      <c r="H35" s="165">
        <f t="shared" si="14"/>
        <v>6475</v>
      </c>
      <c r="I35" s="176">
        <f t="shared" si="13"/>
        <v>-0.13110574342458403</v>
      </c>
      <c r="J35" s="164">
        <f>H35-G35</f>
        <v>-977</v>
      </c>
      <c r="K35" s="166">
        <f t="shared" si="11"/>
        <v>7.5293324185727414E-2</v>
      </c>
    </row>
    <row r="36" spans="2:11" x14ac:dyDescent="0.25">
      <c r="B36" s="151" t="s">
        <v>45</v>
      </c>
      <c r="C36" s="149"/>
      <c r="D36" s="149"/>
      <c r="E36" s="149"/>
      <c r="F36" s="149"/>
      <c r="G36" s="149"/>
      <c r="H36" s="149"/>
      <c r="I36" s="150"/>
      <c r="J36" s="150"/>
      <c r="K36" s="149"/>
    </row>
    <row r="37" spans="2:11" x14ac:dyDescent="0.25">
      <c r="B37" s="152" t="s">
        <v>68</v>
      </c>
      <c r="C37" s="172">
        <f t="shared" ref="C37:H37" si="15">C38+C41</f>
        <v>42263</v>
      </c>
      <c r="D37" s="172">
        <f t="shared" si="15"/>
        <v>5938</v>
      </c>
      <c r="E37" s="172">
        <f t="shared" si="15"/>
        <v>32894</v>
      </c>
      <c r="F37" s="172">
        <f t="shared" si="15"/>
        <v>38836</v>
      </c>
      <c r="G37" s="172">
        <f t="shared" si="15"/>
        <v>40090</v>
      </c>
      <c r="H37" s="172">
        <f t="shared" si="15"/>
        <v>39280</v>
      </c>
      <c r="I37" s="173">
        <f>IFERROR(H37/G37-1,"-")</f>
        <v>-2.0204539785482645E-2</v>
      </c>
      <c r="J37" s="172">
        <f>H37-G37</f>
        <v>-810</v>
      </c>
      <c r="K37" s="173">
        <f t="shared" ref="K37:K49" si="16">H37/H$9</f>
        <v>0.45676011953905371</v>
      </c>
    </row>
    <row r="38" spans="2:11" x14ac:dyDescent="0.25">
      <c r="B38" s="155" t="s">
        <v>97</v>
      </c>
      <c r="C38" s="156">
        <v>1624</v>
      </c>
      <c r="D38" s="156">
        <v>1595</v>
      </c>
      <c r="E38" s="156">
        <v>1216</v>
      </c>
      <c r="F38" s="156">
        <v>1410</v>
      </c>
      <c r="G38" s="156">
        <v>1270</v>
      </c>
      <c r="H38" s="156">
        <v>1358</v>
      </c>
      <c r="I38" s="174">
        <f>IFERROR(H38/G38-1,"-")</f>
        <v>6.929133858267722E-2</v>
      </c>
      <c r="J38" s="155">
        <f t="shared" ref="J38:J48" si="17">H38-G38</f>
        <v>88</v>
      </c>
      <c r="K38" s="157">
        <f t="shared" si="16"/>
        <v>1.5791248531925532E-2</v>
      </c>
    </row>
    <row r="39" spans="2:11" x14ac:dyDescent="0.25">
      <c r="B39" s="159" t="s">
        <v>103</v>
      </c>
      <c r="C39" s="160">
        <v>1109</v>
      </c>
      <c r="D39" s="160">
        <v>1460</v>
      </c>
      <c r="E39" s="160">
        <v>712</v>
      </c>
      <c r="F39" s="160">
        <v>718</v>
      </c>
      <c r="G39" s="160">
        <v>578</v>
      </c>
      <c r="H39" s="160">
        <v>584</v>
      </c>
      <c r="I39" s="175">
        <f>IFERROR(H39/G39-1,"-")</f>
        <v>1.0380622837370179E-2</v>
      </c>
      <c r="J39" s="159">
        <f t="shared" si="17"/>
        <v>6</v>
      </c>
      <c r="K39" s="161">
        <f t="shared" si="16"/>
        <v>6.7909345674849126E-3</v>
      </c>
    </row>
    <row r="40" spans="2:11" x14ac:dyDescent="0.25">
      <c r="B40" s="159" t="s">
        <v>100</v>
      </c>
      <c r="C40" s="160">
        <v>515</v>
      </c>
      <c r="D40" s="160">
        <v>135</v>
      </c>
      <c r="E40" s="160">
        <v>504</v>
      </c>
      <c r="F40" s="160">
        <v>692</v>
      </c>
      <c r="G40" s="160">
        <v>692</v>
      </c>
      <c r="H40" s="160">
        <v>774</v>
      </c>
      <c r="I40" s="175">
        <f>IFERROR(H40/G40-1,"-")</f>
        <v>0.11849710982658967</v>
      </c>
      <c r="J40" s="159">
        <f t="shared" si="17"/>
        <v>82</v>
      </c>
      <c r="K40" s="161">
        <f t="shared" si="16"/>
        <v>9.0003139644406205E-3</v>
      </c>
    </row>
    <row r="41" spans="2:11" x14ac:dyDescent="0.25">
      <c r="B41" s="155" t="s">
        <v>107</v>
      </c>
      <c r="C41" s="156">
        <v>40639</v>
      </c>
      <c r="D41" s="156">
        <v>4343</v>
      </c>
      <c r="E41" s="156">
        <v>31678</v>
      </c>
      <c r="F41" s="156">
        <v>37426</v>
      </c>
      <c r="G41" s="156">
        <v>38820</v>
      </c>
      <c r="H41" s="156">
        <v>37922</v>
      </c>
      <c r="I41" s="174">
        <f>IFERROR(H41/G41-1,"-")</f>
        <v>-2.313240597630084E-2</v>
      </c>
      <c r="J41" s="155">
        <f t="shared" si="17"/>
        <v>-898</v>
      </c>
      <c r="K41" s="157">
        <f t="shared" si="16"/>
        <v>0.44096887100712817</v>
      </c>
    </row>
    <row r="42" spans="2:11" x14ac:dyDescent="0.25">
      <c r="B42" s="159" t="s">
        <v>110</v>
      </c>
      <c r="C42" s="160">
        <v>17205</v>
      </c>
      <c r="D42" s="160">
        <v>335</v>
      </c>
      <c r="E42" s="160">
        <v>10200</v>
      </c>
      <c r="F42" s="160">
        <v>15978</v>
      </c>
      <c r="G42" s="160">
        <v>16987</v>
      </c>
      <c r="H42" s="160">
        <v>17339</v>
      </c>
      <c r="I42" s="175">
        <f t="shared" ref="I42:I49" si="18">IFERROR(H42/G42-1,"-")</f>
        <v>2.0721728380526327E-2</v>
      </c>
      <c r="J42" s="159">
        <f t="shared" si="17"/>
        <v>352</v>
      </c>
      <c r="K42" s="161">
        <f t="shared" si="16"/>
        <v>0.20162331244113166</v>
      </c>
    </row>
    <row r="43" spans="2:11" x14ac:dyDescent="0.25">
      <c r="B43" s="159" t="s">
        <v>113</v>
      </c>
      <c r="C43" s="160">
        <v>1381</v>
      </c>
      <c r="D43" s="160">
        <v>364</v>
      </c>
      <c r="E43" s="160">
        <v>950</v>
      </c>
      <c r="F43" s="160">
        <v>1047</v>
      </c>
      <c r="G43" s="160">
        <v>1083</v>
      </c>
      <c r="H43" s="160">
        <v>1253</v>
      </c>
      <c r="I43" s="175">
        <f t="shared" si="18"/>
        <v>0.15697137580794096</v>
      </c>
      <c r="J43" s="159">
        <f t="shared" si="17"/>
        <v>170</v>
      </c>
      <c r="K43" s="161">
        <f t="shared" si="16"/>
        <v>1.4570275707292114E-2</v>
      </c>
    </row>
    <row r="44" spans="2:11" x14ac:dyDescent="0.25">
      <c r="B44" s="159" t="s">
        <v>116</v>
      </c>
      <c r="C44" s="160">
        <v>552</v>
      </c>
      <c r="D44" s="160">
        <v>512</v>
      </c>
      <c r="E44" s="160">
        <v>685</v>
      </c>
      <c r="F44" s="160">
        <v>515</v>
      </c>
      <c r="G44" s="160">
        <v>630</v>
      </c>
      <c r="H44" s="160">
        <v>551</v>
      </c>
      <c r="I44" s="175">
        <f t="shared" si="18"/>
        <v>-0.1253968253968254</v>
      </c>
      <c r="J44" s="159">
        <f t="shared" si="17"/>
        <v>-79</v>
      </c>
      <c r="K44" s="161">
        <f t="shared" si="16"/>
        <v>6.4072002511715524E-3</v>
      </c>
    </row>
    <row r="45" spans="2:11" x14ac:dyDescent="0.25">
      <c r="B45" s="159" t="s">
        <v>123</v>
      </c>
      <c r="C45" s="160">
        <v>2016</v>
      </c>
      <c r="D45" s="160">
        <v>132</v>
      </c>
      <c r="E45" s="160">
        <v>2412</v>
      </c>
      <c r="F45" s="160">
        <v>1633</v>
      </c>
      <c r="G45" s="160">
        <v>1773</v>
      </c>
      <c r="H45" s="160">
        <v>1593</v>
      </c>
      <c r="I45" s="175">
        <f t="shared" si="18"/>
        <v>-0.10152284263959388</v>
      </c>
      <c r="J45" s="159">
        <f t="shared" si="17"/>
        <v>-180</v>
      </c>
      <c r="K45" s="161">
        <f t="shared" si="16"/>
        <v>1.8523901996581275E-2</v>
      </c>
    </row>
    <row r="46" spans="2:11" x14ac:dyDescent="0.25">
      <c r="B46" s="159" t="s">
        <v>119</v>
      </c>
      <c r="C46" s="160">
        <v>544</v>
      </c>
      <c r="D46" s="160">
        <v>209</v>
      </c>
      <c r="E46" s="160">
        <v>721</v>
      </c>
      <c r="F46" s="160">
        <v>668</v>
      </c>
      <c r="G46" s="160">
        <v>840</v>
      </c>
      <c r="H46" s="160">
        <v>744</v>
      </c>
      <c r="I46" s="175">
        <f t="shared" si="18"/>
        <v>-0.11428571428571432</v>
      </c>
      <c r="J46" s="159">
        <f t="shared" si="17"/>
        <v>-96</v>
      </c>
      <c r="K46" s="161">
        <f t="shared" si="16"/>
        <v>8.6514645859739302E-3</v>
      </c>
    </row>
    <row r="47" spans="2:11" x14ac:dyDescent="0.25">
      <c r="B47" s="159" t="s">
        <v>128</v>
      </c>
      <c r="C47" s="160">
        <v>2366</v>
      </c>
      <c r="D47" s="160">
        <v>42</v>
      </c>
      <c r="E47" s="160">
        <v>2037</v>
      </c>
      <c r="F47" s="160">
        <v>2112</v>
      </c>
      <c r="G47" s="160">
        <v>2147</v>
      </c>
      <c r="H47" s="160">
        <v>1465</v>
      </c>
      <c r="I47" s="175">
        <f t="shared" si="18"/>
        <v>-0.31765253842571028</v>
      </c>
      <c r="J47" s="159">
        <f t="shared" si="17"/>
        <v>-682</v>
      </c>
      <c r="K47" s="161">
        <f t="shared" si="16"/>
        <v>1.7035477981790063E-2</v>
      </c>
    </row>
    <row r="48" spans="2:11" x14ac:dyDescent="0.25">
      <c r="B48" s="159" t="s">
        <v>131</v>
      </c>
      <c r="C48" s="160">
        <v>4561</v>
      </c>
      <c r="D48" s="160">
        <v>246</v>
      </c>
      <c r="E48" s="160">
        <v>2377</v>
      </c>
      <c r="F48" s="160">
        <v>2653</v>
      </c>
      <c r="G48" s="160">
        <v>3091</v>
      </c>
      <c r="H48" s="160">
        <v>1980</v>
      </c>
      <c r="I48" s="175">
        <f t="shared" si="18"/>
        <v>-0.35943060498220636</v>
      </c>
      <c r="J48" s="159">
        <f t="shared" si="17"/>
        <v>-1111</v>
      </c>
      <c r="K48" s="161">
        <f t="shared" si="16"/>
        <v>2.3024058978801585E-2</v>
      </c>
    </row>
    <row r="49" spans="2:11" x14ac:dyDescent="0.25">
      <c r="B49" s="164" t="s">
        <v>145</v>
      </c>
      <c r="C49" s="165">
        <f t="shared" ref="C49:H49" si="19">C41-SUM(C42:C48)</f>
        <v>12014</v>
      </c>
      <c r="D49" s="165">
        <f t="shared" si="19"/>
        <v>2503</v>
      </c>
      <c r="E49" s="165">
        <f t="shared" si="19"/>
        <v>12296</v>
      </c>
      <c r="F49" s="165">
        <f t="shared" si="19"/>
        <v>12820</v>
      </c>
      <c r="G49" s="165">
        <f t="shared" si="19"/>
        <v>12269</v>
      </c>
      <c r="H49" s="165">
        <f t="shared" si="19"/>
        <v>12997</v>
      </c>
      <c r="I49" s="176">
        <f t="shared" si="18"/>
        <v>5.9336539245252284E-2</v>
      </c>
      <c r="J49" s="164">
        <f>H49-G49</f>
        <v>728</v>
      </c>
      <c r="K49" s="166">
        <f t="shared" si="16"/>
        <v>0.15113317906438598</v>
      </c>
    </row>
    <row r="50" spans="2:11" x14ac:dyDescent="0.25">
      <c r="B50" s="151" t="s">
        <v>46</v>
      </c>
      <c r="C50" s="149"/>
      <c r="D50" s="149"/>
      <c r="E50" s="149"/>
      <c r="F50" s="149"/>
      <c r="G50" s="149"/>
      <c r="H50" s="149"/>
      <c r="I50" s="150"/>
      <c r="J50" s="150"/>
      <c r="K50" s="149"/>
    </row>
    <row r="51" spans="2:11" x14ac:dyDescent="0.25">
      <c r="B51" s="152" t="s">
        <v>68</v>
      </c>
      <c r="C51" s="172">
        <f t="shared" ref="C51:H51" si="20">IFERROR(C52+C55,"nd")</f>
        <v>748</v>
      </c>
      <c r="D51" s="172">
        <f t="shared" si="20"/>
        <v>0</v>
      </c>
      <c r="E51" s="172">
        <f t="shared" si="20"/>
        <v>0</v>
      </c>
      <c r="F51" s="172">
        <f t="shared" si="20"/>
        <v>0</v>
      </c>
      <c r="G51" s="172">
        <f t="shared" si="20"/>
        <v>0</v>
      </c>
      <c r="H51" s="172">
        <f t="shared" si="20"/>
        <v>0</v>
      </c>
      <c r="I51" s="173" t="str">
        <f>IFERROR(H51/G51-1,"-")</f>
        <v>-</v>
      </c>
      <c r="J51" s="172">
        <f>H51-G51</f>
        <v>0</v>
      </c>
      <c r="K51" s="173">
        <f t="shared" ref="K51:K63" si="21">H51/H$9</f>
        <v>0</v>
      </c>
    </row>
    <row r="52" spans="2:11" x14ac:dyDescent="0.25">
      <c r="B52" s="155" t="s">
        <v>97</v>
      </c>
      <c r="C52" s="156">
        <v>152</v>
      </c>
      <c r="D52" s="156">
        <v>0</v>
      </c>
      <c r="E52" s="156">
        <v>0</v>
      </c>
      <c r="F52" s="156">
        <v>0</v>
      </c>
      <c r="G52" s="156">
        <v>0</v>
      </c>
      <c r="H52" s="156">
        <v>0</v>
      </c>
      <c r="I52" s="174" t="str">
        <f>IFERROR(H52/G52-1,"-")</f>
        <v>-</v>
      </c>
      <c r="J52" s="155">
        <f t="shared" ref="J52:J62" si="22">H52-G52</f>
        <v>0</v>
      </c>
      <c r="K52" s="157">
        <f t="shared" si="21"/>
        <v>0</v>
      </c>
    </row>
    <row r="53" spans="2:11" x14ac:dyDescent="0.25">
      <c r="B53" s="159" t="s">
        <v>103</v>
      </c>
      <c r="C53" s="160">
        <v>83</v>
      </c>
      <c r="D53" s="160">
        <v>0</v>
      </c>
      <c r="E53" s="160">
        <v>0</v>
      </c>
      <c r="F53" s="160">
        <v>0</v>
      </c>
      <c r="G53" s="160">
        <v>0</v>
      </c>
      <c r="H53" s="160">
        <v>0</v>
      </c>
      <c r="I53" s="175" t="str">
        <f>IFERROR(H53/G53-1,"-")</f>
        <v>-</v>
      </c>
      <c r="J53" s="159">
        <f t="shared" si="22"/>
        <v>0</v>
      </c>
      <c r="K53" s="161">
        <f t="shared" si="21"/>
        <v>0</v>
      </c>
    </row>
    <row r="54" spans="2:11" x14ac:dyDescent="0.25">
      <c r="B54" s="159" t="s">
        <v>100</v>
      </c>
      <c r="C54" s="160">
        <v>69</v>
      </c>
      <c r="D54" s="160">
        <v>0</v>
      </c>
      <c r="E54" s="160">
        <v>0</v>
      </c>
      <c r="F54" s="160">
        <v>0</v>
      </c>
      <c r="G54" s="160">
        <v>0</v>
      </c>
      <c r="H54" s="160">
        <v>0</v>
      </c>
      <c r="I54" s="175" t="str">
        <f>IFERROR(H54/G54-1,"-")</f>
        <v>-</v>
      </c>
      <c r="J54" s="159">
        <f t="shared" si="22"/>
        <v>0</v>
      </c>
      <c r="K54" s="161">
        <f t="shared" si="21"/>
        <v>0</v>
      </c>
    </row>
    <row r="55" spans="2:11" x14ac:dyDescent="0.25">
      <c r="B55" s="155" t="s">
        <v>107</v>
      </c>
      <c r="C55" s="156">
        <v>596</v>
      </c>
      <c r="D55" s="156">
        <v>0</v>
      </c>
      <c r="E55" s="156">
        <v>0</v>
      </c>
      <c r="F55" s="156">
        <v>0</v>
      </c>
      <c r="G55" s="156">
        <v>0</v>
      </c>
      <c r="H55" s="156">
        <v>0</v>
      </c>
      <c r="I55" s="174" t="str">
        <f>IFERROR(H55/G55-1,"-")</f>
        <v>-</v>
      </c>
      <c r="J55" s="155">
        <f t="shared" si="22"/>
        <v>0</v>
      </c>
      <c r="K55" s="157">
        <f t="shared" si="21"/>
        <v>0</v>
      </c>
    </row>
    <row r="56" spans="2:11" x14ac:dyDescent="0.25">
      <c r="B56" s="159" t="s">
        <v>110</v>
      </c>
      <c r="C56" s="160">
        <v>184</v>
      </c>
      <c r="D56" s="160">
        <v>0</v>
      </c>
      <c r="E56" s="160">
        <v>0</v>
      </c>
      <c r="F56" s="160">
        <v>0</v>
      </c>
      <c r="G56" s="160">
        <v>0</v>
      </c>
      <c r="H56" s="160">
        <v>0</v>
      </c>
      <c r="I56" s="175" t="str">
        <f t="shared" ref="I56:I63" si="23">IFERROR(H56/G56-1,"-")</f>
        <v>-</v>
      </c>
      <c r="J56" s="159">
        <f t="shared" si="22"/>
        <v>0</v>
      </c>
      <c r="K56" s="161">
        <f t="shared" si="21"/>
        <v>0</v>
      </c>
    </row>
    <row r="57" spans="2:11" x14ac:dyDescent="0.25">
      <c r="B57" s="159" t="s">
        <v>113</v>
      </c>
      <c r="C57" s="160">
        <v>47</v>
      </c>
      <c r="D57" s="160">
        <v>0</v>
      </c>
      <c r="E57" s="160">
        <v>0</v>
      </c>
      <c r="F57" s="160">
        <v>0</v>
      </c>
      <c r="G57" s="160">
        <v>0</v>
      </c>
      <c r="H57" s="160">
        <v>0</v>
      </c>
      <c r="I57" s="175" t="str">
        <f t="shared" si="23"/>
        <v>-</v>
      </c>
      <c r="J57" s="159">
        <f t="shared" si="22"/>
        <v>0</v>
      </c>
      <c r="K57" s="161">
        <f t="shared" si="21"/>
        <v>0</v>
      </c>
    </row>
    <row r="58" spans="2:11" x14ac:dyDescent="0.25">
      <c r="B58" s="159" t="s">
        <v>116</v>
      </c>
      <c r="C58" s="160">
        <v>17</v>
      </c>
      <c r="D58" s="160">
        <v>0</v>
      </c>
      <c r="E58" s="160">
        <v>0</v>
      </c>
      <c r="F58" s="160">
        <v>0</v>
      </c>
      <c r="G58" s="160">
        <v>0</v>
      </c>
      <c r="H58" s="160">
        <v>0</v>
      </c>
      <c r="I58" s="175" t="str">
        <f t="shared" si="23"/>
        <v>-</v>
      </c>
      <c r="J58" s="159">
        <f t="shared" si="22"/>
        <v>0</v>
      </c>
      <c r="K58" s="161">
        <f t="shared" si="21"/>
        <v>0</v>
      </c>
    </row>
    <row r="59" spans="2:11" x14ac:dyDescent="0.25">
      <c r="B59" s="159" t="s">
        <v>123</v>
      </c>
      <c r="C59" s="160">
        <v>13</v>
      </c>
      <c r="D59" s="160">
        <v>0</v>
      </c>
      <c r="E59" s="160">
        <v>0</v>
      </c>
      <c r="F59" s="160">
        <v>0</v>
      </c>
      <c r="G59" s="160">
        <v>0</v>
      </c>
      <c r="H59" s="160">
        <v>0</v>
      </c>
      <c r="I59" s="175" t="str">
        <f t="shared" si="23"/>
        <v>-</v>
      </c>
      <c r="J59" s="159">
        <f t="shared" si="22"/>
        <v>0</v>
      </c>
      <c r="K59" s="161">
        <f t="shared" si="21"/>
        <v>0</v>
      </c>
    </row>
    <row r="60" spans="2:11" x14ac:dyDescent="0.25">
      <c r="B60" s="159" t="s">
        <v>119</v>
      </c>
      <c r="C60" s="160">
        <v>20</v>
      </c>
      <c r="D60" s="160">
        <v>0</v>
      </c>
      <c r="E60" s="160">
        <v>0</v>
      </c>
      <c r="F60" s="160">
        <v>0</v>
      </c>
      <c r="G60" s="160">
        <v>0</v>
      </c>
      <c r="H60" s="160">
        <v>0</v>
      </c>
      <c r="I60" s="175" t="str">
        <f t="shared" si="23"/>
        <v>-</v>
      </c>
      <c r="J60" s="159">
        <f t="shared" si="22"/>
        <v>0</v>
      </c>
      <c r="K60" s="161">
        <f t="shared" si="21"/>
        <v>0</v>
      </c>
    </row>
    <row r="61" spans="2:11" x14ac:dyDescent="0.25">
      <c r="B61" s="159" t="s">
        <v>128</v>
      </c>
      <c r="C61" s="160">
        <v>40</v>
      </c>
      <c r="D61" s="160">
        <v>0</v>
      </c>
      <c r="E61" s="160">
        <v>0</v>
      </c>
      <c r="F61" s="160">
        <v>0</v>
      </c>
      <c r="G61" s="160">
        <v>0</v>
      </c>
      <c r="H61" s="160">
        <v>0</v>
      </c>
      <c r="I61" s="175" t="str">
        <f t="shared" si="23"/>
        <v>-</v>
      </c>
      <c r="J61" s="159">
        <f t="shared" si="22"/>
        <v>0</v>
      </c>
      <c r="K61" s="161">
        <f t="shared" si="21"/>
        <v>0</v>
      </c>
    </row>
    <row r="62" spans="2:11" x14ac:dyDescent="0.25">
      <c r="B62" s="159" t="s">
        <v>131</v>
      </c>
      <c r="C62" s="160">
        <v>75</v>
      </c>
      <c r="D62" s="160">
        <v>0</v>
      </c>
      <c r="E62" s="160">
        <v>0</v>
      </c>
      <c r="F62" s="160">
        <v>0</v>
      </c>
      <c r="G62" s="160">
        <v>0</v>
      </c>
      <c r="H62" s="160">
        <v>0</v>
      </c>
      <c r="I62" s="175" t="str">
        <f t="shared" si="23"/>
        <v>-</v>
      </c>
      <c r="J62" s="159">
        <f t="shared" si="22"/>
        <v>0</v>
      </c>
      <c r="K62" s="161">
        <f t="shared" si="21"/>
        <v>0</v>
      </c>
    </row>
    <row r="63" spans="2:11" x14ac:dyDescent="0.25">
      <c r="B63" s="164" t="s">
        <v>145</v>
      </c>
      <c r="C63" s="165">
        <f t="shared" ref="C63:H63" si="24">IFERROR(C55-SUM(C56:C62),"nd")</f>
        <v>200</v>
      </c>
      <c r="D63" s="165">
        <f t="shared" si="24"/>
        <v>0</v>
      </c>
      <c r="E63" s="165">
        <f t="shared" si="24"/>
        <v>0</v>
      </c>
      <c r="F63" s="165">
        <f t="shared" si="24"/>
        <v>0</v>
      </c>
      <c r="G63" s="165">
        <f t="shared" si="24"/>
        <v>0</v>
      </c>
      <c r="H63" s="165">
        <f t="shared" si="24"/>
        <v>0</v>
      </c>
      <c r="I63" s="176" t="str">
        <f t="shared" si="23"/>
        <v>-</v>
      </c>
      <c r="J63" s="164">
        <f>H63-G63</f>
        <v>0</v>
      </c>
      <c r="K63" s="166">
        <f t="shared" si="21"/>
        <v>0</v>
      </c>
    </row>
    <row r="64" spans="2:11" x14ac:dyDescent="0.25">
      <c r="B64" s="151" t="s">
        <v>47</v>
      </c>
      <c r="C64" s="149"/>
      <c r="D64" s="149"/>
      <c r="E64" s="149"/>
      <c r="F64" s="149"/>
      <c r="G64" s="149"/>
      <c r="H64" s="149"/>
      <c r="I64" s="150"/>
      <c r="J64" s="150"/>
      <c r="K64" s="149"/>
    </row>
    <row r="65" spans="2:11" x14ac:dyDescent="0.25">
      <c r="B65" s="152" t="s">
        <v>68</v>
      </c>
      <c r="C65" s="172" t="str">
        <f t="shared" ref="C65:H65" si="25">IFERROR(C66+C69,"nd")</f>
        <v>nd</v>
      </c>
      <c r="D65" s="172" t="str">
        <f t="shared" si="25"/>
        <v>nd</v>
      </c>
      <c r="E65" s="172" t="str">
        <f t="shared" si="25"/>
        <v>nd</v>
      </c>
      <c r="F65" s="172" t="str">
        <f t="shared" si="25"/>
        <v>nd</v>
      </c>
      <c r="G65" s="172" t="str">
        <f t="shared" si="25"/>
        <v>nd</v>
      </c>
      <c r="H65" s="172" t="str">
        <f t="shared" si="25"/>
        <v>nd</v>
      </c>
      <c r="I65" s="173" t="str">
        <f>IFERROR(H65/G65-1,"-")</f>
        <v>-</v>
      </c>
      <c r="J65" s="172" t="str">
        <f>IFERROR(H65-G65,"-")</f>
        <v>-</v>
      </c>
      <c r="K65" s="173" t="str">
        <f>IFERROR(H65/H$9,"-")</f>
        <v>-</v>
      </c>
    </row>
    <row r="66" spans="2:11" x14ac:dyDescent="0.25">
      <c r="B66" s="155" t="s">
        <v>97</v>
      </c>
      <c r="C66" s="156" t="s">
        <v>315</v>
      </c>
      <c r="D66" s="156" t="s">
        <v>315</v>
      </c>
      <c r="E66" s="156" t="s">
        <v>315</v>
      </c>
      <c r="F66" s="156" t="s">
        <v>315</v>
      </c>
      <c r="G66" s="156" t="s">
        <v>315</v>
      </c>
      <c r="H66" s="156" t="s">
        <v>315</v>
      </c>
      <c r="I66" s="174" t="str">
        <f>IFERROR(H66/G66-1,"-")</f>
        <v>-</v>
      </c>
      <c r="J66" s="177" t="str">
        <f t="shared" ref="J66:J77" si="26">IFERROR(H66-G66,"-")</f>
        <v>-</v>
      </c>
      <c r="K66" s="157" t="str">
        <f t="shared" ref="K66:K77" si="27">IFERROR(H66/H$9,"-")</f>
        <v>-</v>
      </c>
    </row>
    <row r="67" spans="2:11" x14ac:dyDescent="0.25">
      <c r="B67" s="159" t="s">
        <v>103</v>
      </c>
      <c r="C67" s="160" t="s">
        <v>315</v>
      </c>
      <c r="D67" s="160" t="s">
        <v>315</v>
      </c>
      <c r="E67" s="160" t="s">
        <v>315</v>
      </c>
      <c r="F67" s="160" t="s">
        <v>315</v>
      </c>
      <c r="G67" s="160" t="s">
        <v>315</v>
      </c>
      <c r="H67" s="160" t="s">
        <v>315</v>
      </c>
      <c r="I67" s="175" t="str">
        <f>IFERROR(H67/G67-1,"-")</f>
        <v>-</v>
      </c>
      <c r="J67" s="178" t="str">
        <f t="shared" si="26"/>
        <v>-</v>
      </c>
      <c r="K67" s="161" t="str">
        <f t="shared" si="27"/>
        <v>-</v>
      </c>
    </row>
    <row r="68" spans="2:11" x14ac:dyDescent="0.25">
      <c r="B68" s="159" t="s">
        <v>100</v>
      </c>
      <c r="C68" s="160" t="s">
        <v>315</v>
      </c>
      <c r="D68" s="160" t="s">
        <v>315</v>
      </c>
      <c r="E68" s="160" t="s">
        <v>315</v>
      </c>
      <c r="F68" s="160" t="s">
        <v>315</v>
      </c>
      <c r="G68" s="160" t="s">
        <v>315</v>
      </c>
      <c r="H68" s="160" t="s">
        <v>315</v>
      </c>
      <c r="I68" s="175" t="str">
        <f>IFERROR(H68/G68-1,"-")</f>
        <v>-</v>
      </c>
      <c r="J68" s="178" t="str">
        <f t="shared" si="26"/>
        <v>-</v>
      </c>
      <c r="K68" s="161" t="str">
        <f t="shared" si="27"/>
        <v>-</v>
      </c>
    </row>
    <row r="69" spans="2:11" x14ac:dyDescent="0.25">
      <c r="B69" s="155" t="s">
        <v>107</v>
      </c>
      <c r="C69" s="156" t="s">
        <v>315</v>
      </c>
      <c r="D69" s="156" t="s">
        <v>315</v>
      </c>
      <c r="E69" s="156" t="s">
        <v>315</v>
      </c>
      <c r="F69" s="156" t="s">
        <v>315</v>
      </c>
      <c r="G69" s="156" t="s">
        <v>315</v>
      </c>
      <c r="H69" s="156" t="s">
        <v>315</v>
      </c>
      <c r="I69" s="174" t="str">
        <f>IFERROR(H69/G69-1,"-")</f>
        <v>-</v>
      </c>
      <c r="J69" s="177" t="str">
        <f t="shared" si="26"/>
        <v>-</v>
      </c>
      <c r="K69" s="157" t="str">
        <f t="shared" si="27"/>
        <v>-</v>
      </c>
    </row>
    <row r="70" spans="2:11" x14ac:dyDescent="0.25">
      <c r="B70" s="159" t="s">
        <v>110</v>
      </c>
      <c r="C70" s="160" t="s">
        <v>315</v>
      </c>
      <c r="D70" s="160" t="s">
        <v>315</v>
      </c>
      <c r="E70" s="160" t="s">
        <v>315</v>
      </c>
      <c r="F70" s="160" t="s">
        <v>315</v>
      </c>
      <c r="G70" s="160" t="s">
        <v>315</v>
      </c>
      <c r="H70" s="160" t="s">
        <v>315</v>
      </c>
      <c r="I70" s="175" t="str">
        <f t="shared" ref="I70:I77" si="28">IFERROR(H70/G70-1,"-")</f>
        <v>-</v>
      </c>
      <c r="J70" s="178" t="str">
        <f t="shared" si="26"/>
        <v>-</v>
      </c>
      <c r="K70" s="161" t="str">
        <f t="shared" si="27"/>
        <v>-</v>
      </c>
    </row>
    <row r="71" spans="2:11" x14ac:dyDescent="0.25">
      <c r="B71" s="159" t="s">
        <v>113</v>
      </c>
      <c r="C71" s="160" t="s">
        <v>315</v>
      </c>
      <c r="D71" s="160" t="s">
        <v>315</v>
      </c>
      <c r="E71" s="160" t="s">
        <v>315</v>
      </c>
      <c r="F71" s="160" t="s">
        <v>315</v>
      </c>
      <c r="G71" s="160" t="s">
        <v>315</v>
      </c>
      <c r="H71" s="160" t="s">
        <v>315</v>
      </c>
      <c r="I71" s="175" t="str">
        <f t="shared" si="28"/>
        <v>-</v>
      </c>
      <c r="J71" s="178" t="str">
        <f t="shared" si="26"/>
        <v>-</v>
      </c>
      <c r="K71" s="161" t="str">
        <f t="shared" si="27"/>
        <v>-</v>
      </c>
    </row>
    <row r="72" spans="2:11" x14ac:dyDescent="0.25">
      <c r="B72" s="159" t="s">
        <v>116</v>
      </c>
      <c r="C72" s="160" t="s">
        <v>315</v>
      </c>
      <c r="D72" s="160" t="s">
        <v>315</v>
      </c>
      <c r="E72" s="160" t="s">
        <v>315</v>
      </c>
      <c r="F72" s="160" t="s">
        <v>315</v>
      </c>
      <c r="G72" s="160" t="s">
        <v>315</v>
      </c>
      <c r="H72" s="160" t="s">
        <v>315</v>
      </c>
      <c r="I72" s="175" t="str">
        <f t="shared" si="28"/>
        <v>-</v>
      </c>
      <c r="J72" s="178" t="str">
        <f t="shared" si="26"/>
        <v>-</v>
      </c>
      <c r="K72" s="161" t="str">
        <f t="shared" si="27"/>
        <v>-</v>
      </c>
    </row>
    <row r="73" spans="2:11" x14ac:dyDescent="0.25">
      <c r="B73" s="159" t="s">
        <v>123</v>
      </c>
      <c r="C73" s="160" t="s">
        <v>315</v>
      </c>
      <c r="D73" s="160" t="s">
        <v>315</v>
      </c>
      <c r="E73" s="160" t="s">
        <v>315</v>
      </c>
      <c r="F73" s="160" t="s">
        <v>315</v>
      </c>
      <c r="G73" s="160" t="s">
        <v>315</v>
      </c>
      <c r="H73" s="160" t="s">
        <v>315</v>
      </c>
      <c r="I73" s="175" t="str">
        <f t="shared" si="28"/>
        <v>-</v>
      </c>
      <c r="J73" s="178" t="str">
        <f t="shared" si="26"/>
        <v>-</v>
      </c>
      <c r="K73" s="161" t="str">
        <f t="shared" si="27"/>
        <v>-</v>
      </c>
    </row>
    <row r="74" spans="2:11" x14ac:dyDescent="0.25">
      <c r="B74" s="159" t="s">
        <v>119</v>
      </c>
      <c r="C74" s="160" t="s">
        <v>315</v>
      </c>
      <c r="D74" s="160" t="s">
        <v>315</v>
      </c>
      <c r="E74" s="160" t="s">
        <v>315</v>
      </c>
      <c r="F74" s="160" t="s">
        <v>315</v>
      </c>
      <c r="G74" s="160" t="s">
        <v>315</v>
      </c>
      <c r="H74" s="160" t="s">
        <v>315</v>
      </c>
      <c r="I74" s="175" t="str">
        <f t="shared" si="28"/>
        <v>-</v>
      </c>
      <c r="J74" s="178" t="str">
        <f t="shared" si="26"/>
        <v>-</v>
      </c>
      <c r="K74" s="161" t="str">
        <f t="shared" si="27"/>
        <v>-</v>
      </c>
    </row>
    <row r="75" spans="2:11" x14ac:dyDescent="0.25">
      <c r="B75" s="159" t="s">
        <v>128</v>
      </c>
      <c r="C75" s="160" t="s">
        <v>315</v>
      </c>
      <c r="D75" s="160" t="s">
        <v>315</v>
      </c>
      <c r="E75" s="160" t="s">
        <v>315</v>
      </c>
      <c r="F75" s="160" t="s">
        <v>315</v>
      </c>
      <c r="G75" s="160" t="s">
        <v>315</v>
      </c>
      <c r="H75" s="160" t="s">
        <v>315</v>
      </c>
      <c r="I75" s="175" t="str">
        <f t="shared" si="28"/>
        <v>-</v>
      </c>
      <c r="J75" s="178" t="str">
        <f t="shared" si="26"/>
        <v>-</v>
      </c>
      <c r="K75" s="161" t="str">
        <f t="shared" si="27"/>
        <v>-</v>
      </c>
    </row>
    <row r="76" spans="2:11" x14ac:dyDescent="0.25">
      <c r="B76" s="159" t="s">
        <v>131</v>
      </c>
      <c r="C76" s="160" t="s">
        <v>315</v>
      </c>
      <c r="D76" s="160" t="s">
        <v>315</v>
      </c>
      <c r="E76" s="160" t="s">
        <v>315</v>
      </c>
      <c r="F76" s="160" t="s">
        <v>315</v>
      </c>
      <c r="G76" s="160" t="s">
        <v>315</v>
      </c>
      <c r="H76" s="160" t="s">
        <v>315</v>
      </c>
      <c r="I76" s="175" t="str">
        <f t="shared" si="28"/>
        <v>-</v>
      </c>
      <c r="J76" s="178" t="str">
        <f t="shared" si="26"/>
        <v>-</v>
      </c>
      <c r="K76" s="161" t="str">
        <f t="shared" si="27"/>
        <v>-</v>
      </c>
    </row>
    <row r="77" spans="2:11" x14ac:dyDescent="0.25">
      <c r="B77" s="164" t="s">
        <v>145</v>
      </c>
      <c r="C77" s="165" t="str">
        <f t="shared" ref="C77:H77" si="29">IFERROR(C69-SUM(C70:C76),"nd")</f>
        <v>nd</v>
      </c>
      <c r="D77" s="165" t="str">
        <f t="shared" si="29"/>
        <v>nd</v>
      </c>
      <c r="E77" s="165" t="str">
        <f t="shared" si="29"/>
        <v>nd</v>
      </c>
      <c r="F77" s="165" t="str">
        <f t="shared" si="29"/>
        <v>nd</v>
      </c>
      <c r="G77" s="165" t="str">
        <f t="shared" si="29"/>
        <v>nd</v>
      </c>
      <c r="H77" s="165" t="str">
        <f t="shared" si="29"/>
        <v>nd</v>
      </c>
      <c r="I77" s="176" t="str">
        <f t="shared" si="28"/>
        <v>-</v>
      </c>
      <c r="J77" s="179" t="str">
        <f t="shared" si="26"/>
        <v>-</v>
      </c>
      <c r="K77" s="166" t="str">
        <f t="shared" si="27"/>
        <v>-</v>
      </c>
    </row>
    <row r="78" spans="2:11" x14ac:dyDescent="0.25">
      <c r="B78" s="151" t="s">
        <v>48</v>
      </c>
      <c r="C78" s="149"/>
      <c r="D78" s="149"/>
      <c r="E78" s="149"/>
      <c r="F78" s="149"/>
      <c r="G78" s="149"/>
      <c r="H78" s="149"/>
      <c r="I78" s="150"/>
      <c r="J78" s="150"/>
      <c r="K78" s="149"/>
    </row>
    <row r="79" spans="2:11" x14ac:dyDescent="0.25">
      <c r="B79" s="152" t="s">
        <v>68</v>
      </c>
      <c r="C79" s="172">
        <f t="shared" ref="C79:H79" si="30">IFERROR(C80+C83,"nd")</f>
        <v>12148</v>
      </c>
      <c r="D79" s="172">
        <f t="shared" si="30"/>
        <v>1233</v>
      </c>
      <c r="E79" s="172">
        <f t="shared" si="30"/>
        <v>7747</v>
      </c>
      <c r="F79" s="172">
        <f t="shared" si="30"/>
        <v>10548</v>
      </c>
      <c r="G79" s="172">
        <f t="shared" si="30"/>
        <v>10084</v>
      </c>
      <c r="H79" s="172">
        <f t="shared" si="30"/>
        <v>10527</v>
      </c>
      <c r="I79" s="173">
        <f>IFERROR(H79/G79-1,"-")</f>
        <v>4.3930979769932543E-2</v>
      </c>
      <c r="J79" s="172">
        <f>IFERROR(H79-G79,"-")</f>
        <v>443</v>
      </c>
      <c r="K79" s="173">
        <f>IFERROR(H79/H$9,"-")</f>
        <v>0.12241124690396177</v>
      </c>
    </row>
    <row r="80" spans="2:11" x14ac:dyDescent="0.25">
      <c r="B80" s="155" t="s">
        <v>97</v>
      </c>
      <c r="C80" s="156">
        <v>3151</v>
      </c>
      <c r="D80" s="156">
        <v>394</v>
      </c>
      <c r="E80" s="156">
        <v>1819</v>
      </c>
      <c r="F80" s="156">
        <v>2153</v>
      </c>
      <c r="G80" s="156">
        <v>1791</v>
      </c>
      <c r="H80" s="156">
        <v>2394</v>
      </c>
      <c r="I80" s="174">
        <f>IFERROR(H80/G80-1,"-")</f>
        <v>0.33668341708542715</v>
      </c>
      <c r="J80" s="177">
        <f t="shared" ref="J80:J91" si="31">IFERROR(H80-G80,"-")</f>
        <v>603</v>
      </c>
      <c r="K80" s="157">
        <f t="shared" ref="K80:K91" si="32">IFERROR(H80/H$9,"-")</f>
        <v>2.7838180401641918E-2</v>
      </c>
    </row>
    <row r="81" spans="2:11" x14ac:dyDescent="0.25">
      <c r="B81" s="159" t="s">
        <v>103</v>
      </c>
      <c r="C81" s="160">
        <v>1111</v>
      </c>
      <c r="D81" s="160">
        <v>187</v>
      </c>
      <c r="E81" s="160">
        <v>798</v>
      </c>
      <c r="F81" s="160">
        <v>1045</v>
      </c>
      <c r="G81" s="160">
        <v>546</v>
      </c>
      <c r="H81" s="160">
        <v>803</v>
      </c>
      <c r="I81" s="175">
        <f>IFERROR(H81/G81-1,"-")</f>
        <v>0.4706959706959708</v>
      </c>
      <c r="J81" s="178">
        <f t="shared" si="31"/>
        <v>257</v>
      </c>
      <c r="K81" s="161">
        <f t="shared" si="32"/>
        <v>9.3375350302917545E-3</v>
      </c>
    </row>
    <row r="82" spans="2:11" x14ac:dyDescent="0.25">
      <c r="B82" s="159" t="s">
        <v>100</v>
      </c>
      <c r="C82" s="160">
        <v>2040</v>
      </c>
      <c r="D82" s="160">
        <v>207</v>
      </c>
      <c r="E82" s="160">
        <v>1021</v>
      </c>
      <c r="F82" s="160">
        <v>1108</v>
      </c>
      <c r="G82" s="160">
        <v>1245</v>
      </c>
      <c r="H82" s="160">
        <v>1591</v>
      </c>
      <c r="I82" s="175">
        <f>IFERROR(H82/G82-1,"-")</f>
        <v>0.27791164658634537</v>
      </c>
      <c r="J82" s="178">
        <f t="shared" si="31"/>
        <v>346</v>
      </c>
      <c r="K82" s="161">
        <f t="shared" si="32"/>
        <v>1.8500645371350162E-2</v>
      </c>
    </row>
    <row r="83" spans="2:11" x14ac:dyDescent="0.25">
      <c r="B83" s="155" t="s">
        <v>107</v>
      </c>
      <c r="C83" s="156">
        <v>8997</v>
      </c>
      <c r="D83" s="156">
        <v>839</v>
      </c>
      <c r="E83" s="156">
        <v>5928</v>
      </c>
      <c r="F83" s="156">
        <v>8395</v>
      </c>
      <c r="G83" s="156">
        <v>8293</v>
      </c>
      <c r="H83" s="156">
        <v>8133</v>
      </c>
      <c r="I83" s="174">
        <f>IFERROR(H83/G83-1,"-")</f>
        <v>-1.92933799590016E-2</v>
      </c>
      <c r="J83" s="177">
        <f t="shared" si="31"/>
        <v>-160</v>
      </c>
      <c r="K83" s="157">
        <f t="shared" si="32"/>
        <v>9.457306650231985E-2</v>
      </c>
    </row>
    <row r="84" spans="2:11" x14ac:dyDescent="0.25">
      <c r="B84" s="159" t="s">
        <v>110</v>
      </c>
      <c r="C84" s="160">
        <v>783</v>
      </c>
      <c r="D84" s="160">
        <v>45</v>
      </c>
      <c r="E84" s="160">
        <v>451</v>
      </c>
      <c r="F84" s="160">
        <v>766</v>
      </c>
      <c r="G84" s="160">
        <v>984</v>
      </c>
      <c r="H84" s="160">
        <v>930</v>
      </c>
      <c r="I84" s="175">
        <f t="shared" ref="I84:I91" si="33">IFERROR(H84/G84-1,"-")</f>
        <v>-5.4878048780487854E-2</v>
      </c>
      <c r="J84" s="178">
        <f t="shared" si="31"/>
        <v>-54</v>
      </c>
      <c r="K84" s="161">
        <f t="shared" si="32"/>
        <v>1.0814330732467412E-2</v>
      </c>
    </row>
    <row r="85" spans="2:11" x14ac:dyDescent="0.25">
      <c r="B85" s="159" t="s">
        <v>113</v>
      </c>
      <c r="C85" s="160">
        <v>1769</v>
      </c>
      <c r="D85" s="160">
        <v>178</v>
      </c>
      <c r="E85" s="160">
        <v>1082</v>
      </c>
      <c r="F85" s="160">
        <v>1744</v>
      </c>
      <c r="G85" s="160">
        <v>1613</v>
      </c>
      <c r="H85" s="160">
        <v>1952</v>
      </c>
      <c r="I85" s="175">
        <f t="shared" si="33"/>
        <v>0.21016738995660256</v>
      </c>
      <c r="J85" s="178">
        <f t="shared" si="31"/>
        <v>339</v>
      </c>
      <c r="K85" s="161">
        <f t="shared" si="32"/>
        <v>2.2698466225566007E-2</v>
      </c>
    </row>
    <row r="86" spans="2:11" x14ac:dyDescent="0.25">
      <c r="B86" s="159" t="s">
        <v>116</v>
      </c>
      <c r="C86" s="160">
        <v>270</v>
      </c>
      <c r="D86" s="160">
        <v>150</v>
      </c>
      <c r="E86" s="160">
        <v>313</v>
      </c>
      <c r="F86" s="160">
        <v>250</v>
      </c>
      <c r="G86" s="160">
        <v>251</v>
      </c>
      <c r="H86" s="160">
        <v>393</v>
      </c>
      <c r="I86" s="175">
        <f t="shared" si="33"/>
        <v>0.56573705179282863</v>
      </c>
      <c r="J86" s="178">
        <f t="shared" si="31"/>
        <v>142</v>
      </c>
      <c r="K86" s="161">
        <f t="shared" si="32"/>
        <v>4.5699268579136483E-3</v>
      </c>
    </row>
    <row r="87" spans="2:11" x14ac:dyDescent="0.25">
      <c r="B87" s="159" t="s">
        <v>123</v>
      </c>
      <c r="C87" s="160">
        <v>108</v>
      </c>
      <c r="D87" s="160">
        <v>9</v>
      </c>
      <c r="E87" s="160">
        <v>413</v>
      </c>
      <c r="F87" s="160">
        <v>300</v>
      </c>
      <c r="G87" s="160">
        <v>432</v>
      </c>
      <c r="H87" s="160">
        <v>283</v>
      </c>
      <c r="I87" s="175">
        <f t="shared" si="33"/>
        <v>-0.34490740740740744</v>
      </c>
      <c r="J87" s="178">
        <f t="shared" si="31"/>
        <v>-149</v>
      </c>
      <c r="K87" s="161">
        <f t="shared" si="32"/>
        <v>3.2908124702024488E-3</v>
      </c>
    </row>
    <row r="88" spans="2:11" x14ac:dyDescent="0.25">
      <c r="B88" s="159" t="s">
        <v>119</v>
      </c>
      <c r="C88" s="160">
        <v>54</v>
      </c>
      <c r="D88" s="160">
        <v>16</v>
      </c>
      <c r="E88" s="160">
        <v>81</v>
      </c>
      <c r="F88" s="160">
        <v>56</v>
      </c>
      <c r="G88" s="160">
        <v>62</v>
      </c>
      <c r="H88" s="160">
        <v>82</v>
      </c>
      <c r="I88" s="175">
        <f t="shared" si="33"/>
        <v>0.32258064516129026</v>
      </c>
      <c r="J88" s="178">
        <f t="shared" si="31"/>
        <v>20</v>
      </c>
      <c r="K88" s="161">
        <f t="shared" si="32"/>
        <v>9.5352163447562127E-4</v>
      </c>
    </row>
    <row r="89" spans="2:11" x14ac:dyDescent="0.25">
      <c r="B89" s="159" t="s">
        <v>128</v>
      </c>
      <c r="C89" s="160">
        <v>565</v>
      </c>
      <c r="D89" s="160">
        <v>12</v>
      </c>
      <c r="E89" s="160">
        <v>373</v>
      </c>
      <c r="F89" s="160">
        <v>722</v>
      </c>
      <c r="G89" s="160">
        <v>542</v>
      </c>
      <c r="H89" s="160">
        <v>460</v>
      </c>
      <c r="I89" s="175">
        <f t="shared" si="33"/>
        <v>-0.1512915129151291</v>
      </c>
      <c r="J89" s="178">
        <f t="shared" si="31"/>
        <v>-82</v>
      </c>
      <c r="K89" s="161">
        <f t="shared" si="32"/>
        <v>5.3490238031559242E-3</v>
      </c>
    </row>
    <row r="90" spans="2:11" x14ac:dyDescent="0.25">
      <c r="B90" s="159" t="s">
        <v>131</v>
      </c>
      <c r="C90" s="160">
        <v>1193</v>
      </c>
      <c r="D90" s="160">
        <v>48</v>
      </c>
      <c r="E90" s="160">
        <v>528</v>
      </c>
      <c r="F90" s="160">
        <v>981</v>
      </c>
      <c r="G90" s="160">
        <v>822</v>
      </c>
      <c r="H90" s="160">
        <v>698</v>
      </c>
      <c r="I90" s="175">
        <f t="shared" si="33"/>
        <v>-0.15085158150851585</v>
      </c>
      <c r="J90" s="178">
        <f t="shared" si="31"/>
        <v>-124</v>
      </c>
      <c r="K90" s="161">
        <f t="shared" si="32"/>
        <v>8.1165622056583366E-3</v>
      </c>
    </row>
    <row r="91" spans="2:11" x14ac:dyDescent="0.25">
      <c r="B91" s="164" t="s">
        <v>145</v>
      </c>
      <c r="C91" s="165">
        <f t="shared" ref="C91:H91" si="34">IFERROR(C83-SUM(C84:C90),"nd")</f>
        <v>4255</v>
      </c>
      <c r="D91" s="165">
        <f t="shared" si="34"/>
        <v>381</v>
      </c>
      <c r="E91" s="165">
        <f t="shared" si="34"/>
        <v>2687</v>
      </c>
      <c r="F91" s="165">
        <f t="shared" si="34"/>
        <v>3576</v>
      </c>
      <c r="G91" s="165">
        <f t="shared" si="34"/>
        <v>3587</v>
      </c>
      <c r="H91" s="165">
        <f t="shared" si="34"/>
        <v>3335</v>
      </c>
      <c r="I91" s="176">
        <f t="shared" si="33"/>
        <v>-7.025369389461944E-2</v>
      </c>
      <c r="J91" s="179">
        <f t="shared" si="31"/>
        <v>-252</v>
      </c>
      <c r="K91" s="166">
        <f t="shared" si="32"/>
        <v>3.8780422572880446E-2</v>
      </c>
    </row>
    <row r="92" spans="2:11" x14ac:dyDescent="0.25">
      <c r="B92" s="151" t="s">
        <v>49</v>
      </c>
      <c r="C92" s="149"/>
      <c r="D92" s="149"/>
      <c r="E92" s="149"/>
      <c r="F92" s="149"/>
      <c r="G92" s="149"/>
      <c r="H92" s="149"/>
      <c r="I92" s="150"/>
      <c r="J92" s="150"/>
      <c r="K92" s="149"/>
    </row>
    <row r="93" spans="2:11" x14ac:dyDescent="0.25">
      <c r="B93" s="152" t="s">
        <v>68</v>
      </c>
      <c r="C93" s="172" t="str">
        <f t="shared" ref="C93:H93" si="35">IFERROR(C94+C97,"nd")</f>
        <v>nd</v>
      </c>
      <c r="D93" s="172" t="str">
        <f t="shared" si="35"/>
        <v>nd</v>
      </c>
      <c r="E93" s="172" t="str">
        <f t="shared" si="35"/>
        <v>nd</v>
      </c>
      <c r="F93" s="172" t="str">
        <f t="shared" si="35"/>
        <v>nd</v>
      </c>
      <c r="G93" s="172" t="str">
        <f t="shared" si="35"/>
        <v>nd</v>
      </c>
      <c r="H93" s="172" t="str">
        <f t="shared" si="35"/>
        <v>nd</v>
      </c>
      <c r="I93" s="173" t="str">
        <f>IFERROR(H93/G93-1,"-")</f>
        <v>-</v>
      </c>
      <c r="J93" s="172" t="str">
        <f>IFERROR(H93-G93,"-")</f>
        <v>-</v>
      </c>
      <c r="K93" s="173" t="str">
        <f>IFERROR(H93/H$9,"-")</f>
        <v>-</v>
      </c>
    </row>
    <row r="94" spans="2:11" x14ac:dyDescent="0.25">
      <c r="B94" s="155" t="s">
        <v>97</v>
      </c>
      <c r="C94" s="156" t="s">
        <v>315</v>
      </c>
      <c r="D94" s="156" t="s">
        <v>315</v>
      </c>
      <c r="E94" s="156" t="s">
        <v>315</v>
      </c>
      <c r="F94" s="156" t="s">
        <v>315</v>
      </c>
      <c r="G94" s="156" t="s">
        <v>315</v>
      </c>
      <c r="H94" s="156" t="s">
        <v>315</v>
      </c>
      <c r="I94" s="174" t="str">
        <f>IFERROR(H94/G94-1,"-")</f>
        <v>-</v>
      </c>
      <c r="J94" s="177" t="str">
        <f t="shared" ref="J94:J105" si="36">IFERROR(H94-G94,"-")</f>
        <v>-</v>
      </c>
      <c r="K94" s="157" t="str">
        <f t="shared" ref="K94:K105" si="37">IFERROR(H94/H$9,"-")</f>
        <v>-</v>
      </c>
    </row>
    <row r="95" spans="2:11" x14ac:dyDescent="0.25">
      <c r="B95" s="159" t="s">
        <v>103</v>
      </c>
      <c r="C95" s="160" t="s">
        <v>315</v>
      </c>
      <c r="D95" s="160" t="s">
        <v>315</v>
      </c>
      <c r="E95" s="160" t="s">
        <v>315</v>
      </c>
      <c r="F95" s="160" t="s">
        <v>315</v>
      </c>
      <c r="G95" s="160" t="s">
        <v>315</v>
      </c>
      <c r="H95" s="160" t="s">
        <v>315</v>
      </c>
      <c r="I95" s="175" t="str">
        <f>IFERROR(H95/G95-1,"-")</f>
        <v>-</v>
      </c>
      <c r="J95" s="178" t="str">
        <f t="shared" si="36"/>
        <v>-</v>
      </c>
      <c r="K95" s="161" t="str">
        <f t="shared" si="37"/>
        <v>-</v>
      </c>
    </row>
    <row r="96" spans="2:11" x14ac:dyDescent="0.25">
      <c r="B96" s="159" t="s">
        <v>100</v>
      </c>
      <c r="C96" s="160" t="s">
        <v>315</v>
      </c>
      <c r="D96" s="160" t="s">
        <v>315</v>
      </c>
      <c r="E96" s="160" t="s">
        <v>315</v>
      </c>
      <c r="F96" s="160" t="s">
        <v>315</v>
      </c>
      <c r="G96" s="160" t="s">
        <v>315</v>
      </c>
      <c r="H96" s="160" t="s">
        <v>315</v>
      </c>
      <c r="I96" s="175" t="str">
        <f>IFERROR(H96/G96-1,"-")</f>
        <v>-</v>
      </c>
      <c r="J96" s="178" t="str">
        <f t="shared" si="36"/>
        <v>-</v>
      </c>
      <c r="K96" s="161" t="str">
        <f t="shared" si="37"/>
        <v>-</v>
      </c>
    </row>
    <row r="97" spans="2:11" x14ac:dyDescent="0.25">
      <c r="B97" s="155" t="s">
        <v>107</v>
      </c>
      <c r="C97" s="156" t="s">
        <v>315</v>
      </c>
      <c r="D97" s="156" t="s">
        <v>315</v>
      </c>
      <c r="E97" s="156" t="s">
        <v>315</v>
      </c>
      <c r="F97" s="156" t="s">
        <v>315</v>
      </c>
      <c r="G97" s="156" t="s">
        <v>315</v>
      </c>
      <c r="H97" s="156" t="s">
        <v>315</v>
      </c>
      <c r="I97" s="174" t="str">
        <f>IFERROR(H97/G97-1,"-")</f>
        <v>-</v>
      </c>
      <c r="J97" s="177" t="str">
        <f t="shared" si="36"/>
        <v>-</v>
      </c>
      <c r="K97" s="157" t="str">
        <f t="shared" si="37"/>
        <v>-</v>
      </c>
    </row>
    <row r="98" spans="2:11" x14ac:dyDescent="0.25">
      <c r="B98" s="159" t="s">
        <v>110</v>
      </c>
      <c r="C98" s="160" t="s">
        <v>315</v>
      </c>
      <c r="D98" s="160" t="s">
        <v>315</v>
      </c>
      <c r="E98" s="160" t="s">
        <v>315</v>
      </c>
      <c r="F98" s="160" t="s">
        <v>315</v>
      </c>
      <c r="G98" s="160" t="s">
        <v>315</v>
      </c>
      <c r="H98" s="160" t="s">
        <v>315</v>
      </c>
      <c r="I98" s="175" t="str">
        <f t="shared" ref="I98:I105" si="38">IFERROR(H98/G98-1,"-")</f>
        <v>-</v>
      </c>
      <c r="J98" s="178" t="str">
        <f t="shared" si="36"/>
        <v>-</v>
      </c>
      <c r="K98" s="161" t="str">
        <f t="shared" si="37"/>
        <v>-</v>
      </c>
    </row>
    <row r="99" spans="2:11" x14ac:dyDescent="0.25">
      <c r="B99" s="159" t="s">
        <v>113</v>
      </c>
      <c r="C99" s="160" t="s">
        <v>315</v>
      </c>
      <c r="D99" s="160" t="s">
        <v>315</v>
      </c>
      <c r="E99" s="160" t="s">
        <v>315</v>
      </c>
      <c r="F99" s="160" t="s">
        <v>315</v>
      </c>
      <c r="G99" s="160" t="s">
        <v>315</v>
      </c>
      <c r="H99" s="160" t="s">
        <v>315</v>
      </c>
      <c r="I99" s="175" t="str">
        <f t="shared" si="38"/>
        <v>-</v>
      </c>
      <c r="J99" s="178" t="str">
        <f t="shared" si="36"/>
        <v>-</v>
      </c>
      <c r="K99" s="161" t="str">
        <f t="shared" si="37"/>
        <v>-</v>
      </c>
    </row>
    <row r="100" spans="2:11" x14ac:dyDescent="0.25">
      <c r="B100" s="159" t="s">
        <v>116</v>
      </c>
      <c r="C100" s="160" t="s">
        <v>315</v>
      </c>
      <c r="D100" s="160" t="s">
        <v>315</v>
      </c>
      <c r="E100" s="160" t="s">
        <v>315</v>
      </c>
      <c r="F100" s="160" t="s">
        <v>315</v>
      </c>
      <c r="G100" s="160" t="s">
        <v>315</v>
      </c>
      <c r="H100" s="160" t="s">
        <v>315</v>
      </c>
      <c r="I100" s="175" t="str">
        <f t="shared" si="38"/>
        <v>-</v>
      </c>
      <c r="J100" s="178" t="str">
        <f t="shared" si="36"/>
        <v>-</v>
      </c>
      <c r="K100" s="161" t="str">
        <f t="shared" si="37"/>
        <v>-</v>
      </c>
    </row>
    <row r="101" spans="2:11" x14ac:dyDescent="0.25">
      <c r="B101" s="159" t="s">
        <v>123</v>
      </c>
      <c r="C101" s="160" t="s">
        <v>315</v>
      </c>
      <c r="D101" s="160" t="s">
        <v>315</v>
      </c>
      <c r="E101" s="160" t="s">
        <v>315</v>
      </c>
      <c r="F101" s="160" t="s">
        <v>315</v>
      </c>
      <c r="G101" s="160" t="s">
        <v>315</v>
      </c>
      <c r="H101" s="160" t="s">
        <v>315</v>
      </c>
      <c r="I101" s="175" t="str">
        <f t="shared" si="38"/>
        <v>-</v>
      </c>
      <c r="J101" s="178" t="str">
        <f t="shared" si="36"/>
        <v>-</v>
      </c>
      <c r="K101" s="161" t="str">
        <f t="shared" si="37"/>
        <v>-</v>
      </c>
    </row>
    <row r="102" spans="2:11" x14ac:dyDescent="0.25">
      <c r="B102" s="159" t="s">
        <v>119</v>
      </c>
      <c r="C102" s="160" t="s">
        <v>315</v>
      </c>
      <c r="D102" s="160" t="s">
        <v>315</v>
      </c>
      <c r="E102" s="160" t="s">
        <v>315</v>
      </c>
      <c r="F102" s="160" t="s">
        <v>315</v>
      </c>
      <c r="G102" s="160" t="s">
        <v>315</v>
      </c>
      <c r="H102" s="160" t="s">
        <v>315</v>
      </c>
      <c r="I102" s="175" t="str">
        <f t="shared" si="38"/>
        <v>-</v>
      </c>
      <c r="J102" s="178" t="str">
        <f t="shared" si="36"/>
        <v>-</v>
      </c>
      <c r="K102" s="161" t="str">
        <f t="shared" si="37"/>
        <v>-</v>
      </c>
    </row>
    <row r="103" spans="2:11" x14ac:dyDescent="0.25">
      <c r="B103" s="159" t="s">
        <v>128</v>
      </c>
      <c r="C103" s="160" t="s">
        <v>315</v>
      </c>
      <c r="D103" s="160" t="s">
        <v>315</v>
      </c>
      <c r="E103" s="160" t="s">
        <v>315</v>
      </c>
      <c r="F103" s="160" t="s">
        <v>315</v>
      </c>
      <c r="G103" s="160" t="s">
        <v>315</v>
      </c>
      <c r="H103" s="160" t="s">
        <v>315</v>
      </c>
      <c r="I103" s="175" t="str">
        <f t="shared" si="38"/>
        <v>-</v>
      </c>
      <c r="J103" s="178" t="str">
        <f t="shared" si="36"/>
        <v>-</v>
      </c>
      <c r="K103" s="161" t="str">
        <f t="shared" si="37"/>
        <v>-</v>
      </c>
    </row>
    <row r="104" spans="2:11" x14ac:dyDescent="0.25">
      <c r="B104" s="159" t="s">
        <v>131</v>
      </c>
      <c r="C104" s="160" t="s">
        <v>315</v>
      </c>
      <c r="D104" s="160" t="s">
        <v>315</v>
      </c>
      <c r="E104" s="160" t="s">
        <v>315</v>
      </c>
      <c r="F104" s="160" t="s">
        <v>315</v>
      </c>
      <c r="G104" s="160" t="s">
        <v>315</v>
      </c>
      <c r="H104" s="160" t="s">
        <v>315</v>
      </c>
      <c r="I104" s="175" t="str">
        <f t="shared" si="38"/>
        <v>-</v>
      </c>
      <c r="J104" s="178" t="str">
        <f t="shared" si="36"/>
        <v>-</v>
      </c>
      <c r="K104" s="161" t="str">
        <f t="shared" si="37"/>
        <v>-</v>
      </c>
    </row>
    <row r="105" spans="2:11" x14ac:dyDescent="0.25">
      <c r="B105" s="164" t="s">
        <v>145</v>
      </c>
      <c r="C105" s="165" t="str">
        <f t="shared" ref="C105:H105" si="39">IFERROR(C97-SUM(C98:C104),"nd")</f>
        <v>nd</v>
      </c>
      <c r="D105" s="165" t="str">
        <f t="shared" si="39"/>
        <v>nd</v>
      </c>
      <c r="E105" s="165" t="str">
        <f t="shared" si="39"/>
        <v>nd</v>
      </c>
      <c r="F105" s="165" t="str">
        <f t="shared" si="39"/>
        <v>nd</v>
      </c>
      <c r="G105" s="165" t="str">
        <f t="shared" si="39"/>
        <v>nd</v>
      </c>
      <c r="H105" s="165" t="str">
        <f t="shared" si="39"/>
        <v>nd</v>
      </c>
      <c r="I105" s="176" t="str">
        <f t="shared" si="38"/>
        <v>-</v>
      </c>
      <c r="J105" s="179" t="str">
        <f t="shared" si="36"/>
        <v>-</v>
      </c>
      <c r="K105" s="166" t="str">
        <f t="shared" si="37"/>
        <v>-</v>
      </c>
    </row>
    <row r="106" spans="2:11" x14ac:dyDescent="0.25">
      <c r="B106" s="151" t="s">
        <v>50</v>
      </c>
      <c r="C106" s="149"/>
      <c r="D106" s="149"/>
      <c r="E106" s="149"/>
      <c r="F106" s="149"/>
      <c r="G106" s="149"/>
      <c r="H106" s="149"/>
      <c r="I106" s="150"/>
      <c r="J106" s="150"/>
      <c r="K106" s="149"/>
    </row>
    <row r="107" spans="2:11" x14ac:dyDescent="0.25">
      <c r="B107" s="152" t="s">
        <v>68</v>
      </c>
      <c r="C107" s="172">
        <f t="shared" ref="C107:H107" si="40">IFERROR(C108+C111,"nd")</f>
        <v>5315</v>
      </c>
      <c r="D107" s="172">
        <f t="shared" si="40"/>
        <v>6</v>
      </c>
      <c r="E107" s="172">
        <f t="shared" si="40"/>
        <v>1698</v>
      </c>
      <c r="F107" s="172">
        <f t="shared" si="40"/>
        <v>2182</v>
      </c>
      <c r="G107" s="172">
        <f t="shared" si="40"/>
        <v>1998</v>
      </c>
      <c r="H107" s="172">
        <f t="shared" si="40"/>
        <v>2236</v>
      </c>
      <c r="I107" s="173">
        <f>IFERROR(H107/G107-1,"-")</f>
        <v>0.11911911911911921</v>
      </c>
      <c r="J107" s="172">
        <f>IFERROR(H107-G107,"-")</f>
        <v>238</v>
      </c>
      <c r="K107" s="173">
        <f>IFERROR(H107/H$9,"-")</f>
        <v>2.6000907008384012E-2</v>
      </c>
    </row>
    <row r="108" spans="2:11" x14ac:dyDescent="0.25">
      <c r="B108" s="155" t="s">
        <v>97</v>
      </c>
      <c r="C108" s="156">
        <v>556</v>
      </c>
      <c r="D108" s="156">
        <v>6</v>
      </c>
      <c r="E108" s="156">
        <v>216</v>
      </c>
      <c r="F108" s="156">
        <v>198</v>
      </c>
      <c r="G108" s="156">
        <v>156</v>
      </c>
      <c r="H108" s="156">
        <v>173</v>
      </c>
      <c r="I108" s="174">
        <f>IFERROR(H108/G108-1,"-")</f>
        <v>0.10897435897435903</v>
      </c>
      <c r="J108" s="177">
        <f t="shared" ref="J108:J119" si="41">IFERROR(H108-G108,"-")</f>
        <v>17</v>
      </c>
      <c r="K108" s="157">
        <f t="shared" ref="K108:K119" si="42">IFERROR(H108/H$9,"-")</f>
        <v>2.0116980824912496E-3</v>
      </c>
    </row>
    <row r="109" spans="2:11" x14ac:dyDescent="0.25">
      <c r="B109" s="159" t="s">
        <v>103</v>
      </c>
      <c r="C109" s="160">
        <v>269</v>
      </c>
      <c r="D109" s="160">
        <v>0</v>
      </c>
      <c r="E109" s="160">
        <v>117</v>
      </c>
      <c r="F109" s="160">
        <v>70</v>
      </c>
      <c r="G109" s="160">
        <v>47</v>
      </c>
      <c r="H109" s="160">
        <v>27</v>
      </c>
      <c r="I109" s="175">
        <f>IFERROR(H109/G109-1,"-")</f>
        <v>-0.42553191489361697</v>
      </c>
      <c r="J109" s="178">
        <f t="shared" si="41"/>
        <v>-20</v>
      </c>
      <c r="K109" s="161">
        <f t="shared" si="42"/>
        <v>3.1396444062002161E-4</v>
      </c>
    </row>
    <row r="110" spans="2:11" x14ac:dyDescent="0.25">
      <c r="B110" s="159" t="s">
        <v>100</v>
      </c>
      <c r="C110" s="160">
        <v>287</v>
      </c>
      <c r="D110" s="160">
        <v>6</v>
      </c>
      <c r="E110" s="160">
        <v>99</v>
      </c>
      <c r="F110" s="160">
        <v>128</v>
      </c>
      <c r="G110" s="160">
        <v>109</v>
      </c>
      <c r="H110" s="160">
        <v>146</v>
      </c>
      <c r="I110" s="175">
        <f>IFERROR(H110/G110-1,"-")</f>
        <v>0.33944954128440363</v>
      </c>
      <c r="J110" s="178">
        <f t="shared" si="41"/>
        <v>37</v>
      </c>
      <c r="K110" s="161">
        <f t="shared" si="42"/>
        <v>1.6977336418712281E-3</v>
      </c>
    </row>
    <row r="111" spans="2:11" x14ac:dyDescent="0.25">
      <c r="B111" s="155" t="s">
        <v>107</v>
      </c>
      <c r="C111" s="156">
        <v>4759</v>
      </c>
      <c r="D111" s="156">
        <v>0</v>
      </c>
      <c r="E111" s="156">
        <v>1482</v>
      </c>
      <c r="F111" s="156">
        <v>1984</v>
      </c>
      <c r="G111" s="156">
        <v>1842</v>
      </c>
      <c r="H111" s="156">
        <v>2063</v>
      </c>
      <c r="I111" s="174">
        <f>IFERROR(H111/G111-1,"-")</f>
        <v>0.11997828447339853</v>
      </c>
      <c r="J111" s="177">
        <f t="shared" si="41"/>
        <v>221</v>
      </c>
      <c r="K111" s="157">
        <f t="shared" si="42"/>
        <v>2.3989208925892763E-2</v>
      </c>
    </row>
    <row r="112" spans="2:11" x14ac:dyDescent="0.25">
      <c r="B112" s="159" t="s">
        <v>110</v>
      </c>
      <c r="C112" s="160">
        <v>2328</v>
      </c>
      <c r="D112" s="160">
        <v>0</v>
      </c>
      <c r="E112" s="160">
        <v>801</v>
      </c>
      <c r="F112" s="160">
        <v>1101</v>
      </c>
      <c r="G112" s="160">
        <v>917</v>
      </c>
      <c r="H112" s="160">
        <v>988</v>
      </c>
      <c r="I112" s="175">
        <f t="shared" ref="I112:I119" si="43">IFERROR(H112/G112-1,"-")</f>
        <v>7.7426390403489531E-2</v>
      </c>
      <c r="J112" s="178">
        <f t="shared" si="41"/>
        <v>71</v>
      </c>
      <c r="K112" s="161">
        <f t="shared" si="42"/>
        <v>1.148877286416968E-2</v>
      </c>
    </row>
    <row r="113" spans="2:11" x14ac:dyDescent="0.25">
      <c r="B113" s="159" t="s">
        <v>113</v>
      </c>
      <c r="C113" s="160">
        <v>267</v>
      </c>
      <c r="D113" s="160">
        <v>0</v>
      </c>
      <c r="E113" s="160">
        <v>85</v>
      </c>
      <c r="F113" s="160">
        <v>95</v>
      </c>
      <c r="G113" s="160">
        <v>85</v>
      </c>
      <c r="H113" s="160">
        <v>96</v>
      </c>
      <c r="I113" s="175">
        <f t="shared" si="43"/>
        <v>0.12941176470588234</v>
      </c>
      <c r="J113" s="178">
        <f t="shared" si="41"/>
        <v>11</v>
      </c>
      <c r="K113" s="161">
        <f t="shared" si="42"/>
        <v>1.1163180110934103E-3</v>
      </c>
    </row>
    <row r="114" spans="2:11" x14ac:dyDescent="0.25">
      <c r="B114" s="159" t="s">
        <v>116</v>
      </c>
      <c r="C114" s="160">
        <v>187</v>
      </c>
      <c r="D114" s="160">
        <v>0</v>
      </c>
      <c r="E114" s="160">
        <v>40</v>
      </c>
      <c r="F114" s="160">
        <v>68</v>
      </c>
      <c r="G114" s="160">
        <v>59</v>
      </c>
      <c r="H114" s="160">
        <v>51</v>
      </c>
      <c r="I114" s="175">
        <f t="shared" si="43"/>
        <v>-0.13559322033898302</v>
      </c>
      <c r="J114" s="178">
        <f t="shared" si="41"/>
        <v>-8</v>
      </c>
      <c r="K114" s="161">
        <f t="shared" si="42"/>
        <v>5.9304394339337418E-4</v>
      </c>
    </row>
    <row r="115" spans="2:11" x14ac:dyDescent="0.25">
      <c r="B115" s="159" t="s">
        <v>123</v>
      </c>
      <c r="C115" s="160">
        <v>81</v>
      </c>
      <c r="D115" s="160">
        <v>0</v>
      </c>
      <c r="E115" s="160">
        <v>67</v>
      </c>
      <c r="F115" s="160">
        <v>45</v>
      </c>
      <c r="G115" s="160">
        <v>32</v>
      </c>
      <c r="H115" s="160">
        <v>44</v>
      </c>
      <c r="I115" s="175">
        <f t="shared" si="43"/>
        <v>0.375</v>
      </c>
      <c r="J115" s="178">
        <f t="shared" si="41"/>
        <v>12</v>
      </c>
      <c r="K115" s="161">
        <f t="shared" si="42"/>
        <v>5.1164575508447967E-4</v>
      </c>
    </row>
    <row r="116" spans="2:11" x14ac:dyDescent="0.25">
      <c r="B116" s="159" t="s">
        <v>119</v>
      </c>
      <c r="C116" s="160">
        <v>109</v>
      </c>
      <c r="D116" s="160">
        <v>0</v>
      </c>
      <c r="E116" s="160">
        <v>20</v>
      </c>
      <c r="F116" s="160">
        <v>35</v>
      </c>
      <c r="G116" s="160">
        <v>28</v>
      </c>
      <c r="H116" s="160">
        <v>19</v>
      </c>
      <c r="I116" s="175">
        <f t="shared" si="43"/>
        <v>-0.3214285714285714</v>
      </c>
      <c r="J116" s="178">
        <f t="shared" si="41"/>
        <v>-9</v>
      </c>
      <c r="K116" s="161">
        <f t="shared" si="42"/>
        <v>2.2093793969557078E-4</v>
      </c>
    </row>
    <row r="117" spans="2:11" x14ac:dyDescent="0.25">
      <c r="B117" s="159" t="s">
        <v>128</v>
      </c>
      <c r="C117" s="160">
        <v>40</v>
      </c>
      <c r="D117" s="160">
        <v>0</v>
      </c>
      <c r="E117" s="160">
        <v>16</v>
      </c>
      <c r="F117" s="160">
        <v>38</v>
      </c>
      <c r="G117" s="160">
        <v>14</v>
      </c>
      <c r="H117" s="160">
        <v>2</v>
      </c>
      <c r="I117" s="175">
        <f t="shared" si="43"/>
        <v>-0.85714285714285721</v>
      </c>
      <c r="J117" s="178">
        <f t="shared" si="41"/>
        <v>-12</v>
      </c>
      <c r="K117" s="161">
        <f t="shared" si="42"/>
        <v>2.3256625231112715E-5</v>
      </c>
    </row>
    <row r="118" spans="2:11" x14ac:dyDescent="0.25">
      <c r="B118" s="159" t="s">
        <v>131</v>
      </c>
      <c r="C118" s="160">
        <v>117</v>
      </c>
      <c r="D118" s="160">
        <v>0</v>
      </c>
      <c r="E118" s="160">
        <v>10</v>
      </c>
      <c r="F118" s="160">
        <v>30</v>
      </c>
      <c r="G118" s="160">
        <v>16</v>
      </c>
      <c r="H118" s="160">
        <v>19</v>
      </c>
      <c r="I118" s="175">
        <f t="shared" si="43"/>
        <v>0.1875</v>
      </c>
      <c r="J118" s="178">
        <f t="shared" si="41"/>
        <v>3</v>
      </c>
      <c r="K118" s="161">
        <f t="shared" si="42"/>
        <v>2.2093793969557078E-4</v>
      </c>
    </row>
    <row r="119" spans="2:11" x14ac:dyDescent="0.25">
      <c r="B119" s="164" t="s">
        <v>145</v>
      </c>
      <c r="C119" s="165">
        <f t="shared" ref="C119:H119" si="44">IFERROR(C111-SUM(C112:C118),"nd")</f>
        <v>1630</v>
      </c>
      <c r="D119" s="165">
        <f t="shared" si="44"/>
        <v>0</v>
      </c>
      <c r="E119" s="165">
        <f t="shared" si="44"/>
        <v>443</v>
      </c>
      <c r="F119" s="165">
        <f t="shared" si="44"/>
        <v>572</v>
      </c>
      <c r="G119" s="165">
        <f t="shared" si="44"/>
        <v>691</v>
      </c>
      <c r="H119" s="165">
        <f t="shared" si="44"/>
        <v>844</v>
      </c>
      <c r="I119" s="176">
        <f t="shared" si="43"/>
        <v>0.22141823444283637</v>
      </c>
      <c r="J119" s="179">
        <f t="shared" si="41"/>
        <v>153</v>
      </c>
      <c r="K119" s="166">
        <f t="shared" si="42"/>
        <v>9.8142958475295645E-3</v>
      </c>
    </row>
    <row r="120" spans="2:11" x14ac:dyDescent="0.25">
      <c r="B120" s="151" t="s">
        <v>51</v>
      </c>
      <c r="C120" s="149"/>
      <c r="D120" s="149"/>
      <c r="E120" s="149"/>
      <c r="F120" s="149"/>
      <c r="G120" s="149"/>
      <c r="H120" s="149"/>
      <c r="I120" s="150"/>
      <c r="J120" s="150"/>
      <c r="K120" s="149"/>
    </row>
    <row r="121" spans="2:11" x14ac:dyDescent="0.25">
      <c r="B121" s="152" t="s">
        <v>68</v>
      </c>
      <c r="C121" s="172" t="str">
        <f t="shared" ref="C121:H121" si="45">IFERROR(C122+C125,"nd")</f>
        <v>nd</v>
      </c>
      <c r="D121" s="172" t="str">
        <f t="shared" si="45"/>
        <v>nd</v>
      </c>
      <c r="E121" s="172" t="str">
        <f t="shared" si="45"/>
        <v>nd</v>
      </c>
      <c r="F121" s="172" t="str">
        <f t="shared" si="45"/>
        <v>nd</v>
      </c>
      <c r="G121" s="172" t="str">
        <f t="shared" si="45"/>
        <v>nd</v>
      </c>
      <c r="H121" s="172" t="str">
        <f t="shared" si="45"/>
        <v>nd</v>
      </c>
      <c r="I121" s="173" t="str">
        <f>IFERROR(H121/G121-1,"-")</f>
        <v>-</v>
      </c>
      <c r="J121" s="172" t="str">
        <f>IFERROR(H121-G121,"-")</f>
        <v>-</v>
      </c>
      <c r="K121" s="173" t="str">
        <f>IFERROR(H121/H$9,"-")</f>
        <v>-</v>
      </c>
    </row>
    <row r="122" spans="2:11" x14ac:dyDescent="0.25">
      <c r="B122" s="155" t="s">
        <v>97</v>
      </c>
      <c r="C122" s="156" t="s">
        <v>315</v>
      </c>
      <c r="D122" s="156" t="s">
        <v>315</v>
      </c>
      <c r="E122" s="156" t="s">
        <v>315</v>
      </c>
      <c r="F122" s="156" t="s">
        <v>315</v>
      </c>
      <c r="G122" s="156" t="s">
        <v>315</v>
      </c>
      <c r="H122" s="156" t="s">
        <v>315</v>
      </c>
      <c r="I122" s="174" t="str">
        <f>IFERROR(H122/G122-1,"-")</f>
        <v>-</v>
      </c>
      <c r="J122" s="177" t="str">
        <f t="shared" ref="J122:J133" si="46">IFERROR(H122-G122,"-")</f>
        <v>-</v>
      </c>
      <c r="K122" s="157" t="str">
        <f t="shared" ref="K122:K133" si="47">IFERROR(H122/H$9,"-")</f>
        <v>-</v>
      </c>
    </row>
    <row r="123" spans="2:11" x14ac:dyDescent="0.25">
      <c r="B123" s="159" t="s">
        <v>103</v>
      </c>
      <c r="C123" s="160" t="s">
        <v>315</v>
      </c>
      <c r="D123" s="160" t="s">
        <v>315</v>
      </c>
      <c r="E123" s="160" t="s">
        <v>315</v>
      </c>
      <c r="F123" s="160" t="s">
        <v>315</v>
      </c>
      <c r="G123" s="160" t="s">
        <v>315</v>
      </c>
      <c r="H123" s="160" t="s">
        <v>315</v>
      </c>
      <c r="I123" s="175" t="str">
        <f>IFERROR(H123/G123-1,"-")</f>
        <v>-</v>
      </c>
      <c r="J123" s="178" t="str">
        <f t="shared" si="46"/>
        <v>-</v>
      </c>
      <c r="K123" s="161" t="str">
        <f t="shared" si="47"/>
        <v>-</v>
      </c>
    </row>
    <row r="124" spans="2:11" x14ac:dyDescent="0.25">
      <c r="B124" s="159" t="s">
        <v>100</v>
      </c>
      <c r="C124" s="160" t="s">
        <v>315</v>
      </c>
      <c r="D124" s="160" t="s">
        <v>315</v>
      </c>
      <c r="E124" s="160" t="s">
        <v>315</v>
      </c>
      <c r="F124" s="160" t="s">
        <v>315</v>
      </c>
      <c r="G124" s="160" t="s">
        <v>315</v>
      </c>
      <c r="H124" s="160" t="s">
        <v>315</v>
      </c>
      <c r="I124" s="175" t="str">
        <f>IFERROR(H124/G124-1,"-")</f>
        <v>-</v>
      </c>
      <c r="J124" s="178" t="str">
        <f t="shared" si="46"/>
        <v>-</v>
      </c>
      <c r="K124" s="161" t="str">
        <f t="shared" si="47"/>
        <v>-</v>
      </c>
    </row>
    <row r="125" spans="2:11" x14ac:dyDescent="0.25">
      <c r="B125" s="155" t="s">
        <v>107</v>
      </c>
      <c r="C125" s="156" t="s">
        <v>315</v>
      </c>
      <c r="D125" s="156" t="s">
        <v>315</v>
      </c>
      <c r="E125" s="156" t="s">
        <v>315</v>
      </c>
      <c r="F125" s="156" t="s">
        <v>315</v>
      </c>
      <c r="G125" s="156" t="s">
        <v>315</v>
      </c>
      <c r="H125" s="156" t="s">
        <v>315</v>
      </c>
      <c r="I125" s="174" t="str">
        <f>IFERROR(H125/G125-1,"-")</f>
        <v>-</v>
      </c>
      <c r="J125" s="177" t="str">
        <f t="shared" si="46"/>
        <v>-</v>
      </c>
      <c r="K125" s="157" t="str">
        <f t="shared" si="47"/>
        <v>-</v>
      </c>
    </row>
    <row r="126" spans="2:11" x14ac:dyDescent="0.25">
      <c r="B126" s="159" t="s">
        <v>110</v>
      </c>
      <c r="C126" s="160" t="s">
        <v>315</v>
      </c>
      <c r="D126" s="160" t="s">
        <v>315</v>
      </c>
      <c r="E126" s="160" t="s">
        <v>315</v>
      </c>
      <c r="F126" s="160" t="s">
        <v>315</v>
      </c>
      <c r="G126" s="160" t="s">
        <v>315</v>
      </c>
      <c r="H126" s="160" t="s">
        <v>315</v>
      </c>
      <c r="I126" s="175" t="str">
        <f t="shared" ref="I126:I133" si="48">IFERROR(H126/G126-1,"-")</f>
        <v>-</v>
      </c>
      <c r="J126" s="178" t="str">
        <f t="shared" si="46"/>
        <v>-</v>
      </c>
      <c r="K126" s="161" t="str">
        <f t="shared" si="47"/>
        <v>-</v>
      </c>
    </row>
    <row r="127" spans="2:11" x14ac:dyDescent="0.25">
      <c r="B127" s="159" t="s">
        <v>113</v>
      </c>
      <c r="C127" s="160" t="s">
        <v>315</v>
      </c>
      <c r="D127" s="160" t="s">
        <v>315</v>
      </c>
      <c r="E127" s="160" t="s">
        <v>315</v>
      </c>
      <c r="F127" s="160" t="s">
        <v>315</v>
      </c>
      <c r="G127" s="160" t="s">
        <v>315</v>
      </c>
      <c r="H127" s="160" t="s">
        <v>315</v>
      </c>
      <c r="I127" s="175" t="str">
        <f t="shared" si="48"/>
        <v>-</v>
      </c>
      <c r="J127" s="178" t="str">
        <f t="shared" si="46"/>
        <v>-</v>
      </c>
      <c r="K127" s="161" t="str">
        <f t="shared" si="47"/>
        <v>-</v>
      </c>
    </row>
    <row r="128" spans="2:11" x14ac:dyDescent="0.25">
      <c r="B128" s="159" t="s">
        <v>116</v>
      </c>
      <c r="C128" s="160" t="s">
        <v>315</v>
      </c>
      <c r="D128" s="160" t="s">
        <v>315</v>
      </c>
      <c r="E128" s="160" t="s">
        <v>315</v>
      </c>
      <c r="F128" s="160" t="s">
        <v>315</v>
      </c>
      <c r="G128" s="160" t="s">
        <v>315</v>
      </c>
      <c r="H128" s="160" t="s">
        <v>315</v>
      </c>
      <c r="I128" s="175" t="str">
        <f t="shared" si="48"/>
        <v>-</v>
      </c>
      <c r="J128" s="178" t="str">
        <f t="shared" si="46"/>
        <v>-</v>
      </c>
      <c r="K128" s="161" t="str">
        <f t="shared" si="47"/>
        <v>-</v>
      </c>
    </row>
    <row r="129" spans="2:11" x14ac:dyDescent="0.25">
      <c r="B129" s="159" t="s">
        <v>123</v>
      </c>
      <c r="C129" s="160" t="s">
        <v>315</v>
      </c>
      <c r="D129" s="160" t="s">
        <v>315</v>
      </c>
      <c r="E129" s="160" t="s">
        <v>315</v>
      </c>
      <c r="F129" s="160" t="s">
        <v>315</v>
      </c>
      <c r="G129" s="160" t="s">
        <v>315</v>
      </c>
      <c r="H129" s="160" t="s">
        <v>315</v>
      </c>
      <c r="I129" s="175" t="str">
        <f t="shared" si="48"/>
        <v>-</v>
      </c>
      <c r="J129" s="178" t="str">
        <f t="shared" si="46"/>
        <v>-</v>
      </c>
      <c r="K129" s="161" t="str">
        <f t="shared" si="47"/>
        <v>-</v>
      </c>
    </row>
    <row r="130" spans="2:11" x14ac:dyDescent="0.25">
      <c r="B130" s="159" t="s">
        <v>119</v>
      </c>
      <c r="C130" s="160" t="s">
        <v>315</v>
      </c>
      <c r="D130" s="160" t="s">
        <v>315</v>
      </c>
      <c r="E130" s="160" t="s">
        <v>315</v>
      </c>
      <c r="F130" s="160" t="s">
        <v>315</v>
      </c>
      <c r="G130" s="160" t="s">
        <v>315</v>
      </c>
      <c r="H130" s="160" t="s">
        <v>315</v>
      </c>
      <c r="I130" s="175" t="str">
        <f t="shared" si="48"/>
        <v>-</v>
      </c>
      <c r="J130" s="178" t="str">
        <f t="shared" si="46"/>
        <v>-</v>
      </c>
      <c r="K130" s="161" t="str">
        <f t="shared" si="47"/>
        <v>-</v>
      </c>
    </row>
    <row r="131" spans="2:11" x14ac:dyDescent="0.25">
      <c r="B131" s="159" t="s">
        <v>128</v>
      </c>
      <c r="C131" s="160" t="s">
        <v>315</v>
      </c>
      <c r="D131" s="160" t="s">
        <v>315</v>
      </c>
      <c r="E131" s="160" t="s">
        <v>315</v>
      </c>
      <c r="F131" s="160" t="s">
        <v>315</v>
      </c>
      <c r="G131" s="160" t="s">
        <v>315</v>
      </c>
      <c r="H131" s="160" t="s">
        <v>315</v>
      </c>
      <c r="I131" s="175" t="str">
        <f t="shared" si="48"/>
        <v>-</v>
      </c>
      <c r="J131" s="178" t="str">
        <f t="shared" si="46"/>
        <v>-</v>
      </c>
      <c r="K131" s="161" t="str">
        <f t="shared" si="47"/>
        <v>-</v>
      </c>
    </row>
    <row r="132" spans="2:11" x14ac:dyDescent="0.25">
      <c r="B132" s="159" t="s">
        <v>131</v>
      </c>
      <c r="C132" s="160" t="s">
        <v>315</v>
      </c>
      <c r="D132" s="160" t="s">
        <v>315</v>
      </c>
      <c r="E132" s="160" t="s">
        <v>315</v>
      </c>
      <c r="F132" s="160" t="s">
        <v>315</v>
      </c>
      <c r="G132" s="160" t="s">
        <v>315</v>
      </c>
      <c r="H132" s="160" t="s">
        <v>315</v>
      </c>
      <c r="I132" s="175" t="str">
        <f t="shared" si="48"/>
        <v>-</v>
      </c>
      <c r="J132" s="178" t="str">
        <f t="shared" si="46"/>
        <v>-</v>
      </c>
      <c r="K132" s="161" t="str">
        <f t="shared" si="47"/>
        <v>-</v>
      </c>
    </row>
    <row r="133" spans="2:11" x14ac:dyDescent="0.25">
      <c r="B133" s="164" t="s">
        <v>145</v>
      </c>
      <c r="C133" s="165" t="str">
        <f t="shared" ref="C133:H133" si="49">IFERROR(C125-SUM(C126:C132),"nd")</f>
        <v>nd</v>
      </c>
      <c r="D133" s="165" t="str">
        <f t="shared" si="49"/>
        <v>nd</v>
      </c>
      <c r="E133" s="165" t="str">
        <f t="shared" si="49"/>
        <v>nd</v>
      </c>
      <c r="F133" s="165" t="str">
        <f t="shared" si="49"/>
        <v>nd</v>
      </c>
      <c r="G133" s="165" t="str">
        <f t="shared" si="49"/>
        <v>nd</v>
      </c>
      <c r="H133" s="165" t="str">
        <f t="shared" si="49"/>
        <v>nd</v>
      </c>
      <c r="I133" s="176" t="str">
        <f t="shared" si="48"/>
        <v>-</v>
      </c>
      <c r="J133" s="179" t="str">
        <f t="shared" si="46"/>
        <v>-</v>
      </c>
      <c r="K133" s="166" t="str">
        <f t="shared" si="47"/>
        <v>-</v>
      </c>
    </row>
    <row r="134" spans="2:11" x14ac:dyDescent="0.25">
      <c r="B134" s="151" t="s">
        <v>52</v>
      </c>
      <c r="C134" s="149"/>
      <c r="D134" s="149"/>
      <c r="E134" s="149"/>
      <c r="F134" s="149"/>
      <c r="G134" s="149"/>
      <c r="H134" s="149"/>
      <c r="I134" s="150"/>
      <c r="J134" s="150"/>
      <c r="K134" s="149"/>
    </row>
    <row r="135" spans="2:11" x14ac:dyDescent="0.25">
      <c r="B135" s="152" t="s">
        <v>68</v>
      </c>
      <c r="C135" s="172">
        <f t="shared" ref="C135:H135" si="50">IFERROR(C136+C139,"nd")</f>
        <v>5052</v>
      </c>
      <c r="D135" s="172">
        <f t="shared" si="50"/>
        <v>372</v>
      </c>
      <c r="E135" s="172">
        <f t="shared" si="50"/>
        <v>3389</v>
      </c>
      <c r="F135" s="172">
        <f t="shared" si="50"/>
        <v>4088</v>
      </c>
      <c r="G135" s="172">
        <f t="shared" si="50"/>
        <v>4368</v>
      </c>
      <c r="H135" s="172">
        <f t="shared" si="50"/>
        <v>4398</v>
      </c>
      <c r="I135" s="173">
        <f>IFERROR(H135/G135-1,"-")</f>
        <v>6.8681318681318437E-3</v>
      </c>
      <c r="J135" s="172">
        <f>IFERROR(H135-G135,"-")</f>
        <v>30</v>
      </c>
      <c r="K135" s="173">
        <f>IFERROR(H135/H$9,"-")</f>
        <v>5.1141318883216859E-2</v>
      </c>
    </row>
    <row r="136" spans="2:11" x14ac:dyDescent="0.25">
      <c r="B136" s="155" t="s">
        <v>97</v>
      </c>
      <c r="C136" s="156">
        <v>128</v>
      </c>
      <c r="D136" s="156">
        <v>79</v>
      </c>
      <c r="E136" s="156">
        <v>127</v>
      </c>
      <c r="F136" s="156">
        <v>261</v>
      </c>
      <c r="G136" s="156">
        <v>266</v>
      </c>
      <c r="H136" s="156">
        <v>183</v>
      </c>
      <c r="I136" s="174">
        <f>IFERROR(H136/G136-1,"-")</f>
        <v>-0.31203007518796988</v>
      </c>
      <c r="J136" s="177">
        <f t="shared" ref="J136:J147" si="51">IFERROR(H136-G136,"-")</f>
        <v>-83</v>
      </c>
      <c r="K136" s="157">
        <f t="shared" ref="K136:K147" si="52">IFERROR(H136/H$9,"-")</f>
        <v>2.1279812086468131E-3</v>
      </c>
    </row>
    <row r="137" spans="2:11" x14ac:dyDescent="0.25">
      <c r="B137" s="159" t="s">
        <v>103</v>
      </c>
      <c r="C137" s="160">
        <v>74</v>
      </c>
      <c r="D137" s="160">
        <v>74</v>
      </c>
      <c r="E137" s="160">
        <v>17</v>
      </c>
      <c r="F137" s="160">
        <v>63</v>
      </c>
      <c r="G137" s="160">
        <v>126</v>
      </c>
      <c r="H137" s="160">
        <v>29</v>
      </c>
      <c r="I137" s="175">
        <f>IFERROR(H137/G137-1,"-")</f>
        <v>-0.76984126984126988</v>
      </c>
      <c r="J137" s="178">
        <f t="shared" si="51"/>
        <v>-97</v>
      </c>
      <c r="K137" s="161">
        <f t="shared" si="52"/>
        <v>3.3722106585113435E-4</v>
      </c>
    </row>
    <row r="138" spans="2:11" x14ac:dyDescent="0.25">
      <c r="B138" s="159" t="s">
        <v>100</v>
      </c>
      <c r="C138" s="160">
        <v>54</v>
      </c>
      <c r="D138" s="160">
        <v>5</v>
      </c>
      <c r="E138" s="160">
        <v>110</v>
      </c>
      <c r="F138" s="160">
        <v>198</v>
      </c>
      <c r="G138" s="160">
        <v>140</v>
      </c>
      <c r="H138" s="160">
        <v>154</v>
      </c>
      <c r="I138" s="175">
        <f>IFERROR(H138/G138-1,"-")</f>
        <v>0.10000000000000009</v>
      </c>
      <c r="J138" s="178">
        <f t="shared" si="51"/>
        <v>14</v>
      </c>
      <c r="K138" s="161">
        <f t="shared" si="52"/>
        <v>1.7907601427956789E-3</v>
      </c>
    </row>
    <row r="139" spans="2:11" x14ac:dyDescent="0.25">
      <c r="B139" s="155" t="s">
        <v>107</v>
      </c>
      <c r="C139" s="156">
        <v>4924</v>
      </c>
      <c r="D139" s="156">
        <v>293</v>
      </c>
      <c r="E139" s="156">
        <v>3262</v>
      </c>
      <c r="F139" s="156">
        <v>3827</v>
      </c>
      <c r="G139" s="156">
        <v>4102</v>
      </c>
      <c r="H139" s="156">
        <v>4215</v>
      </c>
      <c r="I139" s="174">
        <f>IFERROR(H139/G139-1,"-")</f>
        <v>2.7547537786445586E-2</v>
      </c>
      <c r="J139" s="177">
        <f t="shared" si="51"/>
        <v>113</v>
      </c>
      <c r="K139" s="157">
        <f t="shared" si="52"/>
        <v>4.9013337674570043E-2</v>
      </c>
    </row>
    <row r="140" spans="2:11" x14ac:dyDescent="0.25">
      <c r="B140" s="159" t="s">
        <v>110</v>
      </c>
      <c r="C140" s="160">
        <v>2387</v>
      </c>
      <c r="D140" s="160">
        <v>44</v>
      </c>
      <c r="E140" s="160">
        <v>1003</v>
      </c>
      <c r="F140" s="160">
        <v>1625</v>
      </c>
      <c r="G140" s="160">
        <v>1629</v>
      </c>
      <c r="H140" s="160">
        <v>1746</v>
      </c>
      <c r="I140" s="175">
        <f t="shared" ref="I140:I147" si="53">IFERROR(H140/G140-1,"-")</f>
        <v>7.182320441988943E-2</v>
      </c>
      <c r="J140" s="178">
        <f t="shared" si="51"/>
        <v>117</v>
      </c>
      <c r="K140" s="161">
        <f t="shared" si="52"/>
        <v>2.0303033826761397E-2</v>
      </c>
    </row>
    <row r="141" spans="2:11" x14ac:dyDescent="0.25">
      <c r="B141" s="159" t="s">
        <v>113</v>
      </c>
      <c r="C141" s="160">
        <v>287</v>
      </c>
      <c r="D141" s="160">
        <v>30</v>
      </c>
      <c r="E141" s="160">
        <v>333</v>
      </c>
      <c r="F141" s="160">
        <v>229</v>
      </c>
      <c r="G141" s="160">
        <v>272</v>
      </c>
      <c r="H141" s="160">
        <v>269</v>
      </c>
      <c r="I141" s="175">
        <f t="shared" si="53"/>
        <v>-1.1029411764705843E-2</v>
      </c>
      <c r="J141" s="178">
        <f t="shared" si="51"/>
        <v>-3</v>
      </c>
      <c r="K141" s="161">
        <f t="shared" si="52"/>
        <v>3.1280160935846599E-3</v>
      </c>
    </row>
    <row r="142" spans="2:11" x14ac:dyDescent="0.25">
      <c r="B142" s="159" t="s">
        <v>116</v>
      </c>
      <c r="C142" s="160">
        <v>104</v>
      </c>
      <c r="D142" s="160">
        <v>44</v>
      </c>
      <c r="E142" s="160">
        <v>123</v>
      </c>
      <c r="F142" s="160">
        <v>201</v>
      </c>
      <c r="G142" s="160">
        <v>194</v>
      </c>
      <c r="H142" s="160">
        <v>227</v>
      </c>
      <c r="I142" s="175">
        <f t="shared" si="53"/>
        <v>0.17010309278350522</v>
      </c>
      <c r="J142" s="178">
        <f t="shared" si="51"/>
        <v>33</v>
      </c>
      <c r="K142" s="161">
        <f t="shared" si="52"/>
        <v>2.6396269637312931E-3</v>
      </c>
    </row>
    <row r="143" spans="2:11" x14ac:dyDescent="0.25">
      <c r="B143" s="159" t="s">
        <v>123</v>
      </c>
      <c r="C143" s="160">
        <v>197</v>
      </c>
      <c r="D143" s="160">
        <v>3</v>
      </c>
      <c r="E143" s="160">
        <v>200</v>
      </c>
      <c r="F143" s="160">
        <v>111</v>
      </c>
      <c r="G143" s="160">
        <v>106</v>
      </c>
      <c r="H143" s="160">
        <v>102</v>
      </c>
      <c r="I143" s="175">
        <f t="shared" si="53"/>
        <v>-3.7735849056603765E-2</v>
      </c>
      <c r="J143" s="178">
        <f t="shared" si="51"/>
        <v>-4</v>
      </c>
      <c r="K143" s="161">
        <f t="shared" si="52"/>
        <v>1.1860878867867484E-3</v>
      </c>
    </row>
    <row r="144" spans="2:11" x14ac:dyDescent="0.25">
      <c r="B144" s="159" t="s">
        <v>119</v>
      </c>
      <c r="C144" s="160">
        <v>62</v>
      </c>
      <c r="D144" s="160">
        <v>1</v>
      </c>
      <c r="E144" s="160">
        <v>93</v>
      </c>
      <c r="F144" s="160">
        <v>58</v>
      </c>
      <c r="G144" s="160">
        <v>59</v>
      </c>
      <c r="H144" s="160">
        <v>86</v>
      </c>
      <c r="I144" s="175">
        <f t="shared" si="53"/>
        <v>0.45762711864406769</v>
      </c>
      <c r="J144" s="178">
        <f t="shared" si="51"/>
        <v>27</v>
      </c>
      <c r="K144" s="161">
        <f t="shared" si="52"/>
        <v>1.0000348849378466E-3</v>
      </c>
    </row>
    <row r="145" spans="2:11" x14ac:dyDescent="0.25">
      <c r="B145" s="159" t="s">
        <v>128</v>
      </c>
      <c r="C145" s="160">
        <v>140</v>
      </c>
      <c r="D145" s="160">
        <v>15</v>
      </c>
      <c r="E145" s="160">
        <v>88</v>
      </c>
      <c r="F145" s="160">
        <v>109</v>
      </c>
      <c r="G145" s="160">
        <v>72</v>
      </c>
      <c r="H145" s="160">
        <v>126</v>
      </c>
      <c r="I145" s="175">
        <f t="shared" si="53"/>
        <v>0.75</v>
      </c>
      <c r="J145" s="178">
        <f t="shared" si="51"/>
        <v>54</v>
      </c>
      <c r="K145" s="161">
        <f t="shared" si="52"/>
        <v>1.4651673895601008E-3</v>
      </c>
    </row>
    <row r="146" spans="2:11" x14ac:dyDescent="0.25">
      <c r="B146" s="159" t="s">
        <v>131</v>
      </c>
      <c r="C146" s="160">
        <v>291</v>
      </c>
      <c r="D146" s="160">
        <v>0</v>
      </c>
      <c r="E146" s="160">
        <v>25</v>
      </c>
      <c r="F146" s="160">
        <v>58</v>
      </c>
      <c r="G146" s="160">
        <v>97</v>
      </c>
      <c r="H146" s="160">
        <v>101</v>
      </c>
      <c r="I146" s="175">
        <f t="shared" si="53"/>
        <v>4.1237113402061931E-2</v>
      </c>
      <c r="J146" s="178">
        <f t="shared" si="51"/>
        <v>4</v>
      </c>
      <c r="K146" s="161">
        <f t="shared" si="52"/>
        <v>1.174459574171192E-3</v>
      </c>
    </row>
    <row r="147" spans="2:11" x14ac:dyDescent="0.25">
      <c r="B147" s="164" t="s">
        <v>145</v>
      </c>
      <c r="C147" s="165">
        <f t="shared" ref="C147:H147" si="54">IFERROR(C139-SUM(C140:C146),"nd")</f>
        <v>1456</v>
      </c>
      <c r="D147" s="165">
        <f t="shared" si="54"/>
        <v>156</v>
      </c>
      <c r="E147" s="165">
        <f t="shared" si="54"/>
        <v>1397</v>
      </c>
      <c r="F147" s="165">
        <f t="shared" si="54"/>
        <v>1436</v>
      </c>
      <c r="G147" s="165">
        <f t="shared" si="54"/>
        <v>1673</v>
      </c>
      <c r="H147" s="165">
        <f t="shared" si="54"/>
        <v>1558</v>
      </c>
      <c r="I147" s="176">
        <f t="shared" si="53"/>
        <v>-6.8738792588164954E-2</v>
      </c>
      <c r="J147" s="179">
        <f t="shared" si="51"/>
        <v>-115</v>
      </c>
      <c r="K147" s="166">
        <f t="shared" si="52"/>
        <v>1.8116911055036804E-2</v>
      </c>
    </row>
    <row r="148" spans="2:11" x14ac:dyDescent="0.25">
      <c r="B148" s="151" t="s">
        <v>53</v>
      </c>
      <c r="C148" s="149"/>
      <c r="D148" s="149"/>
      <c r="E148" s="149"/>
      <c r="F148" s="149"/>
      <c r="G148" s="149"/>
      <c r="H148" s="149"/>
      <c r="I148" s="150"/>
      <c r="J148" s="150"/>
      <c r="K148" s="149"/>
    </row>
    <row r="149" spans="2:11" x14ac:dyDescent="0.25">
      <c r="B149" s="152" t="s">
        <v>68</v>
      </c>
      <c r="C149" s="172">
        <f t="shared" ref="C149:H149" si="55">IFERROR(C150+C153,"nd")</f>
        <v>777</v>
      </c>
      <c r="D149" s="172">
        <f t="shared" si="55"/>
        <v>62</v>
      </c>
      <c r="E149" s="172">
        <f t="shared" si="55"/>
        <v>2523</v>
      </c>
      <c r="F149" s="172">
        <f t="shared" si="55"/>
        <v>1124</v>
      </c>
      <c r="G149" s="172">
        <f t="shared" si="55"/>
        <v>4581</v>
      </c>
      <c r="H149" s="172">
        <f t="shared" si="55"/>
        <v>4275</v>
      </c>
      <c r="I149" s="173">
        <f>IFERROR(H149/G149-1,"-")</f>
        <v>-6.6797642436149274E-2</v>
      </c>
      <c r="J149" s="172">
        <f>IFERROR(H149-G149,"-")</f>
        <v>-306</v>
      </c>
      <c r="K149" s="173">
        <f>IFERROR(H149/H$9,"-")</f>
        <v>4.9711036431503423E-2</v>
      </c>
    </row>
    <row r="150" spans="2:11" x14ac:dyDescent="0.25">
      <c r="B150" s="155" t="s">
        <v>97</v>
      </c>
      <c r="C150" s="156">
        <v>124</v>
      </c>
      <c r="D150" s="156">
        <v>13</v>
      </c>
      <c r="E150" s="156">
        <v>237</v>
      </c>
      <c r="F150" s="156">
        <v>121</v>
      </c>
      <c r="G150" s="156">
        <v>330</v>
      </c>
      <c r="H150" s="156">
        <v>210</v>
      </c>
      <c r="I150" s="174">
        <f>IFERROR(H150/G150-1,"-")</f>
        <v>-0.36363636363636365</v>
      </c>
      <c r="J150" s="177">
        <f t="shared" ref="J150:J161" si="56">IFERROR(H150-G150,"-")</f>
        <v>-120</v>
      </c>
      <c r="K150" s="157">
        <f t="shared" ref="K150:K161" si="57">IFERROR(H150/H$9,"-")</f>
        <v>2.4419456492668348E-3</v>
      </c>
    </row>
    <row r="151" spans="2:11" x14ac:dyDescent="0.25">
      <c r="B151" s="159" t="s">
        <v>103</v>
      </c>
      <c r="C151" s="160">
        <v>102</v>
      </c>
      <c r="D151" s="160">
        <v>3</v>
      </c>
      <c r="E151" s="160">
        <v>214</v>
      </c>
      <c r="F151" s="160">
        <v>43</v>
      </c>
      <c r="G151" s="160">
        <v>255</v>
      </c>
      <c r="H151" s="160">
        <v>153</v>
      </c>
      <c r="I151" s="175">
        <f>IFERROR(H151/G151-1,"-")</f>
        <v>-0.4</v>
      </c>
      <c r="J151" s="178">
        <f t="shared" si="56"/>
        <v>-102</v>
      </c>
      <c r="K151" s="161">
        <f t="shared" si="57"/>
        <v>1.7791318301801225E-3</v>
      </c>
    </row>
    <row r="152" spans="2:11" x14ac:dyDescent="0.25">
      <c r="B152" s="159" t="s">
        <v>100</v>
      </c>
      <c r="C152" s="160">
        <v>22</v>
      </c>
      <c r="D152" s="160">
        <v>10</v>
      </c>
      <c r="E152" s="160">
        <v>23</v>
      </c>
      <c r="F152" s="160">
        <v>78</v>
      </c>
      <c r="G152" s="160">
        <v>75</v>
      </c>
      <c r="H152" s="160">
        <v>57</v>
      </c>
      <c r="I152" s="175">
        <f>IFERROR(H152/G152-1,"-")</f>
        <v>-0.24</v>
      </c>
      <c r="J152" s="178">
        <f t="shared" si="56"/>
        <v>-18</v>
      </c>
      <c r="K152" s="161">
        <f t="shared" si="57"/>
        <v>6.6281381908671235E-4</v>
      </c>
    </row>
    <row r="153" spans="2:11" x14ac:dyDescent="0.25">
      <c r="B153" s="155" t="s">
        <v>107</v>
      </c>
      <c r="C153" s="156">
        <v>653</v>
      </c>
      <c r="D153" s="156">
        <v>49</v>
      </c>
      <c r="E153" s="156">
        <v>2286</v>
      </c>
      <c r="F153" s="156">
        <v>1003</v>
      </c>
      <c r="G153" s="156">
        <v>4251</v>
      </c>
      <c r="H153" s="156">
        <v>4065</v>
      </c>
      <c r="I153" s="174">
        <f>IFERROR(H153/G153-1,"-")</f>
        <v>-4.3754410726887794E-2</v>
      </c>
      <c r="J153" s="177">
        <f t="shared" si="56"/>
        <v>-186</v>
      </c>
      <c r="K153" s="157">
        <f t="shared" si="57"/>
        <v>4.7269090782236588E-2</v>
      </c>
    </row>
    <row r="154" spans="2:11" x14ac:dyDescent="0.25">
      <c r="B154" s="159" t="s">
        <v>110</v>
      </c>
      <c r="C154" s="160">
        <v>149</v>
      </c>
      <c r="D154" s="160">
        <v>4</v>
      </c>
      <c r="E154" s="160">
        <v>1197</v>
      </c>
      <c r="F154" s="160">
        <v>145</v>
      </c>
      <c r="G154" s="160">
        <v>2124</v>
      </c>
      <c r="H154" s="160">
        <v>1993</v>
      </c>
      <c r="I154" s="175">
        <f t="shared" ref="I154:I161" si="58">IFERROR(H154/G154-1,"-")</f>
        <v>-6.1676082862523574E-2</v>
      </c>
      <c r="J154" s="178">
        <f t="shared" si="56"/>
        <v>-131</v>
      </c>
      <c r="K154" s="161">
        <f t="shared" si="57"/>
        <v>2.3175227042803819E-2</v>
      </c>
    </row>
    <row r="155" spans="2:11" x14ac:dyDescent="0.25">
      <c r="B155" s="159" t="s">
        <v>113</v>
      </c>
      <c r="C155" s="160">
        <v>170</v>
      </c>
      <c r="D155" s="160">
        <v>20</v>
      </c>
      <c r="E155" s="160">
        <v>105</v>
      </c>
      <c r="F155" s="160">
        <v>315</v>
      </c>
      <c r="G155" s="160">
        <v>390</v>
      </c>
      <c r="H155" s="160">
        <v>252</v>
      </c>
      <c r="I155" s="175">
        <f t="shared" si="58"/>
        <v>-0.35384615384615381</v>
      </c>
      <c r="J155" s="178">
        <f t="shared" si="56"/>
        <v>-138</v>
      </c>
      <c r="K155" s="161">
        <f t="shared" si="57"/>
        <v>2.9303347791202017E-3</v>
      </c>
    </row>
    <row r="156" spans="2:11" x14ac:dyDescent="0.25">
      <c r="B156" s="159" t="s">
        <v>116</v>
      </c>
      <c r="C156" s="160">
        <v>28</v>
      </c>
      <c r="D156" s="160">
        <v>1</v>
      </c>
      <c r="E156" s="160">
        <v>6</v>
      </c>
      <c r="F156" s="160">
        <v>63</v>
      </c>
      <c r="G156" s="160">
        <v>60</v>
      </c>
      <c r="H156" s="160">
        <v>108</v>
      </c>
      <c r="I156" s="175">
        <f t="shared" si="58"/>
        <v>0.8</v>
      </c>
      <c r="J156" s="178">
        <f t="shared" si="56"/>
        <v>48</v>
      </c>
      <c r="K156" s="161">
        <f t="shared" si="57"/>
        <v>1.2558577624800864E-3</v>
      </c>
    </row>
    <row r="157" spans="2:11" x14ac:dyDescent="0.25">
      <c r="B157" s="159" t="s">
        <v>123</v>
      </c>
      <c r="C157" s="160">
        <v>8</v>
      </c>
      <c r="D157" s="160">
        <v>0</v>
      </c>
      <c r="E157" s="160">
        <v>577</v>
      </c>
      <c r="F157" s="160">
        <v>62</v>
      </c>
      <c r="G157" s="160">
        <v>261</v>
      </c>
      <c r="H157" s="160">
        <v>382</v>
      </c>
      <c r="I157" s="175">
        <f t="shared" si="58"/>
        <v>0.46360153256704972</v>
      </c>
      <c r="J157" s="178">
        <f t="shared" si="56"/>
        <v>121</v>
      </c>
      <c r="K157" s="161">
        <f t="shared" si="57"/>
        <v>4.4420154191425285E-3</v>
      </c>
    </row>
    <row r="158" spans="2:11" x14ac:dyDescent="0.25">
      <c r="B158" s="159" t="s">
        <v>119</v>
      </c>
      <c r="C158" s="160">
        <v>21</v>
      </c>
      <c r="D158" s="160">
        <v>2</v>
      </c>
      <c r="E158" s="160">
        <v>0</v>
      </c>
      <c r="F158" s="160">
        <v>71</v>
      </c>
      <c r="G158" s="160">
        <v>66</v>
      </c>
      <c r="H158" s="160">
        <v>11</v>
      </c>
      <c r="I158" s="175">
        <f t="shared" si="58"/>
        <v>-0.83333333333333337</v>
      </c>
      <c r="J158" s="178">
        <f t="shared" si="56"/>
        <v>-55</v>
      </c>
      <c r="K158" s="161">
        <f t="shared" si="57"/>
        <v>1.2791143877111992E-4</v>
      </c>
    </row>
    <row r="159" spans="2:11" x14ac:dyDescent="0.25">
      <c r="B159" s="159" t="s">
        <v>128</v>
      </c>
      <c r="C159" s="160">
        <v>55</v>
      </c>
      <c r="D159" s="160">
        <v>0</v>
      </c>
      <c r="E159" s="160">
        <v>132</v>
      </c>
      <c r="F159" s="160">
        <v>71</v>
      </c>
      <c r="G159" s="160">
        <v>102</v>
      </c>
      <c r="H159" s="160">
        <v>234</v>
      </c>
      <c r="I159" s="175">
        <f t="shared" si="58"/>
        <v>1.2941176470588234</v>
      </c>
      <c r="J159" s="178">
        <f t="shared" si="56"/>
        <v>132</v>
      </c>
      <c r="K159" s="161">
        <f t="shared" si="57"/>
        <v>2.7210251520401875E-3</v>
      </c>
    </row>
    <row r="160" spans="2:11" x14ac:dyDescent="0.25">
      <c r="B160" s="159" t="s">
        <v>131</v>
      </c>
      <c r="C160" s="160">
        <v>14</v>
      </c>
      <c r="D160" s="160">
        <v>0</v>
      </c>
      <c r="E160" s="160">
        <v>138</v>
      </c>
      <c r="F160" s="160">
        <v>8</v>
      </c>
      <c r="G160" s="160">
        <v>502</v>
      </c>
      <c r="H160" s="160">
        <v>452</v>
      </c>
      <c r="I160" s="175">
        <f t="shared" si="58"/>
        <v>-9.9601593625498031E-2</v>
      </c>
      <c r="J160" s="178">
        <f t="shared" si="56"/>
        <v>-50</v>
      </c>
      <c r="K160" s="161">
        <f t="shared" si="57"/>
        <v>5.2559973022314735E-3</v>
      </c>
    </row>
    <row r="161" spans="2:11" x14ac:dyDescent="0.25">
      <c r="B161" s="164" t="s">
        <v>145</v>
      </c>
      <c r="C161" s="165">
        <f t="shared" ref="C161:H161" si="59">IFERROR(C153-SUM(C154:C160),"nd")</f>
        <v>208</v>
      </c>
      <c r="D161" s="165">
        <f t="shared" si="59"/>
        <v>22</v>
      </c>
      <c r="E161" s="165">
        <f t="shared" si="59"/>
        <v>131</v>
      </c>
      <c r="F161" s="165">
        <f t="shared" si="59"/>
        <v>268</v>
      </c>
      <c r="G161" s="165">
        <f t="shared" si="59"/>
        <v>746</v>
      </c>
      <c r="H161" s="165">
        <f t="shared" si="59"/>
        <v>633</v>
      </c>
      <c r="I161" s="176">
        <f t="shared" si="58"/>
        <v>-0.15147453083109919</v>
      </c>
      <c r="J161" s="179">
        <f t="shared" si="56"/>
        <v>-113</v>
      </c>
      <c r="K161" s="166">
        <f t="shared" si="57"/>
        <v>7.3607218856471734E-3</v>
      </c>
    </row>
    <row r="162" spans="2:11" x14ac:dyDescent="0.25">
      <c r="C162" s="79"/>
      <c r="D162" s="79"/>
      <c r="E162" s="79"/>
      <c r="F162" s="79"/>
      <c r="G162" s="79"/>
      <c r="H162" s="79"/>
      <c r="I162" s="79"/>
    </row>
    <row r="163" spans="2:11" x14ac:dyDescent="0.25">
      <c r="B163" s="105" t="s">
        <v>55</v>
      </c>
      <c r="C163" s="105"/>
      <c r="D163" s="105"/>
      <c r="E163" s="105"/>
      <c r="F163" s="105"/>
      <c r="G163" s="105"/>
      <c r="H163" s="105"/>
      <c r="I163" s="105"/>
      <c r="J163" s="105"/>
      <c r="K163" s="105"/>
    </row>
  </sheetData>
  <mergeCells count="3">
    <mergeCell ref="B4:I4"/>
    <mergeCell ref="C6:K6"/>
    <mergeCell ref="O6:W6"/>
  </mergeCells>
  <pageMargins left="0.25" right="0.25" top="0.75" bottom="0.75" header="0.3" footer="0.3"/>
  <pageSetup paperSize="9" scale="88" orientation="landscape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C28444-6AB8-4FC1-81B9-3F6521EBB4B3}">
  <sheetPr codeName="Hoja18">
    <tabColor theme="7" tint="0.79998168889431442"/>
    <pageSetUpPr fitToPage="1"/>
  </sheetPr>
  <dimension ref="A1:Y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6" width="11.7109375" customWidth="1"/>
    <col min="7" max="8" width="11" customWidth="1"/>
    <col min="9" max="10" width="10.5703125" customWidth="1"/>
    <col min="11" max="14" width="11.7109375" customWidth="1"/>
    <col min="15" max="16" width="11" customWidth="1"/>
    <col min="17" max="18" width="10.5703125" customWidth="1"/>
    <col min="19" max="21" width="11.7109375" customWidth="1"/>
    <col min="22" max="23" width="11" customWidth="1"/>
    <col min="24" max="25" width="10.5703125" customWidth="1"/>
  </cols>
  <sheetData>
    <row r="1" spans="1:25" ht="42.75" customHeight="1" x14ac:dyDescent="0.25"/>
    <row r="3" spans="1:25" ht="42" customHeight="1" thickBot="1" x14ac:dyDescent="0.3">
      <c r="B3" s="139" t="str">
        <f>CONCATENATE("Viajeros entrados en los establecimientos hoteleros de Tenerife según lugar de residencia, categoría y municipio del alojamiento")</f>
        <v>Viajeros entrados en los establecimientos hoteleros de Tenerife según lugar de residencia, categoría y municipio del alojamiento</v>
      </c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140"/>
    </row>
    <row r="4" spans="1:25" ht="6" customHeight="1" x14ac:dyDescent="0.25"/>
    <row r="5" spans="1:25" ht="15.75" x14ac:dyDescent="0.25">
      <c r="B5" s="180"/>
      <c r="C5" s="298" t="s">
        <v>62</v>
      </c>
      <c r="D5" s="299"/>
      <c r="E5" s="299"/>
      <c r="F5" s="299"/>
      <c r="G5" s="299"/>
      <c r="H5" s="299"/>
      <c r="I5" s="299"/>
      <c r="J5" s="299"/>
      <c r="K5" s="298" t="s">
        <v>61</v>
      </c>
      <c r="L5" s="299"/>
      <c r="M5" s="299"/>
      <c r="N5" s="299"/>
      <c r="O5" s="299"/>
      <c r="P5" s="299"/>
      <c r="Q5" s="299"/>
      <c r="R5" s="299"/>
      <c r="S5" s="298" t="s">
        <v>137</v>
      </c>
      <c r="T5" s="299"/>
      <c r="U5" s="299"/>
      <c r="V5" s="299"/>
      <c r="W5" s="299"/>
      <c r="X5" s="299"/>
      <c r="Y5" s="299"/>
    </row>
    <row r="6" spans="1:25" s="142" customFormat="1" ht="72" customHeight="1" x14ac:dyDescent="0.25">
      <c r="B6" s="143"/>
      <c r="C6" s="168" t="s">
        <v>316</v>
      </c>
      <c r="D6" s="168" t="s">
        <v>317</v>
      </c>
      <c r="E6" s="168" t="s">
        <v>318</v>
      </c>
      <c r="F6" s="168" t="s">
        <v>319</v>
      </c>
      <c r="G6" s="168" t="s">
        <v>320</v>
      </c>
      <c r="H6" s="168" t="s">
        <v>321</v>
      </c>
      <c r="I6" s="169" t="str">
        <f>CONCATENATE("var. ",RIGHT(H6,2),"/",RIGHT(G6,2))</f>
        <v>var. 25/24</v>
      </c>
      <c r="J6" s="169" t="str">
        <f>CONCATENATE("Cuota s/ total lugares de residencia ",RIGHT(H6,4))</f>
        <v>Cuota s/ total lugares de residencia 2025</v>
      </c>
      <c r="K6" s="168" t="s">
        <v>316</v>
      </c>
      <c r="L6" s="168" t="s">
        <v>317</v>
      </c>
      <c r="M6" s="168" t="s">
        <v>318</v>
      </c>
      <c r="N6" s="168" t="s">
        <v>319</v>
      </c>
      <c r="O6" s="168" t="s">
        <v>320</v>
      </c>
      <c r="P6" s="168" t="s">
        <v>321</v>
      </c>
      <c r="Q6" s="169" t="str">
        <f>CONCATENATE("var. ",RIGHT(P6,2),"/",RIGHT(O6,2))</f>
        <v>var. 25/24</v>
      </c>
      <c r="R6" s="169" t="str">
        <f>CONCATENATE("Cuota s/ total lugares de residencia ",RIGHT(P6,4))</f>
        <v>Cuota s/ total lugares de residencia 2025</v>
      </c>
      <c r="S6" s="168" t="s">
        <v>316</v>
      </c>
      <c r="T6" s="168" t="s">
        <v>318</v>
      </c>
      <c r="U6" s="168" t="s">
        <v>319</v>
      </c>
      <c r="V6" s="168" t="s">
        <v>320</v>
      </c>
      <c r="W6" s="168" t="s">
        <v>321</v>
      </c>
      <c r="X6" s="169" t="str">
        <f>CONCATENATE("var. ",RIGHT(W6,2),"/",RIGHT(V6,2))</f>
        <v>var. 25/24</v>
      </c>
      <c r="Y6" s="169" t="str">
        <f>CONCATENATE("Cuota s/ total lugares de residencia ",RIGHT(W6,4))</f>
        <v>Cuota s/ total lugares de residencia 2025</v>
      </c>
    </row>
    <row r="7" spans="1:25" x14ac:dyDescent="0.25">
      <c r="A7" s="1"/>
      <c r="B7" s="148" t="s">
        <v>43</v>
      </c>
      <c r="C7" s="149"/>
      <c r="D7" s="149"/>
      <c r="E7" s="149"/>
      <c r="F7" s="149"/>
      <c r="G7" s="149"/>
      <c r="H7" s="149"/>
      <c r="I7" s="149"/>
      <c r="J7" s="149"/>
      <c r="K7" s="149"/>
      <c r="L7" s="149"/>
      <c r="M7" s="149"/>
      <c r="N7" s="149"/>
      <c r="O7" s="149"/>
      <c r="P7" s="149"/>
      <c r="Q7" s="149"/>
      <c r="R7" s="149"/>
      <c r="S7" s="149"/>
      <c r="T7" s="149"/>
      <c r="U7" s="149"/>
      <c r="V7" s="149"/>
      <c r="W7" s="149"/>
      <c r="X7" s="149"/>
      <c r="Y7" s="149"/>
    </row>
    <row r="8" spans="1:25" x14ac:dyDescent="0.25">
      <c r="A8" s="1"/>
      <c r="B8" s="152" t="s">
        <v>68</v>
      </c>
      <c r="C8" s="172">
        <f t="shared" ref="C8:H8" si="0">C9+C12</f>
        <v>59717</v>
      </c>
      <c r="D8" s="172">
        <f t="shared" si="0"/>
        <v>9452</v>
      </c>
      <c r="E8" s="172">
        <f t="shared" si="0"/>
        <v>37300</v>
      </c>
      <c r="F8" s="172">
        <f t="shared" si="0"/>
        <v>59970</v>
      </c>
      <c r="G8" s="172">
        <f t="shared" si="0"/>
        <v>56945</v>
      </c>
      <c r="H8" s="172">
        <f t="shared" si="0"/>
        <v>64075</v>
      </c>
      <c r="I8" s="173">
        <f>IFERROR(H8/G8-1,"-")</f>
        <v>0.12520853455088243</v>
      </c>
      <c r="J8" s="173">
        <f t="shared" ref="J8:J20" si="1">H8/H$8</f>
        <v>1</v>
      </c>
      <c r="K8" s="172">
        <f t="shared" ref="K8:P8" si="2">K9+K12</f>
        <v>233512</v>
      </c>
      <c r="L8" s="172">
        <f t="shared" si="2"/>
        <v>26219</v>
      </c>
      <c r="M8" s="172">
        <f t="shared" si="2"/>
        <v>174422</v>
      </c>
      <c r="N8" s="172">
        <f t="shared" si="2"/>
        <v>263189</v>
      </c>
      <c r="O8" s="172">
        <f t="shared" si="2"/>
        <v>271495</v>
      </c>
      <c r="P8" s="172">
        <f t="shared" si="2"/>
        <v>272390</v>
      </c>
      <c r="Q8" s="173">
        <f>IFERROR(P8/O8-1,"-")</f>
        <v>3.2965616309692525E-3</v>
      </c>
      <c r="R8" s="173">
        <f t="shared" ref="R8:R20" si="3">P8/P$8</f>
        <v>1</v>
      </c>
      <c r="S8" s="172">
        <f>S9+S12</f>
        <v>293229</v>
      </c>
      <c r="T8" s="172">
        <f>T9+T12</f>
        <v>211722</v>
      </c>
      <c r="U8" s="172">
        <f>U9+U12</f>
        <v>323159</v>
      </c>
      <c r="V8" s="172">
        <f>V9+V12</f>
        <v>328440</v>
      </c>
      <c r="W8" s="172">
        <f>W9+W12</f>
        <v>336465</v>
      </c>
      <c r="X8" s="173">
        <f>IFERROR(W8/V8-1,"-")</f>
        <v>2.4433686518085418E-2</v>
      </c>
      <c r="Y8" s="173">
        <f>W8/W$8</f>
        <v>1</v>
      </c>
    </row>
    <row r="9" spans="1:25" x14ac:dyDescent="0.25">
      <c r="A9" s="1"/>
      <c r="B9" s="155" t="s">
        <v>97</v>
      </c>
      <c r="C9" s="156">
        <v>12261</v>
      </c>
      <c r="D9" s="156">
        <v>4012</v>
      </c>
      <c r="E9" s="156">
        <v>7444</v>
      </c>
      <c r="F9" s="156">
        <v>13886</v>
      </c>
      <c r="G9" s="156">
        <v>11464</v>
      </c>
      <c r="H9" s="156">
        <v>11473</v>
      </c>
      <c r="I9" s="157">
        <f>IFERROR(H9/G9-1,"-")</f>
        <v>7.8506629448704679E-4</v>
      </c>
      <c r="J9" s="157">
        <f t="shared" si="1"/>
        <v>0.1790557939914163</v>
      </c>
      <c r="K9" s="156">
        <v>36968</v>
      </c>
      <c r="L9" s="156">
        <v>12750</v>
      </c>
      <c r="M9" s="156">
        <v>29777</v>
      </c>
      <c r="N9" s="156">
        <v>41391</v>
      </c>
      <c r="O9" s="156">
        <v>36824</v>
      </c>
      <c r="P9" s="156">
        <v>38016</v>
      </c>
      <c r="Q9" s="157">
        <f>IFERROR(P9/O9-1,"-")</f>
        <v>3.2370193352161625E-2</v>
      </c>
      <c r="R9" s="157">
        <f t="shared" si="3"/>
        <v>0.13956459488233783</v>
      </c>
      <c r="S9" s="156">
        <v>49229</v>
      </c>
      <c r="T9" s="156">
        <v>37221</v>
      </c>
      <c r="U9" s="156">
        <v>55277</v>
      </c>
      <c r="V9" s="156">
        <v>48288</v>
      </c>
      <c r="W9" s="156">
        <v>49489</v>
      </c>
      <c r="X9" s="157">
        <f>IFERROR(W9/V9-1,"-")</f>
        <v>2.4871603711067003E-2</v>
      </c>
      <c r="Y9" s="157">
        <f>W9/W$8</f>
        <v>0.14708513515521673</v>
      </c>
    </row>
    <row r="10" spans="1:25" x14ac:dyDescent="0.25">
      <c r="A10" s="158"/>
      <c r="B10" s="159" t="s">
        <v>103</v>
      </c>
      <c r="C10" s="160">
        <v>5703</v>
      </c>
      <c r="D10" s="160">
        <v>2792</v>
      </c>
      <c r="E10" s="160">
        <v>3792</v>
      </c>
      <c r="F10" s="160">
        <v>7684</v>
      </c>
      <c r="G10" s="160">
        <v>5847</v>
      </c>
      <c r="H10" s="160">
        <v>5197</v>
      </c>
      <c r="I10" s="161">
        <f>IFERROR(H10/G10-1,"-")</f>
        <v>-0.11116812040362578</v>
      </c>
      <c r="J10" s="161">
        <f t="shared" si="1"/>
        <v>8.1108076472883345E-2</v>
      </c>
      <c r="K10" s="160">
        <v>9372</v>
      </c>
      <c r="L10" s="160">
        <v>8930</v>
      </c>
      <c r="M10" s="160">
        <v>10777</v>
      </c>
      <c r="N10" s="160">
        <v>13560</v>
      </c>
      <c r="O10" s="160">
        <v>10957</v>
      </c>
      <c r="P10" s="160">
        <v>10154</v>
      </c>
      <c r="Q10" s="161">
        <f>IFERROR(P10/O10-1,"-")</f>
        <v>-7.328648352651268E-2</v>
      </c>
      <c r="R10" s="161">
        <f t="shared" si="3"/>
        <v>3.7277433092257423E-2</v>
      </c>
      <c r="S10" s="160">
        <v>15075</v>
      </c>
      <c r="T10" s="160">
        <v>14569</v>
      </c>
      <c r="U10" s="160">
        <v>21244</v>
      </c>
      <c r="V10" s="160">
        <v>16804</v>
      </c>
      <c r="W10" s="160">
        <v>15351</v>
      </c>
      <c r="X10" s="161">
        <f>IFERROR(W10/V10-1,"-")</f>
        <v>-8.6467507736253224E-2</v>
      </c>
      <c r="Y10" s="161">
        <f>W10/W$8</f>
        <v>4.5624359145824973E-2</v>
      </c>
    </row>
    <row r="11" spans="1:25" x14ac:dyDescent="0.25">
      <c r="A11" s="158"/>
      <c r="B11" s="159" t="s">
        <v>100</v>
      </c>
      <c r="C11" s="160">
        <v>6558</v>
      </c>
      <c r="D11" s="160">
        <v>1220</v>
      </c>
      <c r="E11" s="160">
        <v>3652</v>
      </c>
      <c r="F11" s="160">
        <v>6202</v>
      </c>
      <c r="G11" s="160">
        <v>5617</v>
      </c>
      <c r="H11" s="160">
        <v>6276</v>
      </c>
      <c r="I11" s="161">
        <f>IFERROR(H11/G11-1,"-")</f>
        <v>0.11732241410005351</v>
      </c>
      <c r="J11" s="161">
        <f t="shared" si="1"/>
        <v>9.794771751853297E-2</v>
      </c>
      <c r="K11" s="160">
        <v>27596</v>
      </c>
      <c r="L11" s="160">
        <v>3820</v>
      </c>
      <c r="M11" s="160">
        <v>19000</v>
      </c>
      <c r="N11" s="160">
        <v>27831</v>
      </c>
      <c r="O11" s="160">
        <v>25867</v>
      </c>
      <c r="P11" s="160">
        <v>27862</v>
      </c>
      <c r="Q11" s="161">
        <f>IFERROR(P11/O11-1,"-")</f>
        <v>7.7125294777129261E-2</v>
      </c>
      <c r="R11" s="161">
        <f t="shared" si="3"/>
        <v>0.10228716179008041</v>
      </c>
      <c r="S11" s="160">
        <v>34154</v>
      </c>
      <c r="T11" s="160">
        <v>22652</v>
      </c>
      <c r="U11" s="160">
        <v>34033</v>
      </c>
      <c r="V11" s="160">
        <v>31484</v>
      </c>
      <c r="W11" s="160">
        <v>34138</v>
      </c>
      <c r="X11" s="161">
        <f>IFERROR(W11/V11-1,"-")</f>
        <v>8.4296785668911189E-2</v>
      </c>
      <c r="Y11" s="161">
        <f>W11/W$8</f>
        <v>0.10146077600939177</v>
      </c>
    </row>
    <row r="12" spans="1:25" x14ac:dyDescent="0.25">
      <c r="A12" s="1"/>
      <c r="B12" s="155" t="s">
        <v>107</v>
      </c>
      <c r="C12" s="156">
        <v>47456</v>
      </c>
      <c r="D12" s="156">
        <v>5440</v>
      </c>
      <c r="E12" s="156">
        <v>29856</v>
      </c>
      <c r="F12" s="156">
        <v>46084</v>
      </c>
      <c r="G12" s="156">
        <v>45481</v>
      </c>
      <c r="H12" s="156">
        <v>52602</v>
      </c>
      <c r="I12" s="157">
        <f>IFERROR(H12/G12-1,"-")</f>
        <v>0.15657087575031325</v>
      </c>
      <c r="J12" s="157">
        <f t="shared" si="1"/>
        <v>0.82094420600858364</v>
      </c>
      <c r="K12" s="156">
        <v>196544</v>
      </c>
      <c r="L12" s="156">
        <v>13469</v>
      </c>
      <c r="M12" s="156">
        <v>144645</v>
      </c>
      <c r="N12" s="156">
        <v>221798</v>
      </c>
      <c r="O12" s="156">
        <v>234671</v>
      </c>
      <c r="P12" s="156">
        <v>234374</v>
      </c>
      <c r="Q12" s="157">
        <f>IFERROR(P12/O12-1,"-")</f>
        <v>-1.2656016295153893E-3</v>
      </c>
      <c r="R12" s="157">
        <f t="shared" si="3"/>
        <v>0.86043540511766214</v>
      </c>
      <c r="S12" s="156">
        <v>244000</v>
      </c>
      <c r="T12" s="156">
        <v>174501</v>
      </c>
      <c r="U12" s="156">
        <v>267882</v>
      </c>
      <c r="V12" s="156">
        <v>280152</v>
      </c>
      <c r="W12" s="156">
        <v>286976</v>
      </c>
      <c r="X12" s="157">
        <f>IFERROR(W12/V12-1,"-")</f>
        <v>2.4358205545560896E-2</v>
      </c>
      <c r="Y12" s="157">
        <f>W12/W$8</f>
        <v>0.85291486484478329</v>
      </c>
    </row>
    <row r="13" spans="1:25" s="56" customFormat="1" x14ac:dyDescent="0.25">
      <c r="B13" s="159" t="s">
        <v>110</v>
      </c>
      <c r="C13" s="160">
        <v>15299</v>
      </c>
      <c r="D13" s="160">
        <v>753</v>
      </c>
      <c r="E13" s="160">
        <v>7471</v>
      </c>
      <c r="F13" s="160">
        <v>13782</v>
      </c>
      <c r="G13" s="160">
        <v>14026</v>
      </c>
      <c r="H13" s="160">
        <v>16723</v>
      </c>
      <c r="I13" s="161">
        <f t="shared" ref="I13:I20" si="4">IFERROR(H13/G13-1,"-")</f>
        <v>0.19228575502637968</v>
      </c>
      <c r="J13" s="161">
        <f t="shared" si="1"/>
        <v>0.26099102614124076</v>
      </c>
      <c r="K13" s="160">
        <v>77320</v>
      </c>
      <c r="L13" s="160">
        <v>764</v>
      </c>
      <c r="M13" s="160">
        <v>48762</v>
      </c>
      <c r="N13" s="160">
        <v>84804</v>
      </c>
      <c r="O13" s="160">
        <v>95843</v>
      </c>
      <c r="P13" s="160">
        <v>97428</v>
      </c>
      <c r="Q13" s="161">
        <f t="shared" ref="Q13:Q20" si="5">IFERROR(P13/O13-1,"-")</f>
        <v>1.6537462308149786E-2</v>
      </c>
      <c r="R13" s="161">
        <f t="shared" si="3"/>
        <v>0.35767832886669848</v>
      </c>
      <c r="S13" s="160">
        <v>92619</v>
      </c>
      <c r="T13" s="160">
        <v>56233</v>
      </c>
      <c r="U13" s="160">
        <v>98586</v>
      </c>
      <c r="V13" s="160">
        <v>109869</v>
      </c>
      <c r="W13" s="160">
        <v>114151</v>
      </c>
      <c r="X13" s="161">
        <f t="shared" ref="X13:X20" si="6">IFERROR(W13/V13-1,"-")</f>
        <v>3.897368684524305E-2</v>
      </c>
      <c r="Y13" s="161">
        <f t="shared" ref="Y13:Y20" si="7">W13/W$8</f>
        <v>0.33926559969090397</v>
      </c>
    </row>
    <row r="14" spans="1:25" s="56" customFormat="1" x14ac:dyDescent="0.25">
      <c r="B14" s="159" t="s">
        <v>113</v>
      </c>
      <c r="C14" s="160">
        <v>7213</v>
      </c>
      <c r="D14" s="160">
        <v>1042</v>
      </c>
      <c r="E14" s="160">
        <v>4371</v>
      </c>
      <c r="F14" s="160">
        <v>6642</v>
      </c>
      <c r="G14" s="160">
        <v>7073</v>
      </c>
      <c r="H14" s="160">
        <v>7740</v>
      </c>
      <c r="I14" s="161">
        <f t="shared" si="4"/>
        <v>9.4302276261840845E-2</v>
      </c>
      <c r="J14" s="161">
        <f t="shared" si="1"/>
        <v>0.12079594225516972</v>
      </c>
      <c r="K14" s="160">
        <v>28594</v>
      </c>
      <c r="L14" s="160">
        <v>2082</v>
      </c>
      <c r="M14" s="160">
        <v>17354</v>
      </c>
      <c r="N14" s="160">
        <v>27467</v>
      </c>
      <c r="O14" s="160">
        <v>29897</v>
      </c>
      <c r="P14" s="160">
        <v>28415</v>
      </c>
      <c r="Q14" s="161">
        <f t="shared" si="5"/>
        <v>-4.9570190989062457E-2</v>
      </c>
      <c r="R14" s="161">
        <f t="shared" si="3"/>
        <v>0.10431733910936525</v>
      </c>
      <c r="S14" s="160">
        <v>35807</v>
      </c>
      <c r="T14" s="160">
        <v>21725</v>
      </c>
      <c r="U14" s="160">
        <v>34109</v>
      </c>
      <c r="V14" s="160">
        <v>36970</v>
      </c>
      <c r="W14" s="160">
        <v>36155</v>
      </c>
      <c r="X14" s="161">
        <f t="shared" si="6"/>
        <v>-2.2044901271301098E-2</v>
      </c>
      <c r="Y14" s="161">
        <f t="shared" si="7"/>
        <v>0.10745545599096488</v>
      </c>
    </row>
    <row r="15" spans="1:25" x14ac:dyDescent="0.25">
      <c r="A15" s="1"/>
      <c r="B15" s="159" t="s">
        <v>116</v>
      </c>
      <c r="C15" s="160">
        <v>2948</v>
      </c>
      <c r="D15" s="160">
        <v>1211</v>
      </c>
      <c r="E15" s="160">
        <v>1866</v>
      </c>
      <c r="F15" s="160">
        <v>2729</v>
      </c>
      <c r="G15" s="160">
        <v>2460</v>
      </c>
      <c r="H15" s="160">
        <v>3005</v>
      </c>
      <c r="I15" s="161">
        <f t="shared" si="4"/>
        <v>0.22154471544715437</v>
      </c>
      <c r="J15" s="161">
        <f t="shared" si="1"/>
        <v>4.6898166211470929E-2</v>
      </c>
      <c r="K15" s="160">
        <v>9455</v>
      </c>
      <c r="L15" s="160">
        <v>2654</v>
      </c>
      <c r="M15" s="160">
        <v>8222</v>
      </c>
      <c r="N15" s="160">
        <v>12368</v>
      </c>
      <c r="O15" s="160">
        <v>10526</v>
      </c>
      <c r="P15" s="160">
        <v>11127</v>
      </c>
      <c r="Q15" s="161">
        <f t="shared" si="5"/>
        <v>5.709671290138707E-2</v>
      </c>
      <c r="R15" s="161">
        <f t="shared" si="3"/>
        <v>4.084951723631558E-2</v>
      </c>
      <c r="S15" s="160">
        <v>12403</v>
      </c>
      <c r="T15" s="160">
        <v>10088</v>
      </c>
      <c r="U15" s="160">
        <v>15097</v>
      </c>
      <c r="V15" s="160">
        <v>12986</v>
      </c>
      <c r="W15" s="160">
        <v>14132</v>
      </c>
      <c r="X15" s="161">
        <f t="shared" si="6"/>
        <v>8.8248883412906265E-2</v>
      </c>
      <c r="Y15" s="161">
        <f t="shared" si="7"/>
        <v>4.2001396876346721E-2</v>
      </c>
    </row>
    <row r="16" spans="1:25" x14ac:dyDescent="0.25">
      <c r="A16" s="1"/>
      <c r="B16" s="159" t="s">
        <v>123</v>
      </c>
      <c r="C16" s="160">
        <v>1249</v>
      </c>
      <c r="D16" s="160">
        <v>42</v>
      </c>
      <c r="E16" s="160">
        <v>1626</v>
      </c>
      <c r="F16" s="160">
        <v>1541</v>
      </c>
      <c r="G16" s="160">
        <v>1347</v>
      </c>
      <c r="H16" s="160">
        <v>1650</v>
      </c>
      <c r="I16" s="161">
        <f t="shared" si="4"/>
        <v>0.22494432071269488</v>
      </c>
      <c r="J16" s="161">
        <f t="shared" si="1"/>
        <v>2.575107296137339E-2</v>
      </c>
      <c r="K16" s="160">
        <v>6290</v>
      </c>
      <c r="L16" s="160">
        <v>218</v>
      </c>
      <c r="M16" s="160">
        <v>8174</v>
      </c>
      <c r="N16" s="160">
        <v>8046</v>
      </c>
      <c r="O16" s="160">
        <v>8521</v>
      </c>
      <c r="P16" s="160">
        <v>7819</v>
      </c>
      <c r="Q16" s="161">
        <f t="shared" si="5"/>
        <v>-8.2384696631850773E-2</v>
      </c>
      <c r="R16" s="161">
        <f t="shared" si="3"/>
        <v>2.8705165387862989E-2</v>
      </c>
      <c r="S16" s="160">
        <v>7539</v>
      </c>
      <c r="T16" s="160">
        <v>9800</v>
      </c>
      <c r="U16" s="160">
        <v>9587</v>
      </c>
      <c r="V16" s="160">
        <v>9868</v>
      </c>
      <c r="W16" s="160">
        <v>9469</v>
      </c>
      <c r="X16" s="161">
        <f t="shared" si="6"/>
        <v>-4.043372517227406E-2</v>
      </c>
      <c r="Y16" s="161">
        <f t="shared" si="7"/>
        <v>2.8142600270459037E-2</v>
      </c>
    </row>
    <row r="17" spans="1:25" x14ac:dyDescent="0.25">
      <c r="A17" s="56"/>
      <c r="B17" s="159" t="s">
        <v>119</v>
      </c>
      <c r="C17" s="160">
        <v>894</v>
      </c>
      <c r="D17" s="160">
        <v>134</v>
      </c>
      <c r="E17" s="160">
        <v>763</v>
      </c>
      <c r="F17" s="160">
        <v>950</v>
      </c>
      <c r="G17" s="160">
        <v>1088</v>
      </c>
      <c r="H17" s="160">
        <v>1049</v>
      </c>
      <c r="I17" s="161">
        <f t="shared" si="4"/>
        <v>-3.5845588235294157E-2</v>
      </c>
      <c r="J17" s="161">
        <f t="shared" si="1"/>
        <v>1.6371439719079204E-2</v>
      </c>
      <c r="K17" s="160">
        <v>10298</v>
      </c>
      <c r="L17" s="160">
        <v>896</v>
      </c>
      <c r="M17" s="160">
        <v>9729</v>
      </c>
      <c r="N17" s="160">
        <v>10444</v>
      </c>
      <c r="O17" s="160">
        <v>10506</v>
      </c>
      <c r="P17" s="160">
        <v>9525</v>
      </c>
      <c r="Q17" s="161">
        <f t="shared" si="5"/>
        <v>-9.3375214163335274E-2</v>
      </c>
      <c r="R17" s="161">
        <f t="shared" si="3"/>
        <v>3.4968244061823119E-2</v>
      </c>
      <c r="S17" s="160">
        <v>11192</v>
      </c>
      <c r="T17" s="160">
        <v>10492</v>
      </c>
      <c r="U17" s="160">
        <v>11394</v>
      </c>
      <c r="V17" s="160">
        <v>11594</v>
      </c>
      <c r="W17" s="160">
        <v>10574</v>
      </c>
      <c r="X17" s="161">
        <f t="shared" si="6"/>
        <v>-8.7976539589442848E-2</v>
      </c>
      <c r="Y17" s="161">
        <f t="shared" si="7"/>
        <v>3.1426745723923739E-2</v>
      </c>
    </row>
    <row r="18" spans="1:25" x14ac:dyDescent="0.25">
      <c r="A18" s="56"/>
      <c r="B18" s="159" t="s">
        <v>128</v>
      </c>
      <c r="C18" s="160">
        <v>1291</v>
      </c>
      <c r="D18" s="160">
        <v>8</v>
      </c>
      <c r="E18" s="160">
        <v>772</v>
      </c>
      <c r="F18" s="160">
        <v>1094</v>
      </c>
      <c r="G18" s="160">
        <v>945</v>
      </c>
      <c r="H18" s="160">
        <v>846</v>
      </c>
      <c r="I18" s="161">
        <f t="shared" si="4"/>
        <v>-0.10476190476190472</v>
      </c>
      <c r="J18" s="161">
        <f t="shared" si="1"/>
        <v>1.3203277409285993E-2</v>
      </c>
      <c r="K18" s="160">
        <v>5584</v>
      </c>
      <c r="L18" s="160">
        <v>54</v>
      </c>
      <c r="M18" s="160">
        <v>4412</v>
      </c>
      <c r="N18" s="160">
        <v>7516</v>
      </c>
      <c r="O18" s="160">
        <v>5534</v>
      </c>
      <c r="P18" s="160">
        <v>4975</v>
      </c>
      <c r="Q18" s="161">
        <f t="shared" si="5"/>
        <v>-0.10101192627394295</v>
      </c>
      <c r="R18" s="161">
        <f t="shared" si="3"/>
        <v>1.8264253460112338E-2</v>
      </c>
      <c r="S18" s="160">
        <v>6875</v>
      </c>
      <c r="T18" s="160">
        <v>5184</v>
      </c>
      <c r="U18" s="160">
        <v>8610</v>
      </c>
      <c r="V18" s="160">
        <v>6479</v>
      </c>
      <c r="W18" s="160">
        <v>5821</v>
      </c>
      <c r="X18" s="161">
        <f t="shared" si="6"/>
        <v>-0.10155888254360246</v>
      </c>
      <c r="Y18" s="161">
        <f t="shared" si="7"/>
        <v>1.7300462158025352E-2</v>
      </c>
    </row>
    <row r="19" spans="1:25" x14ac:dyDescent="0.25">
      <c r="A19" s="56"/>
      <c r="B19" s="159" t="s">
        <v>131</v>
      </c>
      <c r="C19" s="160">
        <v>1310</v>
      </c>
      <c r="D19" s="160">
        <v>26</v>
      </c>
      <c r="E19" s="160">
        <v>550</v>
      </c>
      <c r="F19" s="160">
        <v>854</v>
      </c>
      <c r="G19" s="160">
        <v>525</v>
      </c>
      <c r="H19" s="160">
        <v>589</v>
      </c>
      <c r="I19" s="161">
        <f t="shared" si="4"/>
        <v>0.12190476190476196</v>
      </c>
      <c r="J19" s="161">
        <f t="shared" si="1"/>
        <v>9.1923527116660169E-3</v>
      </c>
      <c r="K19" s="160">
        <v>8491</v>
      </c>
      <c r="L19" s="160">
        <v>393</v>
      </c>
      <c r="M19" s="160">
        <v>3808</v>
      </c>
      <c r="N19" s="160">
        <v>7465</v>
      </c>
      <c r="O19" s="160">
        <v>7017</v>
      </c>
      <c r="P19" s="160">
        <v>5665</v>
      </c>
      <c r="Q19" s="161">
        <f t="shared" si="5"/>
        <v>-0.19267493230725385</v>
      </c>
      <c r="R19" s="161">
        <f t="shared" si="3"/>
        <v>2.0797386100811336E-2</v>
      </c>
      <c r="S19" s="160">
        <v>9801</v>
      </c>
      <c r="T19" s="160">
        <v>4358</v>
      </c>
      <c r="U19" s="160">
        <v>8319</v>
      </c>
      <c r="V19" s="160">
        <v>7542</v>
      </c>
      <c r="W19" s="160">
        <v>6254</v>
      </c>
      <c r="X19" s="161">
        <f t="shared" si="6"/>
        <v>-0.17077698223282944</v>
      </c>
      <c r="Y19" s="161">
        <f t="shared" si="7"/>
        <v>1.858737164341016E-2</v>
      </c>
    </row>
    <row r="20" spans="1:25" x14ac:dyDescent="0.25">
      <c r="A20" s="56"/>
      <c r="B20" s="164" t="s">
        <v>145</v>
      </c>
      <c r="C20" s="165">
        <f t="shared" ref="C20:H20" si="8">C12-SUM(C13:C19)</f>
        <v>17252</v>
      </c>
      <c r="D20" s="165">
        <f t="shared" si="8"/>
        <v>2224</v>
      </c>
      <c r="E20" s="165">
        <f t="shared" si="8"/>
        <v>12437</v>
      </c>
      <c r="F20" s="165">
        <f t="shared" si="8"/>
        <v>18492</v>
      </c>
      <c r="G20" s="165">
        <f t="shared" si="8"/>
        <v>18017</v>
      </c>
      <c r="H20" s="165">
        <f t="shared" si="8"/>
        <v>21000</v>
      </c>
      <c r="I20" s="166">
        <f t="shared" si="4"/>
        <v>0.16556585447077765</v>
      </c>
      <c r="J20" s="166">
        <f t="shared" si="1"/>
        <v>0.32774092859929771</v>
      </c>
      <c r="K20" s="165">
        <f t="shared" ref="K20:P20" si="9">K12-SUM(K13:K19)</f>
        <v>50512</v>
      </c>
      <c r="L20" s="165">
        <f t="shared" si="9"/>
        <v>6408</v>
      </c>
      <c r="M20" s="165">
        <f t="shared" si="9"/>
        <v>44184</v>
      </c>
      <c r="N20" s="165">
        <f t="shared" si="9"/>
        <v>63688</v>
      </c>
      <c r="O20" s="165">
        <f t="shared" si="9"/>
        <v>66827</v>
      </c>
      <c r="P20" s="165">
        <f t="shared" si="9"/>
        <v>69420</v>
      </c>
      <c r="Q20" s="166">
        <f t="shared" si="5"/>
        <v>3.8801681954898415E-2</v>
      </c>
      <c r="R20" s="166">
        <f t="shared" si="3"/>
        <v>0.25485517089467308</v>
      </c>
      <c r="S20" s="165">
        <f>S12-SUM(S13:S19)</f>
        <v>67764</v>
      </c>
      <c r="T20" s="165">
        <f>T12-SUM(T13:T19)</f>
        <v>56621</v>
      </c>
      <c r="U20" s="165">
        <f>U12-SUM(U13:U19)</f>
        <v>82180</v>
      </c>
      <c r="V20" s="165">
        <f>V12-SUM(V13:V19)</f>
        <v>84844</v>
      </c>
      <c r="W20" s="165">
        <f>W12-SUM(W13:W19)</f>
        <v>90420</v>
      </c>
      <c r="X20" s="166">
        <f t="shared" si="6"/>
        <v>6.5720616661166353E-2</v>
      </c>
      <c r="Y20" s="166">
        <f t="shared" si="7"/>
        <v>0.26873523249074943</v>
      </c>
    </row>
    <row r="21" spans="1:25" x14ac:dyDescent="0.25">
      <c r="A21" s="56"/>
      <c r="B21" s="151" t="s">
        <v>44</v>
      </c>
      <c r="C21" s="149"/>
      <c r="D21" s="149"/>
      <c r="E21" s="149"/>
      <c r="F21" s="149"/>
      <c r="G21" s="149"/>
      <c r="H21" s="149"/>
      <c r="I21" s="149"/>
      <c r="J21" s="149"/>
      <c r="K21" s="149"/>
      <c r="L21" s="149"/>
      <c r="M21" s="149"/>
      <c r="N21" s="149"/>
      <c r="O21" s="149"/>
      <c r="P21" s="149"/>
      <c r="Q21" s="149"/>
      <c r="R21" s="149"/>
      <c r="S21" s="149"/>
      <c r="T21" s="149"/>
      <c r="U21" s="149"/>
      <c r="V21" s="149"/>
      <c r="W21" s="149"/>
      <c r="X21" s="149"/>
      <c r="Y21" s="149"/>
    </row>
    <row r="22" spans="1:25" x14ac:dyDescent="0.25">
      <c r="A22" s="56"/>
      <c r="B22" s="152" t="s">
        <v>68</v>
      </c>
      <c r="C22" s="172">
        <f t="shared" ref="C22:H22" si="10">C23+C26</f>
        <v>14057</v>
      </c>
      <c r="D22" s="172">
        <f t="shared" si="10"/>
        <v>505</v>
      </c>
      <c r="E22" s="172">
        <f t="shared" si="10"/>
        <v>8743</v>
      </c>
      <c r="F22" s="172">
        <f t="shared" si="10"/>
        <v>13938</v>
      </c>
      <c r="G22" s="172">
        <f t="shared" si="10"/>
        <v>11745</v>
      </c>
      <c r="H22" s="172">
        <f t="shared" si="10"/>
        <v>12293</v>
      </c>
      <c r="I22" s="173">
        <f>IFERROR(H22/G22-1,"-")</f>
        <v>4.665815240527893E-2</v>
      </c>
      <c r="J22" s="173">
        <f t="shared" ref="J22:J34" si="11">H22/H$8</f>
        <v>0.19185329691767461</v>
      </c>
      <c r="K22" s="172">
        <f t="shared" ref="K22:P22" si="12">K23+K26</f>
        <v>97322</v>
      </c>
      <c r="L22" s="172">
        <f t="shared" si="12"/>
        <v>11597</v>
      </c>
      <c r="M22" s="172">
        <f t="shared" si="12"/>
        <v>77462</v>
      </c>
      <c r="N22" s="172">
        <f t="shared" si="12"/>
        <v>102022</v>
      </c>
      <c r="O22" s="172">
        <f t="shared" si="12"/>
        <v>111169</v>
      </c>
      <c r="P22" s="172">
        <f t="shared" si="12"/>
        <v>108553</v>
      </c>
      <c r="Q22" s="173">
        <f>IFERROR(P22/O22-1,"-")</f>
        <v>-2.3531739963479015E-2</v>
      </c>
      <c r="R22" s="173">
        <f t="shared" ref="R22:R34" si="13">P22/P$8</f>
        <v>0.39852050368956277</v>
      </c>
      <c r="S22" s="172">
        <f>S23+S26</f>
        <v>111379</v>
      </c>
      <c r="T22" s="172">
        <f>T23+T26</f>
        <v>86205</v>
      </c>
      <c r="U22" s="172">
        <f>U23+U26</f>
        <v>115960</v>
      </c>
      <c r="V22" s="172">
        <f>V23+V26</f>
        <v>122914</v>
      </c>
      <c r="W22" s="172">
        <f>W23+W26</f>
        <v>120846</v>
      </c>
      <c r="X22" s="173">
        <f>IFERROR(W22/V22-1,"-")</f>
        <v>-1.6824771791659199E-2</v>
      </c>
      <c r="Y22" s="173">
        <f>W22/W$8</f>
        <v>0.35916365743836653</v>
      </c>
    </row>
    <row r="23" spans="1:25" x14ac:dyDescent="0.25">
      <c r="A23" s="56"/>
      <c r="B23" s="155" t="s">
        <v>97</v>
      </c>
      <c r="C23" s="156">
        <v>637</v>
      </c>
      <c r="D23" s="156">
        <v>2</v>
      </c>
      <c r="E23" s="156">
        <v>505</v>
      </c>
      <c r="F23" s="156">
        <v>699</v>
      </c>
      <c r="G23" s="156">
        <v>299</v>
      </c>
      <c r="H23" s="156">
        <v>380</v>
      </c>
      <c r="I23" s="157">
        <f>IFERROR(H23/G23-1,"-")</f>
        <v>0.27090301003344486</v>
      </c>
      <c r="J23" s="157">
        <f t="shared" si="11"/>
        <v>5.9305501365587206E-3</v>
      </c>
      <c r="K23" s="156">
        <v>6776</v>
      </c>
      <c r="L23" s="156">
        <v>5170</v>
      </c>
      <c r="M23" s="156">
        <v>7522</v>
      </c>
      <c r="N23" s="156">
        <v>6465</v>
      </c>
      <c r="O23" s="156">
        <v>5677</v>
      </c>
      <c r="P23" s="156">
        <v>5014</v>
      </c>
      <c r="Q23" s="157">
        <f>IFERROR(P23/O23-1,"-")</f>
        <v>-0.11678703540602431</v>
      </c>
      <c r="R23" s="157">
        <f t="shared" si="13"/>
        <v>1.8407430522412716E-2</v>
      </c>
      <c r="S23" s="156">
        <v>7413</v>
      </c>
      <c r="T23" s="156">
        <v>8027</v>
      </c>
      <c r="U23" s="156">
        <v>7164</v>
      </c>
      <c r="V23" s="156">
        <v>5976</v>
      </c>
      <c r="W23" s="156">
        <v>5394</v>
      </c>
      <c r="X23" s="157">
        <f>IFERROR(W23/V23-1,"-")</f>
        <v>-9.7389558232931717E-2</v>
      </c>
      <c r="Y23" s="157">
        <f>W23/W$8</f>
        <v>1.6031385136641256E-2</v>
      </c>
    </row>
    <row r="24" spans="1:25" x14ac:dyDescent="0.25">
      <c r="A24" s="56"/>
      <c r="B24" s="159" t="s">
        <v>103</v>
      </c>
      <c r="C24" s="160">
        <v>391</v>
      </c>
      <c r="D24" s="160">
        <v>2</v>
      </c>
      <c r="E24" s="160">
        <v>212</v>
      </c>
      <c r="F24" s="160">
        <v>349</v>
      </c>
      <c r="G24" s="160">
        <v>57</v>
      </c>
      <c r="H24" s="160">
        <v>123</v>
      </c>
      <c r="I24" s="161">
        <f>IFERROR(H24/G24-1,"-")</f>
        <v>1.1578947368421053</v>
      </c>
      <c r="J24" s="161">
        <f t="shared" si="11"/>
        <v>1.9196254389387437E-3</v>
      </c>
      <c r="K24" s="160">
        <v>2578</v>
      </c>
      <c r="L24" s="160">
        <v>3678</v>
      </c>
      <c r="M24" s="160">
        <v>3414</v>
      </c>
      <c r="N24" s="160">
        <v>2322</v>
      </c>
      <c r="O24" s="160">
        <v>1663</v>
      </c>
      <c r="P24" s="160">
        <v>1588</v>
      </c>
      <c r="Q24" s="161">
        <f>IFERROR(P24/O24-1,"-")</f>
        <v>-4.5099218280216458E-2</v>
      </c>
      <c r="R24" s="161">
        <f t="shared" si="13"/>
        <v>5.8298762803333454E-3</v>
      </c>
      <c r="S24" s="160">
        <v>2969</v>
      </c>
      <c r="T24" s="160">
        <v>3626</v>
      </c>
      <c r="U24" s="160">
        <v>2671</v>
      </c>
      <c r="V24" s="160">
        <v>1720</v>
      </c>
      <c r="W24" s="160">
        <v>1711</v>
      </c>
      <c r="X24" s="161">
        <f>IFERROR(W24/V24-1,"-")</f>
        <v>-5.2325581395349374E-3</v>
      </c>
      <c r="Y24" s="161">
        <f>W24/W$8</f>
        <v>5.0852243175367427E-3</v>
      </c>
    </row>
    <row r="25" spans="1:25" x14ac:dyDescent="0.25">
      <c r="A25" s="56"/>
      <c r="B25" s="159" t="s">
        <v>100</v>
      </c>
      <c r="C25" s="160">
        <v>246</v>
      </c>
      <c r="D25" s="160">
        <v>0</v>
      </c>
      <c r="E25" s="160">
        <v>293</v>
      </c>
      <c r="F25" s="160">
        <v>350</v>
      </c>
      <c r="G25" s="160">
        <v>242</v>
      </c>
      <c r="H25" s="160">
        <v>257</v>
      </c>
      <c r="I25" s="161">
        <f>IFERROR(H25/G25-1,"-")</f>
        <v>6.198347107438007E-2</v>
      </c>
      <c r="J25" s="161">
        <f t="shared" si="11"/>
        <v>4.0109246976199765E-3</v>
      </c>
      <c r="K25" s="160">
        <v>4198</v>
      </c>
      <c r="L25" s="160">
        <v>1492</v>
      </c>
      <c r="M25" s="160">
        <v>4108</v>
      </c>
      <c r="N25" s="160">
        <v>4143</v>
      </c>
      <c r="O25" s="160">
        <v>4014</v>
      </c>
      <c r="P25" s="160">
        <v>3426</v>
      </c>
      <c r="Q25" s="161">
        <f>IFERROR(P25/O25-1,"-")</f>
        <v>-0.14648729446935727</v>
      </c>
      <c r="R25" s="161">
        <f t="shared" si="13"/>
        <v>1.2577554242079372E-2</v>
      </c>
      <c r="S25" s="160">
        <v>4444</v>
      </c>
      <c r="T25" s="160">
        <v>4401</v>
      </c>
      <c r="U25" s="160">
        <v>4493</v>
      </c>
      <c r="V25" s="160">
        <v>4256</v>
      </c>
      <c r="W25" s="160">
        <v>3683</v>
      </c>
      <c r="X25" s="161">
        <f>IFERROR(W25/V25-1,"-")</f>
        <v>-0.13463345864661658</v>
      </c>
      <c r="Y25" s="161">
        <f>W25/W$8</f>
        <v>1.0946160819104513E-2</v>
      </c>
    </row>
    <row r="26" spans="1:25" x14ac:dyDescent="0.25">
      <c r="A26" s="56"/>
      <c r="B26" s="155" t="s">
        <v>107</v>
      </c>
      <c r="C26" s="156">
        <v>13420</v>
      </c>
      <c r="D26" s="156">
        <v>503</v>
      </c>
      <c r="E26" s="156">
        <v>8238</v>
      </c>
      <c r="F26" s="156">
        <v>13239</v>
      </c>
      <c r="G26" s="156">
        <v>11446</v>
      </c>
      <c r="H26" s="156">
        <v>11913</v>
      </c>
      <c r="I26" s="157">
        <f>IFERROR(H26/G26-1,"-")</f>
        <v>4.0800279573650178E-2</v>
      </c>
      <c r="J26" s="157">
        <f t="shared" si="11"/>
        <v>0.18592274678111587</v>
      </c>
      <c r="K26" s="156">
        <v>90546</v>
      </c>
      <c r="L26" s="156">
        <v>6427</v>
      </c>
      <c r="M26" s="156">
        <v>69940</v>
      </c>
      <c r="N26" s="156">
        <v>95557</v>
      </c>
      <c r="O26" s="156">
        <v>105492</v>
      </c>
      <c r="P26" s="156">
        <v>103539</v>
      </c>
      <c r="Q26" s="157">
        <f>IFERROR(P26/O26-1,"-")</f>
        <v>-1.8513252189739537E-2</v>
      </c>
      <c r="R26" s="157">
        <f t="shared" si="13"/>
        <v>0.38011307316715004</v>
      </c>
      <c r="S26" s="156">
        <v>103966</v>
      </c>
      <c r="T26" s="156">
        <v>78178</v>
      </c>
      <c r="U26" s="156">
        <v>108796</v>
      </c>
      <c r="V26" s="156">
        <v>116938</v>
      </c>
      <c r="W26" s="156">
        <v>115452</v>
      </c>
      <c r="X26" s="157">
        <f>IFERROR(W26/V26-1,"-")</f>
        <v>-1.2707588636713507E-2</v>
      </c>
      <c r="Y26" s="157">
        <f>W26/W$8</f>
        <v>0.34313227230172527</v>
      </c>
    </row>
    <row r="27" spans="1:25" s="56" customFormat="1" x14ac:dyDescent="0.25">
      <c r="B27" s="159" t="s">
        <v>110</v>
      </c>
      <c r="C27" s="160">
        <v>5246</v>
      </c>
      <c r="D27" s="160">
        <v>0</v>
      </c>
      <c r="E27" s="160">
        <v>2254</v>
      </c>
      <c r="F27" s="160">
        <v>4876</v>
      </c>
      <c r="G27" s="160">
        <v>4621</v>
      </c>
      <c r="H27" s="160">
        <v>4701</v>
      </c>
      <c r="I27" s="161">
        <f t="shared" ref="I27:I34" si="14">IFERROR(H27/G27-1,"-")</f>
        <v>1.7312270071413005E-2</v>
      </c>
      <c r="J27" s="161">
        <f t="shared" si="11"/>
        <v>7.3367147873585642E-2</v>
      </c>
      <c r="K27" s="160">
        <v>39062</v>
      </c>
      <c r="L27" s="160">
        <v>397</v>
      </c>
      <c r="M27" s="160">
        <v>27906</v>
      </c>
      <c r="N27" s="160">
        <v>42509</v>
      </c>
      <c r="O27" s="160">
        <v>48516</v>
      </c>
      <c r="P27" s="160">
        <v>49313</v>
      </c>
      <c r="Q27" s="161">
        <f t="shared" ref="Q27:Q34" si="15">IFERROR(P27/O27-1,"-")</f>
        <v>1.6427570286091209E-2</v>
      </c>
      <c r="R27" s="161">
        <f t="shared" si="13"/>
        <v>0.18103821726201402</v>
      </c>
      <c r="S27" s="160">
        <v>44308</v>
      </c>
      <c r="T27" s="160">
        <v>30160</v>
      </c>
      <c r="U27" s="160">
        <v>47385</v>
      </c>
      <c r="V27" s="160">
        <v>53137</v>
      </c>
      <c r="W27" s="160">
        <v>54014</v>
      </c>
      <c r="X27" s="161">
        <f t="shared" ref="X27:X34" si="16">IFERROR(W27/V27-1,"-")</f>
        <v>1.6504507217193209E-2</v>
      </c>
      <c r="Y27" s="161">
        <f t="shared" ref="Y27:Y34" si="17">W27/W$8</f>
        <v>0.16053378508908803</v>
      </c>
    </row>
    <row r="28" spans="1:25" s="56" customFormat="1" x14ac:dyDescent="0.25">
      <c r="B28" s="159" t="s">
        <v>113</v>
      </c>
      <c r="C28" s="160">
        <v>2174</v>
      </c>
      <c r="D28" s="160">
        <v>10</v>
      </c>
      <c r="E28" s="160">
        <v>1506</v>
      </c>
      <c r="F28" s="160">
        <v>2280</v>
      </c>
      <c r="G28" s="160">
        <v>2071</v>
      </c>
      <c r="H28" s="160">
        <v>2191</v>
      </c>
      <c r="I28" s="161">
        <f t="shared" si="14"/>
        <v>5.7943022694350477E-2</v>
      </c>
      <c r="J28" s="161">
        <f t="shared" si="11"/>
        <v>3.4194303550526724E-2</v>
      </c>
      <c r="K28" s="160">
        <v>11144</v>
      </c>
      <c r="L28" s="160">
        <v>1168</v>
      </c>
      <c r="M28" s="160">
        <v>7439</v>
      </c>
      <c r="N28" s="160">
        <v>10381</v>
      </c>
      <c r="O28" s="160">
        <v>11321</v>
      </c>
      <c r="P28" s="160">
        <v>10758</v>
      </c>
      <c r="Q28" s="161">
        <f t="shared" si="15"/>
        <v>-4.973058917056794E-2</v>
      </c>
      <c r="R28" s="161">
        <f t="shared" si="13"/>
        <v>3.9494841954550462E-2</v>
      </c>
      <c r="S28" s="160">
        <v>13318</v>
      </c>
      <c r="T28" s="160">
        <v>8945</v>
      </c>
      <c r="U28" s="160">
        <v>12661</v>
      </c>
      <c r="V28" s="160">
        <v>13392</v>
      </c>
      <c r="W28" s="160">
        <v>12949</v>
      </c>
      <c r="X28" s="161">
        <f t="shared" si="16"/>
        <v>-3.3079450418160072E-2</v>
      </c>
      <c r="Y28" s="161">
        <f t="shared" si="17"/>
        <v>3.8485429390872752E-2</v>
      </c>
    </row>
    <row r="29" spans="1:25" x14ac:dyDescent="0.25">
      <c r="A29" s="56"/>
      <c r="B29" s="159" t="s">
        <v>116</v>
      </c>
      <c r="C29" s="160">
        <v>665</v>
      </c>
      <c r="D29" s="160">
        <v>442</v>
      </c>
      <c r="E29" s="160">
        <v>283</v>
      </c>
      <c r="F29" s="160">
        <v>342</v>
      </c>
      <c r="G29" s="160">
        <v>266</v>
      </c>
      <c r="H29" s="160">
        <v>330</v>
      </c>
      <c r="I29" s="161">
        <f t="shared" si="14"/>
        <v>0.24060150375939848</v>
      </c>
      <c r="J29" s="161">
        <f t="shared" si="11"/>
        <v>5.1502145922746783E-3</v>
      </c>
      <c r="K29" s="160">
        <v>3241</v>
      </c>
      <c r="L29" s="160">
        <v>852</v>
      </c>
      <c r="M29" s="160">
        <v>2800</v>
      </c>
      <c r="N29" s="160">
        <v>3339</v>
      </c>
      <c r="O29" s="160">
        <v>3146</v>
      </c>
      <c r="P29" s="160">
        <v>3030</v>
      </c>
      <c r="Q29" s="161">
        <f t="shared" si="15"/>
        <v>-3.6872218690400471E-2</v>
      </c>
      <c r="R29" s="161">
        <f t="shared" si="13"/>
        <v>1.1123756378721686E-2</v>
      </c>
      <c r="S29" s="160">
        <v>3906</v>
      </c>
      <c r="T29" s="160">
        <v>3083</v>
      </c>
      <c r="U29" s="160">
        <v>3681</v>
      </c>
      <c r="V29" s="160">
        <v>3412</v>
      </c>
      <c r="W29" s="160">
        <v>3360</v>
      </c>
      <c r="X29" s="161">
        <f t="shared" si="16"/>
        <v>-1.5240328253223967E-2</v>
      </c>
      <c r="Y29" s="161">
        <f t="shared" si="17"/>
        <v>9.9861798403994475E-3</v>
      </c>
    </row>
    <row r="30" spans="1:25" x14ac:dyDescent="0.25">
      <c r="A30" s="56"/>
      <c r="B30" s="159" t="s">
        <v>123</v>
      </c>
      <c r="C30" s="160">
        <v>548</v>
      </c>
      <c r="D30" s="160">
        <v>0</v>
      </c>
      <c r="E30" s="160">
        <v>481</v>
      </c>
      <c r="F30" s="160">
        <v>559</v>
      </c>
      <c r="G30" s="160">
        <v>274</v>
      </c>
      <c r="H30" s="160">
        <v>274</v>
      </c>
      <c r="I30" s="161">
        <f t="shared" si="14"/>
        <v>0</v>
      </c>
      <c r="J30" s="161">
        <f t="shared" si="11"/>
        <v>4.2762387826765511E-3</v>
      </c>
      <c r="K30" s="160">
        <v>3086</v>
      </c>
      <c r="L30" s="160">
        <v>91</v>
      </c>
      <c r="M30" s="160">
        <v>4562</v>
      </c>
      <c r="N30" s="160">
        <v>3740</v>
      </c>
      <c r="O30" s="160">
        <v>3908</v>
      </c>
      <c r="P30" s="160">
        <v>3535</v>
      </c>
      <c r="Q30" s="161">
        <f t="shared" si="15"/>
        <v>-9.5445240532241571E-2</v>
      </c>
      <c r="R30" s="161">
        <f t="shared" si="13"/>
        <v>1.29777157751753E-2</v>
      </c>
      <c r="S30" s="160">
        <v>3634</v>
      </c>
      <c r="T30" s="160">
        <v>5043</v>
      </c>
      <c r="U30" s="160">
        <v>4299</v>
      </c>
      <c r="V30" s="160">
        <v>4182</v>
      </c>
      <c r="W30" s="160">
        <v>3809</v>
      </c>
      <c r="X30" s="161">
        <f t="shared" si="16"/>
        <v>-8.9191774270683921E-2</v>
      </c>
      <c r="Y30" s="161">
        <f t="shared" si="17"/>
        <v>1.1320642563119493E-2</v>
      </c>
    </row>
    <row r="31" spans="1:25" x14ac:dyDescent="0.25">
      <c r="A31" s="56"/>
      <c r="B31" s="159" t="s">
        <v>119</v>
      </c>
      <c r="C31" s="160">
        <v>347</v>
      </c>
      <c r="D31" s="160">
        <v>31</v>
      </c>
      <c r="E31" s="160">
        <v>255</v>
      </c>
      <c r="F31" s="160">
        <v>354</v>
      </c>
      <c r="G31" s="160">
        <v>238</v>
      </c>
      <c r="H31" s="160">
        <v>245</v>
      </c>
      <c r="I31" s="161">
        <f t="shared" si="14"/>
        <v>2.9411764705882248E-2</v>
      </c>
      <c r="J31" s="161">
        <f t="shared" si="11"/>
        <v>3.8236441669918064E-3</v>
      </c>
      <c r="K31" s="160">
        <v>5581</v>
      </c>
      <c r="L31" s="160">
        <v>422</v>
      </c>
      <c r="M31" s="160">
        <v>6242</v>
      </c>
      <c r="N31" s="160">
        <v>5459</v>
      </c>
      <c r="O31" s="160">
        <v>5642</v>
      </c>
      <c r="P31" s="160">
        <v>5557</v>
      </c>
      <c r="Q31" s="161">
        <f t="shared" si="15"/>
        <v>-1.5065579581708621E-2</v>
      </c>
      <c r="R31" s="161">
        <f t="shared" si="13"/>
        <v>2.0400895774441059E-2</v>
      </c>
      <c r="S31" s="160">
        <v>5928</v>
      </c>
      <c r="T31" s="160">
        <v>6497</v>
      </c>
      <c r="U31" s="160">
        <v>5813</v>
      </c>
      <c r="V31" s="160">
        <v>5880</v>
      </c>
      <c r="W31" s="160">
        <v>5802</v>
      </c>
      <c r="X31" s="161">
        <f t="shared" si="16"/>
        <v>-1.3265306122449028E-2</v>
      </c>
      <c r="Y31" s="161">
        <f t="shared" si="17"/>
        <v>1.7243992688689761E-2</v>
      </c>
    </row>
    <row r="32" spans="1:25" x14ac:dyDescent="0.25">
      <c r="A32" s="56"/>
      <c r="B32" s="159" t="s">
        <v>128</v>
      </c>
      <c r="C32" s="160">
        <v>488</v>
      </c>
      <c r="D32" s="160">
        <v>0</v>
      </c>
      <c r="E32" s="160">
        <v>223</v>
      </c>
      <c r="F32" s="160">
        <v>425</v>
      </c>
      <c r="G32" s="160">
        <v>416</v>
      </c>
      <c r="H32" s="160">
        <v>269</v>
      </c>
      <c r="I32" s="161">
        <f t="shared" si="14"/>
        <v>-0.35336538461538458</v>
      </c>
      <c r="J32" s="161">
        <f t="shared" si="11"/>
        <v>4.1982052282481469E-3</v>
      </c>
      <c r="K32" s="160">
        <v>3011</v>
      </c>
      <c r="L32" s="160">
        <v>10</v>
      </c>
      <c r="M32" s="160">
        <v>2084</v>
      </c>
      <c r="N32" s="160">
        <v>3085</v>
      </c>
      <c r="O32" s="160">
        <v>2541</v>
      </c>
      <c r="P32" s="160">
        <v>1839</v>
      </c>
      <c r="Q32" s="161">
        <f t="shared" si="15"/>
        <v>-0.27626918536009448</v>
      </c>
      <c r="R32" s="161">
        <f t="shared" si="13"/>
        <v>6.751349168471677E-3</v>
      </c>
      <c r="S32" s="160">
        <v>3499</v>
      </c>
      <c r="T32" s="160">
        <v>2307</v>
      </c>
      <c r="U32" s="160">
        <v>3510</v>
      </c>
      <c r="V32" s="160">
        <v>2957</v>
      </c>
      <c r="W32" s="160">
        <v>2108</v>
      </c>
      <c r="X32" s="161">
        <f t="shared" si="16"/>
        <v>-0.28711531958065606</v>
      </c>
      <c r="Y32" s="161">
        <f t="shared" si="17"/>
        <v>6.2651390189172726E-3</v>
      </c>
    </row>
    <row r="33" spans="1:25" x14ac:dyDescent="0.25">
      <c r="A33" s="56"/>
      <c r="B33" s="159" t="s">
        <v>131</v>
      </c>
      <c r="C33" s="160">
        <v>325</v>
      </c>
      <c r="D33" s="160">
        <v>1</v>
      </c>
      <c r="E33" s="160">
        <v>124</v>
      </c>
      <c r="F33" s="160">
        <v>215</v>
      </c>
      <c r="G33" s="160">
        <v>66</v>
      </c>
      <c r="H33" s="160">
        <v>85</v>
      </c>
      <c r="I33" s="161">
        <f t="shared" si="14"/>
        <v>0.28787878787878785</v>
      </c>
      <c r="J33" s="161">
        <f t="shared" si="11"/>
        <v>1.3265704252828716E-3</v>
      </c>
      <c r="K33" s="160">
        <v>4367</v>
      </c>
      <c r="L33" s="160">
        <v>40</v>
      </c>
      <c r="M33" s="160">
        <v>1477</v>
      </c>
      <c r="N33" s="160">
        <v>3883</v>
      </c>
      <c r="O33" s="160">
        <v>3418</v>
      </c>
      <c r="P33" s="160">
        <v>2724</v>
      </c>
      <c r="Q33" s="161">
        <f t="shared" si="15"/>
        <v>-0.20304271503803395</v>
      </c>
      <c r="R33" s="161">
        <f t="shared" si="13"/>
        <v>1.0000367120672565E-2</v>
      </c>
      <c r="S33" s="160">
        <v>4692</v>
      </c>
      <c r="T33" s="160">
        <v>1601</v>
      </c>
      <c r="U33" s="160">
        <v>4098</v>
      </c>
      <c r="V33" s="160">
        <v>3484</v>
      </c>
      <c r="W33" s="160">
        <v>2809</v>
      </c>
      <c r="X33" s="161">
        <f t="shared" si="16"/>
        <v>-0.19374282433983925</v>
      </c>
      <c r="Y33" s="161">
        <f t="shared" si="17"/>
        <v>8.3485652296672753E-3</v>
      </c>
    </row>
    <row r="34" spans="1:25" x14ac:dyDescent="0.25">
      <c r="A34" s="56"/>
      <c r="B34" s="164" t="s">
        <v>145</v>
      </c>
      <c r="C34" s="165">
        <f t="shared" ref="C34:H34" si="18">C26-SUM(C27:C33)</f>
        <v>3627</v>
      </c>
      <c r="D34" s="165">
        <f t="shared" si="18"/>
        <v>19</v>
      </c>
      <c r="E34" s="165">
        <f t="shared" si="18"/>
        <v>3112</v>
      </c>
      <c r="F34" s="165">
        <f t="shared" si="18"/>
        <v>4188</v>
      </c>
      <c r="G34" s="165">
        <f t="shared" si="18"/>
        <v>3494</v>
      </c>
      <c r="H34" s="165">
        <f t="shared" si="18"/>
        <v>3818</v>
      </c>
      <c r="I34" s="166">
        <f t="shared" si="14"/>
        <v>9.2730394962793339E-2</v>
      </c>
      <c r="J34" s="166">
        <f t="shared" si="11"/>
        <v>5.9586422161529456E-2</v>
      </c>
      <c r="K34" s="165">
        <f t="shared" ref="K34:P34" si="19">K26-SUM(K27:K33)</f>
        <v>21054</v>
      </c>
      <c r="L34" s="165">
        <f t="shared" si="19"/>
        <v>3447</v>
      </c>
      <c r="M34" s="165">
        <f t="shared" si="19"/>
        <v>17430</v>
      </c>
      <c r="N34" s="165">
        <f t="shared" si="19"/>
        <v>23161</v>
      </c>
      <c r="O34" s="165">
        <f t="shared" si="19"/>
        <v>27000</v>
      </c>
      <c r="P34" s="165">
        <f t="shared" si="19"/>
        <v>26783</v>
      </c>
      <c r="Q34" s="166">
        <f t="shared" si="15"/>
        <v>-8.0370370370370647E-3</v>
      </c>
      <c r="R34" s="166">
        <f t="shared" si="13"/>
        <v>9.8325929733103265E-2</v>
      </c>
      <c r="S34" s="165">
        <f>S26-SUM(S27:S33)</f>
        <v>24681</v>
      </c>
      <c r="T34" s="165">
        <f>T26-SUM(T27:T33)</f>
        <v>20542</v>
      </c>
      <c r="U34" s="165">
        <f>U26-SUM(U27:U33)</f>
        <v>27349</v>
      </c>
      <c r="V34" s="165">
        <f>V26-SUM(V27:V33)</f>
        <v>30494</v>
      </c>
      <c r="W34" s="165">
        <f>W26-SUM(W27:W33)</f>
        <v>30601</v>
      </c>
      <c r="X34" s="166">
        <f t="shared" si="16"/>
        <v>3.508886994162852E-3</v>
      </c>
      <c r="Y34" s="166">
        <f t="shared" si="17"/>
        <v>9.0948538480971272E-2</v>
      </c>
    </row>
    <row r="35" spans="1:25" x14ac:dyDescent="0.25">
      <c r="A35" s="56"/>
      <c r="B35" s="151" t="s">
        <v>45</v>
      </c>
      <c r="C35" s="149"/>
      <c r="D35" s="149"/>
      <c r="E35" s="149"/>
      <c r="F35" s="149"/>
      <c r="G35" s="149"/>
      <c r="H35" s="149"/>
      <c r="I35" s="149"/>
      <c r="J35" s="149"/>
      <c r="K35" s="149"/>
      <c r="L35" s="149"/>
      <c r="M35" s="149"/>
      <c r="N35" s="149"/>
      <c r="O35" s="149"/>
      <c r="P35" s="149"/>
      <c r="Q35" s="149"/>
      <c r="R35" s="149"/>
      <c r="S35" s="149"/>
      <c r="T35" s="149"/>
      <c r="U35" s="149"/>
      <c r="V35" s="149"/>
      <c r="W35" s="149"/>
      <c r="X35" s="149"/>
      <c r="Y35" s="149"/>
    </row>
    <row r="36" spans="1:25" x14ac:dyDescent="0.25">
      <c r="A36" s="56"/>
      <c r="B36" s="152" t="s">
        <v>68</v>
      </c>
      <c r="C36" s="172">
        <f t="shared" ref="C36:H36" si="20">C37+C40</f>
        <v>15716</v>
      </c>
      <c r="D36" s="172">
        <f t="shared" si="20"/>
        <v>478</v>
      </c>
      <c r="E36" s="172">
        <f t="shared" si="20"/>
        <v>7833</v>
      </c>
      <c r="F36" s="172">
        <f t="shared" si="20"/>
        <v>14965</v>
      </c>
      <c r="G36" s="172">
        <f t="shared" si="20"/>
        <v>12114</v>
      </c>
      <c r="H36" s="172">
        <f t="shared" si="20"/>
        <v>17541</v>
      </c>
      <c r="I36" s="173">
        <f>IFERROR(H36/G36-1,"-")</f>
        <v>0.4479940564635958</v>
      </c>
      <c r="J36" s="173">
        <f t="shared" ref="J36:J48" si="21">H36/H$8</f>
        <v>0.27375731564572764</v>
      </c>
      <c r="K36" s="172">
        <f t="shared" ref="K36:P36" si="22">K37+K40</f>
        <v>44788</v>
      </c>
      <c r="L36" s="172">
        <f t="shared" si="22"/>
        <v>1594</v>
      </c>
      <c r="M36" s="172">
        <f t="shared" si="22"/>
        <v>32265</v>
      </c>
      <c r="N36" s="172">
        <f t="shared" si="22"/>
        <v>48326</v>
      </c>
      <c r="O36" s="172">
        <f t="shared" si="22"/>
        <v>49957</v>
      </c>
      <c r="P36" s="172">
        <f t="shared" si="22"/>
        <v>51937</v>
      </c>
      <c r="Q36" s="173">
        <f>IFERROR(P36/O36-1,"-")</f>
        <v>3.9634085313369427E-2</v>
      </c>
      <c r="R36" s="173">
        <f t="shared" ref="R36:R48" si="23">P36/P$8</f>
        <v>0.19067146371012153</v>
      </c>
      <c r="S36" s="172">
        <f>S37+S40</f>
        <v>60504</v>
      </c>
      <c r="T36" s="172">
        <f>T37+T40</f>
        <v>40098</v>
      </c>
      <c r="U36" s="172">
        <f>U37+U40</f>
        <v>63291</v>
      </c>
      <c r="V36" s="172">
        <f>V37+V40</f>
        <v>62071</v>
      </c>
      <c r="W36" s="172">
        <f>W37+W40</f>
        <v>69478</v>
      </c>
      <c r="X36" s="173">
        <f>IFERROR(W36/V36-1,"-")</f>
        <v>0.11933108859209618</v>
      </c>
      <c r="Y36" s="173">
        <f>W36/W$8</f>
        <v>0.20649398897359308</v>
      </c>
    </row>
    <row r="37" spans="1:25" x14ac:dyDescent="0.25">
      <c r="A37" s="56"/>
      <c r="B37" s="155" t="s">
        <v>97</v>
      </c>
      <c r="C37" s="156">
        <v>865</v>
      </c>
      <c r="D37" s="156">
        <v>116</v>
      </c>
      <c r="E37" s="156">
        <v>492</v>
      </c>
      <c r="F37" s="156">
        <v>1199</v>
      </c>
      <c r="G37" s="156">
        <v>416</v>
      </c>
      <c r="H37" s="156">
        <v>1320</v>
      </c>
      <c r="I37" s="157">
        <f>IFERROR(H37/G37-1,"-")</f>
        <v>2.1730769230769229</v>
      </c>
      <c r="J37" s="157">
        <f t="shared" si="21"/>
        <v>2.0600858369098713E-2</v>
      </c>
      <c r="K37" s="156">
        <v>3083</v>
      </c>
      <c r="L37" s="156">
        <v>164</v>
      </c>
      <c r="M37" s="156">
        <v>2441</v>
      </c>
      <c r="N37" s="156">
        <v>3081</v>
      </c>
      <c r="O37" s="156">
        <v>2717</v>
      </c>
      <c r="P37" s="156">
        <v>2842</v>
      </c>
      <c r="Q37" s="157">
        <f>IFERROR(P37/O37-1,"-")</f>
        <v>4.6006624953993436E-2</v>
      </c>
      <c r="R37" s="157">
        <f t="shared" si="23"/>
        <v>1.043356951429935E-2</v>
      </c>
      <c r="S37" s="156">
        <v>3948</v>
      </c>
      <c r="T37" s="156">
        <v>2933</v>
      </c>
      <c r="U37" s="156">
        <v>4280</v>
      </c>
      <c r="V37" s="156">
        <v>3133</v>
      </c>
      <c r="W37" s="156">
        <v>4162</v>
      </c>
      <c r="X37" s="157">
        <f>IFERROR(W37/V37-1,"-")</f>
        <v>0.32843919565911261</v>
      </c>
      <c r="Y37" s="157">
        <f>W37/W$8</f>
        <v>1.2369785861828124E-2</v>
      </c>
    </row>
    <row r="38" spans="1:25" x14ac:dyDescent="0.25">
      <c r="A38" s="56"/>
      <c r="B38" s="159" t="s">
        <v>103</v>
      </c>
      <c r="C38" s="160">
        <v>254</v>
      </c>
      <c r="D38" s="160">
        <v>103</v>
      </c>
      <c r="E38" s="160">
        <v>391</v>
      </c>
      <c r="F38" s="160">
        <v>306</v>
      </c>
      <c r="G38" s="160">
        <v>145</v>
      </c>
      <c r="H38" s="160">
        <v>703</v>
      </c>
      <c r="I38" s="161">
        <f>IFERROR(H38/G38-1,"-")</f>
        <v>3.8482758620689657</v>
      </c>
      <c r="J38" s="161">
        <f t="shared" si="21"/>
        <v>1.0971517752633633E-2</v>
      </c>
      <c r="K38" s="160">
        <v>559</v>
      </c>
      <c r="L38" s="160">
        <v>17</v>
      </c>
      <c r="M38" s="160">
        <v>443</v>
      </c>
      <c r="N38" s="160">
        <v>401</v>
      </c>
      <c r="O38" s="160">
        <v>461</v>
      </c>
      <c r="P38" s="160">
        <v>496</v>
      </c>
      <c r="Q38" s="161">
        <f>IFERROR(P38/O38-1,"-")</f>
        <v>7.5921908893709311E-2</v>
      </c>
      <c r="R38" s="161">
        <f t="shared" si="23"/>
        <v>1.8209185359227577E-3</v>
      </c>
      <c r="S38" s="160">
        <v>813</v>
      </c>
      <c r="T38" s="160">
        <v>834</v>
      </c>
      <c r="U38" s="160">
        <v>707</v>
      </c>
      <c r="V38" s="160">
        <v>606</v>
      </c>
      <c r="W38" s="160">
        <v>1199</v>
      </c>
      <c r="X38" s="161">
        <f>IFERROR(W38/V38-1,"-")</f>
        <v>0.97854785478547845</v>
      </c>
      <c r="Y38" s="161">
        <f>W38/W$8</f>
        <v>3.5635207228092076E-3</v>
      </c>
    </row>
    <row r="39" spans="1:25" x14ac:dyDescent="0.25">
      <c r="A39" s="56"/>
      <c r="B39" s="159" t="s">
        <v>100</v>
      </c>
      <c r="C39" s="160">
        <v>611</v>
      </c>
      <c r="D39" s="160">
        <v>13</v>
      </c>
      <c r="E39" s="160">
        <v>101</v>
      </c>
      <c r="F39" s="160">
        <v>893</v>
      </c>
      <c r="G39" s="160">
        <v>271</v>
      </c>
      <c r="H39" s="160">
        <v>617</v>
      </c>
      <c r="I39" s="161">
        <f>IFERROR(H39/G39-1,"-")</f>
        <v>1.2767527675276753</v>
      </c>
      <c r="J39" s="161">
        <f t="shared" si="21"/>
        <v>9.6293406164650805E-3</v>
      </c>
      <c r="K39" s="160">
        <v>2524</v>
      </c>
      <c r="L39" s="160">
        <v>147</v>
      </c>
      <c r="M39" s="160">
        <v>1998</v>
      </c>
      <c r="N39" s="160">
        <v>2680</v>
      </c>
      <c r="O39" s="160">
        <v>2256</v>
      </c>
      <c r="P39" s="160">
        <v>2346</v>
      </c>
      <c r="Q39" s="161">
        <f>IFERROR(P39/O39-1,"-")</f>
        <v>3.9893617021276695E-2</v>
      </c>
      <c r="R39" s="161">
        <f t="shared" si="23"/>
        <v>8.6126509783765928E-3</v>
      </c>
      <c r="S39" s="160">
        <v>3135</v>
      </c>
      <c r="T39" s="160">
        <v>2099</v>
      </c>
      <c r="U39" s="160">
        <v>3573</v>
      </c>
      <c r="V39" s="160">
        <v>2527</v>
      </c>
      <c r="W39" s="160">
        <v>2963</v>
      </c>
      <c r="X39" s="161">
        <f>IFERROR(W39/V39-1,"-")</f>
        <v>0.17253660466956866</v>
      </c>
      <c r="Y39" s="161">
        <f>W39/W$8</f>
        <v>8.8062651390189168E-3</v>
      </c>
    </row>
    <row r="40" spans="1:25" x14ac:dyDescent="0.25">
      <c r="A40" s="56"/>
      <c r="B40" s="155" t="s">
        <v>107</v>
      </c>
      <c r="C40" s="156">
        <v>14851</v>
      </c>
      <c r="D40" s="156">
        <v>362</v>
      </c>
      <c r="E40" s="156">
        <v>7341</v>
      </c>
      <c r="F40" s="156">
        <v>13766</v>
      </c>
      <c r="G40" s="156">
        <v>11698</v>
      </c>
      <c r="H40" s="156">
        <v>16221</v>
      </c>
      <c r="I40" s="157">
        <f>IFERROR(H40/G40-1,"-")</f>
        <v>0.38664729013506571</v>
      </c>
      <c r="J40" s="157">
        <f t="shared" si="21"/>
        <v>0.25315645727662894</v>
      </c>
      <c r="K40" s="156">
        <v>41705</v>
      </c>
      <c r="L40" s="156">
        <v>1430</v>
      </c>
      <c r="M40" s="156">
        <v>29824</v>
      </c>
      <c r="N40" s="156">
        <v>45245</v>
      </c>
      <c r="O40" s="156">
        <v>47240</v>
      </c>
      <c r="P40" s="156">
        <v>49095</v>
      </c>
      <c r="Q40" s="157">
        <f>IFERROR(P40/O40-1,"-")</f>
        <v>3.9267569856054285E-2</v>
      </c>
      <c r="R40" s="157">
        <f t="shared" si="23"/>
        <v>0.18023789419582217</v>
      </c>
      <c r="S40" s="156">
        <v>56556</v>
      </c>
      <c r="T40" s="156">
        <v>37165</v>
      </c>
      <c r="U40" s="156">
        <v>59011</v>
      </c>
      <c r="V40" s="156">
        <v>58938</v>
      </c>
      <c r="W40" s="156">
        <v>65316</v>
      </c>
      <c r="X40" s="157">
        <f>IFERROR(W40/V40-1,"-")</f>
        <v>0.10821541280667812</v>
      </c>
      <c r="Y40" s="157">
        <f>W40/W$8</f>
        <v>0.19412420311176498</v>
      </c>
    </row>
    <row r="41" spans="1:25" s="56" customFormat="1" x14ac:dyDescent="0.25">
      <c r="B41" s="159" t="s">
        <v>110</v>
      </c>
      <c r="C41" s="160">
        <v>6951</v>
      </c>
      <c r="D41" s="160">
        <v>26</v>
      </c>
      <c r="E41" s="160">
        <v>2428</v>
      </c>
      <c r="F41" s="160">
        <v>4717</v>
      </c>
      <c r="G41" s="160">
        <v>3976</v>
      </c>
      <c r="H41" s="160">
        <v>5690</v>
      </c>
      <c r="I41" s="161">
        <f t="shared" ref="I41:I48" si="24">IFERROR(H41/G41-1,"-")</f>
        <v>0.4310865191146882</v>
      </c>
      <c r="J41" s="161">
        <f t="shared" si="21"/>
        <v>8.8802184939523993E-2</v>
      </c>
      <c r="K41" s="160">
        <v>18246</v>
      </c>
      <c r="L41" s="160">
        <v>123</v>
      </c>
      <c r="M41" s="160">
        <v>10353</v>
      </c>
      <c r="N41" s="160">
        <v>18172</v>
      </c>
      <c r="O41" s="160">
        <v>20864</v>
      </c>
      <c r="P41" s="160">
        <v>22769</v>
      </c>
      <c r="Q41" s="161">
        <f t="shared" ref="Q41:Q48" si="25">IFERROR(P41/O41-1,"-")</f>
        <v>9.1305598159509227E-2</v>
      </c>
      <c r="R41" s="161">
        <f t="shared" si="23"/>
        <v>8.3589705936341269E-2</v>
      </c>
      <c r="S41" s="160">
        <v>25197</v>
      </c>
      <c r="T41" s="160">
        <v>12781</v>
      </c>
      <c r="U41" s="160">
        <v>22889</v>
      </c>
      <c r="V41" s="160">
        <v>24840</v>
      </c>
      <c r="W41" s="160">
        <v>28459</v>
      </c>
      <c r="X41" s="161">
        <f t="shared" ref="X41:X48" si="26">IFERROR(W41/V41-1,"-")</f>
        <v>0.14569243156199674</v>
      </c>
      <c r="Y41" s="161">
        <f t="shared" ref="Y41:Y48" si="27">W41/W$8</f>
        <v>8.4582348832716633E-2</v>
      </c>
    </row>
    <row r="42" spans="1:25" s="56" customFormat="1" x14ac:dyDescent="0.25">
      <c r="B42" s="159" t="s">
        <v>113</v>
      </c>
      <c r="C42" s="160">
        <v>1031</v>
      </c>
      <c r="D42" s="160">
        <v>26</v>
      </c>
      <c r="E42" s="160">
        <v>324</v>
      </c>
      <c r="F42" s="160">
        <v>922</v>
      </c>
      <c r="G42" s="160">
        <v>780</v>
      </c>
      <c r="H42" s="160">
        <v>1291</v>
      </c>
      <c r="I42" s="161">
        <f t="shared" si="24"/>
        <v>0.65512820512820502</v>
      </c>
      <c r="J42" s="161">
        <f t="shared" si="21"/>
        <v>2.014826375341397E-2</v>
      </c>
      <c r="K42" s="160">
        <v>2273</v>
      </c>
      <c r="L42" s="160">
        <v>146</v>
      </c>
      <c r="M42" s="160">
        <v>1850</v>
      </c>
      <c r="N42" s="160">
        <v>2199</v>
      </c>
      <c r="O42" s="160">
        <v>2167</v>
      </c>
      <c r="P42" s="160">
        <v>1711</v>
      </c>
      <c r="Q42" s="161">
        <f t="shared" si="25"/>
        <v>-0.21042916474388551</v>
      </c>
      <c r="R42" s="161">
        <f t="shared" si="23"/>
        <v>6.2814347075883844E-3</v>
      </c>
      <c r="S42" s="160">
        <v>3304</v>
      </c>
      <c r="T42" s="160">
        <v>2174</v>
      </c>
      <c r="U42" s="160">
        <v>3121</v>
      </c>
      <c r="V42" s="160">
        <v>2947</v>
      </c>
      <c r="W42" s="160">
        <v>3002</v>
      </c>
      <c r="X42" s="161">
        <f t="shared" si="26"/>
        <v>1.8663047166610047E-2</v>
      </c>
      <c r="Y42" s="161">
        <f t="shared" si="27"/>
        <v>8.9221761550235534E-3</v>
      </c>
    </row>
    <row r="43" spans="1:25" x14ac:dyDescent="0.25">
      <c r="A43" s="56"/>
      <c r="B43" s="159" t="s">
        <v>116</v>
      </c>
      <c r="C43" s="160">
        <v>688</v>
      </c>
      <c r="D43" s="160">
        <v>16</v>
      </c>
      <c r="E43" s="160">
        <v>279</v>
      </c>
      <c r="F43" s="160">
        <v>569</v>
      </c>
      <c r="G43" s="160">
        <v>436</v>
      </c>
      <c r="H43" s="160">
        <v>653</v>
      </c>
      <c r="I43" s="161">
        <f t="shared" si="24"/>
        <v>0.49770642201834869</v>
      </c>
      <c r="J43" s="161">
        <f t="shared" si="21"/>
        <v>1.0191182208349591E-2</v>
      </c>
      <c r="K43" s="160">
        <v>1096</v>
      </c>
      <c r="L43" s="160">
        <v>191</v>
      </c>
      <c r="M43" s="160">
        <v>859</v>
      </c>
      <c r="N43" s="160">
        <v>1125</v>
      </c>
      <c r="O43" s="160">
        <v>1083</v>
      </c>
      <c r="P43" s="160">
        <v>1154</v>
      </c>
      <c r="Q43" s="161">
        <f t="shared" si="25"/>
        <v>6.5558633425669477E-2</v>
      </c>
      <c r="R43" s="161">
        <f t="shared" si="23"/>
        <v>4.2365725614009328E-3</v>
      </c>
      <c r="S43" s="160">
        <v>1784</v>
      </c>
      <c r="T43" s="160">
        <v>1138</v>
      </c>
      <c r="U43" s="160">
        <v>1694</v>
      </c>
      <c r="V43" s="160">
        <v>1519</v>
      </c>
      <c r="W43" s="160">
        <v>1807</v>
      </c>
      <c r="X43" s="161">
        <f t="shared" si="26"/>
        <v>0.18959842001316662</v>
      </c>
      <c r="Y43" s="161">
        <f t="shared" si="27"/>
        <v>5.3705437415481547E-3</v>
      </c>
    </row>
    <row r="44" spans="1:25" x14ac:dyDescent="0.25">
      <c r="A44" s="56"/>
      <c r="B44" s="159" t="s">
        <v>123</v>
      </c>
      <c r="C44" s="160">
        <v>255</v>
      </c>
      <c r="D44" s="160">
        <v>3</v>
      </c>
      <c r="E44" s="160">
        <v>286</v>
      </c>
      <c r="F44" s="160">
        <v>311</v>
      </c>
      <c r="G44" s="160">
        <v>309</v>
      </c>
      <c r="H44" s="160">
        <v>370</v>
      </c>
      <c r="I44" s="161">
        <f t="shared" si="24"/>
        <v>0.19741100323624594</v>
      </c>
      <c r="J44" s="161">
        <f t="shared" si="21"/>
        <v>5.7744830277019115E-3</v>
      </c>
      <c r="K44" s="160">
        <v>2205</v>
      </c>
      <c r="L44" s="160">
        <v>52</v>
      </c>
      <c r="M44" s="160">
        <v>1636</v>
      </c>
      <c r="N44" s="160">
        <v>2301</v>
      </c>
      <c r="O44" s="160">
        <v>2227</v>
      </c>
      <c r="P44" s="160">
        <v>1864</v>
      </c>
      <c r="Q44" s="161">
        <f t="shared" si="25"/>
        <v>-0.16299955096542429</v>
      </c>
      <c r="R44" s="161">
        <f t="shared" si="23"/>
        <v>6.8431293366129449E-3</v>
      </c>
      <c r="S44" s="160">
        <v>2460</v>
      </c>
      <c r="T44" s="160">
        <v>1922</v>
      </c>
      <c r="U44" s="160">
        <v>2612</v>
      </c>
      <c r="V44" s="160">
        <v>2536</v>
      </c>
      <c r="W44" s="160">
        <v>2234</v>
      </c>
      <c r="X44" s="161">
        <f t="shared" si="26"/>
        <v>-0.11908517350157732</v>
      </c>
      <c r="Y44" s="161">
        <f t="shared" si="27"/>
        <v>6.6396207629322518E-3</v>
      </c>
    </row>
    <row r="45" spans="1:25" x14ac:dyDescent="0.25">
      <c r="A45" s="56"/>
      <c r="B45" s="159" t="s">
        <v>119</v>
      </c>
      <c r="C45" s="160">
        <v>279</v>
      </c>
      <c r="D45" s="160">
        <v>12</v>
      </c>
      <c r="E45" s="160">
        <v>119</v>
      </c>
      <c r="F45" s="160">
        <v>215</v>
      </c>
      <c r="G45" s="160">
        <v>228</v>
      </c>
      <c r="H45" s="160">
        <v>256</v>
      </c>
      <c r="I45" s="161">
        <f t="shared" si="24"/>
        <v>0.12280701754385959</v>
      </c>
      <c r="J45" s="161">
        <f t="shared" si="21"/>
        <v>3.9953179867342958E-3</v>
      </c>
      <c r="K45" s="160">
        <v>3473</v>
      </c>
      <c r="L45" s="160">
        <v>63</v>
      </c>
      <c r="M45" s="160">
        <v>1889</v>
      </c>
      <c r="N45" s="160">
        <v>3175</v>
      </c>
      <c r="O45" s="160">
        <v>3186</v>
      </c>
      <c r="P45" s="160">
        <v>2018</v>
      </c>
      <c r="Q45" s="161">
        <f t="shared" si="25"/>
        <v>-0.36660389202762089</v>
      </c>
      <c r="R45" s="161">
        <f t="shared" si="23"/>
        <v>7.4084951723631561E-3</v>
      </c>
      <c r="S45" s="160">
        <v>3752</v>
      </c>
      <c r="T45" s="160">
        <v>2008</v>
      </c>
      <c r="U45" s="160">
        <v>3390</v>
      </c>
      <c r="V45" s="160">
        <v>3414</v>
      </c>
      <c r="W45" s="160">
        <v>2274</v>
      </c>
      <c r="X45" s="161">
        <f t="shared" si="26"/>
        <v>-0.33391915641476277</v>
      </c>
      <c r="Y45" s="161">
        <f t="shared" si="27"/>
        <v>6.7585038562703401E-3</v>
      </c>
    </row>
    <row r="46" spans="1:25" x14ac:dyDescent="0.25">
      <c r="A46" s="56"/>
      <c r="B46" s="159" t="s">
        <v>128</v>
      </c>
      <c r="C46" s="160">
        <v>465</v>
      </c>
      <c r="D46" s="160">
        <v>0</v>
      </c>
      <c r="E46" s="160">
        <v>291</v>
      </c>
      <c r="F46" s="160">
        <v>370</v>
      </c>
      <c r="G46" s="160">
        <v>215</v>
      </c>
      <c r="H46" s="160">
        <v>364</v>
      </c>
      <c r="I46" s="161">
        <f t="shared" si="24"/>
        <v>0.69302325581395352</v>
      </c>
      <c r="J46" s="161">
        <f t="shared" si="21"/>
        <v>5.6808427623878267E-3</v>
      </c>
      <c r="K46" s="160">
        <v>855</v>
      </c>
      <c r="L46" s="160">
        <v>33</v>
      </c>
      <c r="M46" s="160">
        <v>937</v>
      </c>
      <c r="N46" s="160">
        <v>1322</v>
      </c>
      <c r="O46" s="160">
        <v>1137</v>
      </c>
      <c r="P46" s="160">
        <v>1345</v>
      </c>
      <c r="Q46" s="161">
        <f t="shared" si="25"/>
        <v>0.18293755496921715</v>
      </c>
      <c r="R46" s="161">
        <f t="shared" si="23"/>
        <v>4.9377730460002205E-3</v>
      </c>
      <c r="S46" s="160">
        <v>1320</v>
      </c>
      <c r="T46" s="160">
        <v>1228</v>
      </c>
      <c r="U46" s="160">
        <v>1692</v>
      </c>
      <c r="V46" s="160">
        <v>1352</v>
      </c>
      <c r="W46" s="160">
        <v>1709</v>
      </c>
      <c r="X46" s="161">
        <f t="shared" si="26"/>
        <v>0.26405325443786976</v>
      </c>
      <c r="Y46" s="161">
        <f t="shared" si="27"/>
        <v>5.0792801628698377E-3</v>
      </c>
    </row>
    <row r="47" spans="1:25" x14ac:dyDescent="0.25">
      <c r="A47" s="56"/>
      <c r="B47" s="159" t="s">
        <v>131</v>
      </c>
      <c r="C47" s="160">
        <v>463</v>
      </c>
      <c r="D47" s="160">
        <v>0</v>
      </c>
      <c r="E47" s="160">
        <v>223</v>
      </c>
      <c r="F47" s="160">
        <v>276</v>
      </c>
      <c r="G47" s="160">
        <v>179</v>
      </c>
      <c r="H47" s="160">
        <v>210</v>
      </c>
      <c r="I47" s="161">
        <f t="shared" si="24"/>
        <v>0.17318435754189943</v>
      </c>
      <c r="J47" s="161">
        <f t="shared" si="21"/>
        <v>3.2774092859929769E-3</v>
      </c>
      <c r="K47" s="160">
        <v>1494</v>
      </c>
      <c r="L47" s="160">
        <v>305</v>
      </c>
      <c r="M47" s="160">
        <v>1228</v>
      </c>
      <c r="N47" s="160">
        <v>1491</v>
      </c>
      <c r="O47" s="160">
        <v>1553</v>
      </c>
      <c r="P47" s="160">
        <v>1248</v>
      </c>
      <c r="Q47" s="161">
        <f t="shared" si="25"/>
        <v>-0.19639407598197034</v>
      </c>
      <c r="R47" s="161">
        <f t="shared" si="23"/>
        <v>4.5816659936121001E-3</v>
      </c>
      <c r="S47" s="160">
        <v>1957</v>
      </c>
      <c r="T47" s="160">
        <v>1451</v>
      </c>
      <c r="U47" s="160">
        <v>1767</v>
      </c>
      <c r="V47" s="160">
        <v>1732</v>
      </c>
      <c r="W47" s="160">
        <v>1458</v>
      </c>
      <c r="X47" s="161">
        <f t="shared" si="26"/>
        <v>-0.15819861431870674</v>
      </c>
      <c r="Y47" s="161">
        <f t="shared" si="27"/>
        <v>4.3332887521733317E-3</v>
      </c>
    </row>
    <row r="48" spans="1:25" x14ac:dyDescent="0.25">
      <c r="A48" s="56"/>
      <c r="B48" s="164" t="s">
        <v>145</v>
      </c>
      <c r="C48" s="165">
        <f t="shared" ref="C48:H48" si="28">C40-SUM(C41:C47)</f>
        <v>4719</v>
      </c>
      <c r="D48" s="165">
        <f t="shared" si="28"/>
        <v>279</v>
      </c>
      <c r="E48" s="165">
        <f t="shared" si="28"/>
        <v>3391</v>
      </c>
      <c r="F48" s="165">
        <f t="shared" si="28"/>
        <v>6386</v>
      </c>
      <c r="G48" s="165">
        <f t="shared" si="28"/>
        <v>5575</v>
      </c>
      <c r="H48" s="165">
        <f t="shared" si="28"/>
        <v>7387</v>
      </c>
      <c r="I48" s="166">
        <f t="shared" si="24"/>
        <v>0.32502242152466376</v>
      </c>
      <c r="J48" s="166">
        <f t="shared" si="21"/>
        <v>0.11528677331252439</v>
      </c>
      <c r="K48" s="165">
        <f t="shared" ref="K48:P48" si="29">K40-SUM(K41:K47)</f>
        <v>12063</v>
      </c>
      <c r="L48" s="165">
        <f t="shared" si="29"/>
        <v>517</v>
      </c>
      <c r="M48" s="165">
        <f t="shared" si="29"/>
        <v>11072</v>
      </c>
      <c r="N48" s="165">
        <f t="shared" si="29"/>
        <v>15460</v>
      </c>
      <c r="O48" s="165">
        <f t="shared" si="29"/>
        <v>15023</v>
      </c>
      <c r="P48" s="165">
        <f t="shared" si="29"/>
        <v>16986</v>
      </c>
      <c r="Q48" s="166">
        <f t="shared" si="25"/>
        <v>0.13066631165546161</v>
      </c>
      <c r="R48" s="166">
        <f t="shared" si="23"/>
        <v>6.2359117441903152E-2</v>
      </c>
      <c r="S48" s="165">
        <f>S40-SUM(S41:S47)</f>
        <v>16782</v>
      </c>
      <c r="T48" s="165">
        <f>T40-SUM(T41:T47)</f>
        <v>14463</v>
      </c>
      <c r="U48" s="165">
        <f>U40-SUM(U41:U47)</f>
        <v>21846</v>
      </c>
      <c r="V48" s="165">
        <f>V40-SUM(V41:V47)</f>
        <v>20598</v>
      </c>
      <c r="W48" s="165">
        <f>W40-SUM(W41:W47)</f>
        <v>24373</v>
      </c>
      <c r="X48" s="166">
        <f t="shared" si="26"/>
        <v>0.1832702204097485</v>
      </c>
      <c r="Y48" s="166">
        <f t="shared" si="27"/>
        <v>7.2438440848230867E-2</v>
      </c>
    </row>
    <row r="49" spans="1:25" x14ac:dyDescent="0.25">
      <c r="A49" s="56"/>
      <c r="B49" s="151" t="s">
        <v>46</v>
      </c>
      <c r="C49" s="149"/>
      <c r="D49" s="149"/>
      <c r="E49" s="149"/>
      <c r="F49" s="149"/>
      <c r="G49" s="149"/>
      <c r="H49" s="149"/>
      <c r="I49" s="149"/>
      <c r="J49" s="149"/>
      <c r="K49" s="149"/>
      <c r="L49" s="149"/>
      <c r="M49" s="149"/>
      <c r="N49" s="149"/>
      <c r="O49" s="149"/>
      <c r="P49" s="149"/>
      <c r="Q49" s="149"/>
      <c r="R49" s="149"/>
      <c r="S49" s="149"/>
      <c r="T49" s="149"/>
      <c r="U49" s="149"/>
      <c r="V49" s="149"/>
      <c r="W49" s="149"/>
      <c r="X49" s="149"/>
      <c r="Y49" s="149"/>
    </row>
    <row r="50" spans="1:25" x14ac:dyDescent="0.25">
      <c r="A50" s="56"/>
      <c r="B50" s="152" t="s">
        <v>68</v>
      </c>
      <c r="C50" s="172">
        <f t="shared" ref="C50:H50" si="30">C51+C54</f>
        <v>0</v>
      </c>
      <c r="D50" s="172">
        <f t="shared" si="30"/>
        <v>596</v>
      </c>
      <c r="E50" s="172">
        <f t="shared" si="30"/>
        <v>0</v>
      </c>
      <c r="F50" s="172">
        <f t="shared" si="30"/>
        <v>0</v>
      </c>
      <c r="G50" s="172">
        <f t="shared" si="30"/>
        <v>0</v>
      </c>
      <c r="H50" s="172">
        <f t="shared" si="30"/>
        <v>0</v>
      </c>
      <c r="I50" s="173" t="str">
        <f>IFERROR(H50/G50-1,"-")</f>
        <v>-</v>
      </c>
      <c r="J50" s="173">
        <f t="shared" ref="J50:J62" si="31">H50/H$8</f>
        <v>0</v>
      </c>
      <c r="K50" s="172">
        <f t="shared" ref="K50:P50" si="32">K51+K54</f>
        <v>0</v>
      </c>
      <c r="L50" s="172">
        <f t="shared" si="32"/>
        <v>0</v>
      </c>
      <c r="M50" s="172">
        <f t="shared" si="32"/>
        <v>0</v>
      </c>
      <c r="N50" s="172">
        <f t="shared" si="32"/>
        <v>0</v>
      </c>
      <c r="O50" s="172">
        <f t="shared" si="32"/>
        <v>0</v>
      </c>
      <c r="P50" s="172">
        <f t="shared" si="32"/>
        <v>0</v>
      </c>
      <c r="Q50" s="173" t="str">
        <f>IFERROR(P50/O50-1,"-")</f>
        <v>-</v>
      </c>
      <c r="R50" s="173">
        <f t="shared" ref="R50:R62" si="33">P50/P$8</f>
        <v>0</v>
      </c>
      <c r="S50" s="172">
        <f>S51+S54</f>
        <v>3026</v>
      </c>
      <c r="T50" s="172">
        <f>T51+T54</f>
        <v>2563</v>
      </c>
      <c r="U50" s="172">
        <f>U51+U54</f>
        <v>6858</v>
      </c>
      <c r="V50" s="172">
        <f>V51+V54</f>
        <v>4426</v>
      </c>
      <c r="W50" s="172">
        <f>W51+W54</f>
        <v>4533</v>
      </c>
      <c r="X50" s="173">
        <f>IFERROR(W50/V50-1,"-")</f>
        <v>2.4175327609579744E-2</v>
      </c>
      <c r="Y50" s="173">
        <f>W50/W$8</f>
        <v>1.3472426552538897E-2</v>
      </c>
    </row>
    <row r="51" spans="1:25" x14ac:dyDescent="0.25">
      <c r="A51" s="56"/>
      <c r="B51" s="155" t="s">
        <v>97</v>
      </c>
      <c r="C51" s="156">
        <v>0</v>
      </c>
      <c r="D51" s="156">
        <v>107</v>
      </c>
      <c r="E51" s="156">
        <v>0</v>
      </c>
      <c r="F51" s="156">
        <v>0</v>
      </c>
      <c r="G51" s="156">
        <v>0</v>
      </c>
      <c r="H51" s="156">
        <v>0</v>
      </c>
      <c r="I51" s="157" t="str">
        <f>IFERROR(H51/G51-1,"-")</f>
        <v>-</v>
      </c>
      <c r="J51" s="157">
        <f t="shared" si="31"/>
        <v>0</v>
      </c>
      <c r="K51" s="156">
        <v>0</v>
      </c>
      <c r="L51" s="156">
        <v>0</v>
      </c>
      <c r="M51" s="156">
        <v>0</v>
      </c>
      <c r="N51" s="156">
        <v>0</v>
      </c>
      <c r="O51" s="156">
        <v>0</v>
      </c>
      <c r="P51" s="156">
        <v>0</v>
      </c>
      <c r="Q51" s="157" t="str">
        <f>IFERROR(P51/O51-1,"-")</f>
        <v>-</v>
      </c>
      <c r="R51" s="157">
        <f t="shared" si="33"/>
        <v>0</v>
      </c>
      <c r="S51" s="156">
        <v>273</v>
      </c>
      <c r="T51" s="156">
        <v>161</v>
      </c>
      <c r="U51" s="156">
        <v>3474</v>
      </c>
      <c r="V51" s="156">
        <v>596</v>
      </c>
      <c r="W51" s="156">
        <v>894</v>
      </c>
      <c r="X51" s="157">
        <f>IFERROR(W51/V51-1,"-")</f>
        <v>0.5</v>
      </c>
      <c r="Y51" s="157">
        <f>W51/W$8</f>
        <v>2.6570371361062813E-3</v>
      </c>
    </row>
    <row r="52" spans="1:25" x14ac:dyDescent="0.25">
      <c r="A52" s="56"/>
      <c r="B52" s="159" t="s">
        <v>103</v>
      </c>
      <c r="C52" s="160">
        <v>0</v>
      </c>
      <c r="D52" s="160">
        <v>45</v>
      </c>
      <c r="E52" s="160">
        <v>0</v>
      </c>
      <c r="F52" s="160">
        <v>0</v>
      </c>
      <c r="G52" s="160">
        <v>0</v>
      </c>
      <c r="H52" s="160">
        <v>0</v>
      </c>
      <c r="I52" s="161" t="str">
        <f>IFERROR(H52/G52-1,"-")</f>
        <v>-</v>
      </c>
      <c r="J52" s="161">
        <f t="shared" si="31"/>
        <v>0</v>
      </c>
      <c r="K52" s="160">
        <v>0</v>
      </c>
      <c r="L52" s="160">
        <v>0</v>
      </c>
      <c r="M52" s="160">
        <v>0</v>
      </c>
      <c r="N52" s="160">
        <v>0</v>
      </c>
      <c r="O52" s="160">
        <v>0</v>
      </c>
      <c r="P52" s="160">
        <v>0</v>
      </c>
      <c r="Q52" s="161" t="str">
        <f>IFERROR(P52/O52-1,"-")</f>
        <v>-</v>
      </c>
      <c r="R52" s="161">
        <f t="shared" si="33"/>
        <v>0</v>
      </c>
      <c r="S52" s="160">
        <v>125</v>
      </c>
      <c r="T52" s="160">
        <v>36</v>
      </c>
      <c r="U52" s="160">
        <v>2737</v>
      </c>
      <c r="V52" s="160">
        <v>279</v>
      </c>
      <c r="W52" s="160">
        <v>394</v>
      </c>
      <c r="X52" s="161">
        <f>IFERROR(W52/V52-1,"-")</f>
        <v>0.41218637992831542</v>
      </c>
      <c r="Y52" s="161">
        <f>W52/W$8</f>
        <v>1.1709984693801733E-3</v>
      </c>
    </row>
    <row r="53" spans="1:25" x14ac:dyDescent="0.25">
      <c r="A53" s="56"/>
      <c r="B53" s="159" t="s">
        <v>100</v>
      </c>
      <c r="C53" s="160">
        <v>0</v>
      </c>
      <c r="D53" s="160">
        <v>62</v>
      </c>
      <c r="E53" s="160">
        <v>0</v>
      </c>
      <c r="F53" s="160">
        <v>0</v>
      </c>
      <c r="G53" s="160">
        <v>0</v>
      </c>
      <c r="H53" s="160">
        <v>0</v>
      </c>
      <c r="I53" s="161" t="str">
        <f>IFERROR(H53/G53-1,"-")</f>
        <v>-</v>
      </c>
      <c r="J53" s="161">
        <f t="shared" si="31"/>
        <v>0</v>
      </c>
      <c r="K53" s="160">
        <v>0</v>
      </c>
      <c r="L53" s="160">
        <v>0</v>
      </c>
      <c r="M53" s="160">
        <v>0</v>
      </c>
      <c r="N53" s="160">
        <v>0</v>
      </c>
      <c r="O53" s="160">
        <v>0</v>
      </c>
      <c r="P53" s="160">
        <v>0</v>
      </c>
      <c r="Q53" s="161" t="str">
        <f>IFERROR(P53/O53-1,"-")</f>
        <v>-</v>
      </c>
      <c r="R53" s="161">
        <f t="shared" si="33"/>
        <v>0</v>
      </c>
      <c r="S53" s="160">
        <v>148</v>
      </c>
      <c r="T53" s="160">
        <v>125</v>
      </c>
      <c r="U53" s="160">
        <v>737</v>
      </c>
      <c r="V53" s="160">
        <v>317</v>
      </c>
      <c r="W53" s="160">
        <v>500</v>
      </c>
      <c r="X53" s="161">
        <f>IFERROR(W53/V53-1,"-")</f>
        <v>0.57728706624605675</v>
      </c>
      <c r="Y53" s="161">
        <f>W53/W$8</f>
        <v>1.4860386667261082E-3</v>
      </c>
    </row>
    <row r="54" spans="1:25" x14ac:dyDescent="0.25">
      <c r="A54" s="56"/>
      <c r="B54" s="155" t="s">
        <v>107</v>
      </c>
      <c r="C54" s="156">
        <v>0</v>
      </c>
      <c r="D54" s="156">
        <v>489</v>
      </c>
      <c r="E54" s="156">
        <v>0</v>
      </c>
      <c r="F54" s="156">
        <v>0</v>
      </c>
      <c r="G54" s="156">
        <v>0</v>
      </c>
      <c r="H54" s="156">
        <v>0</v>
      </c>
      <c r="I54" s="157" t="str">
        <f>IFERROR(H54/G54-1,"-")</f>
        <v>-</v>
      </c>
      <c r="J54" s="157">
        <f t="shared" si="31"/>
        <v>0</v>
      </c>
      <c r="K54" s="156">
        <v>0</v>
      </c>
      <c r="L54" s="156">
        <v>0</v>
      </c>
      <c r="M54" s="156">
        <v>0</v>
      </c>
      <c r="N54" s="156">
        <v>0</v>
      </c>
      <c r="O54" s="156">
        <v>0</v>
      </c>
      <c r="P54" s="156">
        <v>0</v>
      </c>
      <c r="Q54" s="157" t="str">
        <f>IFERROR(P54/O54-1,"-")</f>
        <v>-</v>
      </c>
      <c r="R54" s="157">
        <f t="shared" si="33"/>
        <v>0</v>
      </c>
      <c r="S54" s="156">
        <v>2753</v>
      </c>
      <c r="T54" s="156">
        <v>2402</v>
      </c>
      <c r="U54" s="156">
        <v>3384</v>
      </c>
      <c r="V54" s="156">
        <v>3830</v>
      </c>
      <c r="W54" s="156">
        <v>3639</v>
      </c>
      <c r="X54" s="157">
        <f>IFERROR(W54/V54-1,"-")</f>
        <v>-4.9869451697127976E-2</v>
      </c>
      <c r="Y54" s="157">
        <f>W54/W$8</f>
        <v>1.0815389416432616E-2</v>
      </c>
    </row>
    <row r="55" spans="1:25" s="56" customFormat="1" x14ac:dyDescent="0.25">
      <c r="B55" s="159" t="s">
        <v>110</v>
      </c>
      <c r="C55" s="160">
        <v>0</v>
      </c>
      <c r="D55" s="160">
        <v>19</v>
      </c>
      <c r="E55" s="160">
        <v>0</v>
      </c>
      <c r="F55" s="160">
        <v>0</v>
      </c>
      <c r="G55" s="160">
        <v>0</v>
      </c>
      <c r="H55" s="160">
        <v>0</v>
      </c>
      <c r="I55" s="161" t="str">
        <f t="shared" ref="I55:I62" si="34">IFERROR(H55/G55-1,"-")</f>
        <v>-</v>
      </c>
      <c r="J55" s="161">
        <f t="shared" si="31"/>
        <v>0</v>
      </c>
      <c r="K55" s="160">
        <v>0</v>
      </c>
      <c r="L55" s="160">
        <v>0</v>
      </c>
      <c r="M55" s="160">
        <v>0</v>
      </c>
      <c r="N55" s="160">
        <v>0</v>
      </c>
      <c r="O55" s="160">
        <v>0</v>
      </c>
      <c r="P55" s="160">
        <v>0</v>
      </c>
      <c r="Q55" s="161" t="str">
        <f t="shared" ref="Q55:Q62" si="35">IFERROR(P55/O55-1,"-")</f>
        <v>-</v>
      </c>
      <c r="R55" s="161">
        <f t="shared" si="33"/>
        <v>0</v>
      </c>
      <c r="S55" s="160">
        <v>668</v>
      </c>
      <c r="T55" s="160">
        <v>648</v>
      </c>
      <c r="U55" s="160">
        <v>937</v>
      </c>
      <c r="V55" s="160">
        <v>903</v>
      </c>
      <c r="W55" s="160">
        <v>1236</v>
      </c>
      <c r="X55" s="161">
        <f t="shared" ref="X55:X62" si="36">IFERROR(W55/V55-1,"-")</f>
        <v>0.36877076411960141</v>
      </c>
      <c r="Y55" s="161">
        <f t="shared" ref="Y55:Y62" si="37">W55/W$8</f>
        <v>3.6734875841469396E-3</v>
      </c>
    </row>
    <row r="56" spans="1:25" s="56" customFormat="1" x14ac:dyDescent="0.25">
      <c r="B56" s="159" t="s">
        <v>113</v>
      </c>
      <c r="C56" s="160">
        <v>0</v>
      </c>
      <c r="D56" s="160">
        <v>168</v>
      </c>
      <c r="E56" s="160">
        <v>0</v>
      </c>
      <c r="F56" s="160">
        <v>0</v>
      </c>
      <c r="G56" s="160">
        <v>0</v>
      </c>
      <c r="H56" s="160">
        <v>0</v>
      </c>
      <c r="I56" s="161" t="str">
        <f t="shared" si="34"/>
        <v>-</v>
      </c>
      <c r="J56" s="161">
        <f t="shared" si="31"/>
        <v>0</v>
      </c>
      <c r="K56" s="160">
        <v>0</v>
      </c>
      <c r="L56" s="160">
        <v>0</v>
      </c>
      <c r="M56" s="160">
        <v>0</v>
      </c>
      <c r="N56" s="160">
        <v>0</v>
      </c>
      <c r="O56" s="160">
        <v>0</v>
      </c>
      <c r="P56" s="160">
        <v>0</v>
      </c>
      <c r="Q56" s="161" t="str">
        <f t="shared" si="35"/>
        <v>-</v>
      </c>
      <c r="R56" s="161">
        <f t="shared" si="33"/>
        <v>0</v>
      </c>
      <c r="S56" s="160">
        <v>842</v>
      </c>
      <c r="T56" s="160">
        <v>758</v>
      </c>
      <c r="U56" s="160">
        <v>563</v>
      </c>
      <c r="V56" s="160">
        <v>1048</v>
      </c>
      <c r="W56" s="160">
        <v>831</v>
      </c>
      <c r="X56" s="161">
        <f t="shared" si="36"/>
        <v>-0.20706106870229013</v>
      </c>
      <c r="Y56" s="161">
        <f t="shared" si="37"/>
        <v>2.4697962640987917E-3</v>
      </c>
    </row>
    <row r="57" spans="1:25" x14ac:dyDescent="0.25">
      <c r="A57" s="56"/>
      <c r="B57" s="159" t="s">
        <v>116</v>
      </c>
      <c r="C57" s="160">
        <v>0</v>
      </c>
      <c r="D57" s="160">
        <v>42</v>
      </c>
      <c r="E57" s="160">
        <v>0</v>
      </c>
      <c r="F57" s="160">
        <v>0</v>
      </c>
      <c r="G57" s="160">
        <v>0</v>
      </c>
      <c r="H57" s="160">
        <v>0</v>
      </c>
      <c r="I57" s="161" t="str">
        <f t="shared" si="34"/>
        <v>-</v>
      </c>
      <c r="J57" s="161">
        <f t="shared" si="31"/>
        <v>0</v>
      </c>
      <c r="K57" s="160">
        <v>0</v>
      </c>
      <c r="L57" s="160">
        <v>0</v>
      </c>
      <c r="M57" s="160">
        <v>0</v>
      </c>
      <c r="N57" s="160">
        <v>0</v>
      </c>
      <c r="O57" s="160">
        <v>0</v>
      </c>
      <c r="P57" s="160">
        <v>0</v>
      </c>
      <c r="Q57" s="161" t="str">
        <f t="shared" si="35"/>
        <v>-</v>
      </c>
      <c r="R57" s="161">
        <f t="shared" si="33"/>
        <v>0</v>
      </c>
      <c r="S57" s="160">
        <v>164</v>
      </c>
      <c r="T57" s="160">
        <v>117</v>
      </c>
      <c r="U57" s="160">
        <v>335</v>
      </c>
      <c r="V57" s="160">
        <v>271</v>
      </c>
      <c r="W57" s="160">
        <v>191</v>
      </c>
      <c r="X57" s="161">
        <f t="shared" si="36"/>
        <v>-0.29520295202952029</v>
      </c>
      <c r="Y57" s="161">
        <f t="shared" si="37"/>
        <v>5.676667706893733E-4</v>
      </c>
    </row>
    <row r="58" spans="1:25" x14ac:dyDescent="0.25">
      <c r="A58" s="56"/>
      <c r="B58" s="159" t="s">
        <v>123</v>
      </c>
      <c r="C58" s="160">
        <v>0</v>
      </c>
      <c r="D58" s="160">
        <v>14</v>
      </c>
      <c r="E58" s="160">
        <v>0</v>
      </c>
      <c r="F58" s="160">
        <v>0</v>
      </c>
      <c r="G58" s="160">
        <v>0</v>
      </c>
      <c r="H58" s="160">
        <v>0</v>
      </c>
      <c r="I58" s="161" t="str">
        <f t="shared" si="34"/>
        <v>-</v>
      </c>
      <c r="J58" s="161">
        <f t="shared" si="31"/>
        <v>0</v>
      </c>
      <c r="K58" s="160">
        <v>0</v>
      </c>
      <c r="L58" s="160">
        <v>0</v>
      </c>
      <c r="M58" s="160">
        <v>0</v>
      </c>
      <c r="N58" s="160">
        <v>0</v>
      </c>
      <c r="O58" s="160">
        <v>0</v>
      </c>
      <c r="P58" s="160">
        <v>0</v>
      </c>
      <c r="Q58" s="161" t="str">
        <f t="shared" si="35"/>
        <v>-</v>
      </c>
      <c r="R58" s="161">
        <f t="shared" si="33"/>
        <v>0</v>
      </c>
      <c r="S58" s="160">
        <v>73</v>
      </c>
      <c r="T58" s="160">
        <v>98</v>
      </c>
      <c r="U58" s="160">
        <v>78</v>
      </c>
      <c r="V58" s="160">
        <v>130</v>
      </c>
      <c r="W58" s="160">
        <v>132</v>
      </c>
      <c r="X58" s="161">
        <f t="shared" si="36"/>
        <v>1.538461538461533E-2</v>
      </c>
      <c r="Y58" s="161">
        <f t="shared" si="37"/>
        <v>3.9231420801569256E-4</v>
      </c>
    </row>
    <row r="59" spans="1:25" x14ac:dyDescent="0.25">
      <c r="A59" s="56"/>
      <c r="B59" s="159" t="s">
        <v>119</v>
      </c>
      <c r="C59" s="160">
        <v>0</v>
      </c>
      <c r="D59" s="160">
        <v>18</v>
      </c>
      <c r="E59" s="160">
        <v>0</v>
      </c>
      <c r="F59" s="160">
        <v>0</v>
      </c>
      <c r="G59" s="160">
        <v>0</v>
      </c>
      <c r="H59" s="160">
        <v>0</v>
      </c>
      <c r="I59" s="161" t="str">
        <f t="shared" si="34"/>
        <v>-</v>
      </c>
      <c r="J59" s="161">
        <f t="shared" si="31"/>
        <v>0</v>
      </c>
      <c r="K59" s="160">
        <v>0</v>
      </c>
      <c r="L59" s="160">
        <v>0</v>
      </c>
      <c r="M59" s="160">
        <v>0</v>
      </c>
      <c r="N59" s="160">
        <v>0</v>
      </c>
      <c r="O59" s="160">
        <v>0</v>
      </c>
      <c r="P59" s="160">
        <v>0</v>
      </c>
      <c r="Q59" s="161" t="str">
        <f t="shared" si="35"/>
        <v>-</v>
      </c>
      <c r="R59" s="161">
        <f t="shared" si="33"/>
        <v>0</v>
      </c>
      <c r="S59" s="160">
        <v>50</v>
      </c>
      <c r="T59" s="160">
        <v>89</v>
      </c>
      <c r="U59" s="160">
        <v>72</v>
      </c>
      <c r="V59" s="160">
        <v>165</v>
      </c>
      <c r="W59" s="160">
        <v>106</v>
      </c>
      <c r="X59" s="161">
        <f t="shared" si="36"/>
        <v>-0.35757575757575755</v>
      </c>
      <c r="Y59" s="161">
        <f t="shared" si="37"/>
        <v>3.1504019734593494E-4</v>
      </c>
    </row>
    <row r="60" spans="1:25" x14ac:dyDescent="0.25">
      <c r="A60" s="56"/>
      <c r="B60" s="159" t="s">
        <v>128</v>
      </c>
      <c r="C60" s="160">
        <v>0</v>
      </c>
      <c r="D60" s="160">
        <v>3</v>
      </c>
      <c r="E60" s="160">
        <v>0</v>
      </c>
      <c r="F60" s="160">
        <v>0</v>
      </c>
      <c r="G60" s="160">
        <v>0</v>
      </c>
      <c r="H60" s="160">
        <v>0</v>
      </c>
      <c r="I60" s="161" t="str">
        <f t="shared" si="34"/>
        <v>-</v>
      </c>
      <c r="J60" s="161">
        <f t="shared" si="31"/>
        <v>0</v>
      </c>
      <c r="K60" s="160">
        <v>0</v>
      </c>
      <c r="L60" s="160">
        <v>0</v>
      </c>
      <c r="M60" s="160">
        <v>0</v>
      </c>
      <c r="N60" s="160">
        <v>0</v>
      </c>
      <c r="O60" s="160">
        <v>0</v>
      </c>
      <c r="P60" s="160">
        <v>0</v>
      </c>
      <c r="Q60" s="161" t="str">
        <f t="shared" si="35"/>
        <v>-</v>
      </c>
      <c r="R60" s="161">
        <f t="shared" si="33"/>
        <v>0</v>
      </c>
      <c r="S60" s="160">
        <v>42</v>
      </c>
      <c r="T60" s="160">
        <v>13</v>
      </c>
      <c r="U60" s="160">
        <v>52</v>
      </c>
      <c r="V60" s="160">
        <v>31</v>
      </c>
      <c r="W60" s="160">
        <v>38</v>
      </c>
      <c r="X60" s="161">
        <f t="shared" si="36"/>
        <v>0.22580645161290325</v>
      </c>
      <c r="Y60" s="161">
        <f t="shared" si="37"/>
        <v>1.1293893867118422E-4</v>
      </c>
    </row>
    <row r="61" spans="1:25" x14ac:dyDescent="0.25">
      <c r="A61" s="56"/>
      <c r="B61" s="159" t="s">
        <v>131</v>
      </c>
      <c r="C61" s="160">
        <v>0</v>
      </c>
      <c r="D61" s="160">
        <v>2</v>
      </c>
      <c r="E61" s="160">
        <v>0</v>
      </c>
      <c r="F61" s="160">
        <v>0</v>
      </c>
      <c r="G61" s="160">
        <v>0</v>
      </c>
      <c r="H61" s="160">
        <v>0</v>
      </c>
      <c r="I61" s="161" t="str">
        <f t="shared" si="34"/>
        <v>-</v>
      </c>
      <c r="J61" s="161">
        <f t="shared" si="31"/>
        <v>0</v>
      </c>
      <c r="K61" s="160">
        <v>0</v>
      </c>
      <c r="L61" s="160">
        <v>0</v>
      </c>
      <c r="M61" s="160">
        <v>0</v>
      </c>
      <c r="N61" s="160">
        <v>0</v>
      </c>
      <c r="O61" s="160">
        <v>0</v>
      </c>
      <c r="P61" s="160">
        <v>0</v>
      </c>
      <c r="Q61" s="161" t="str">
        <f t="shared" si="35"/>
        <v>-</v>
      </c>
      <c r="R61" s="161">
        <f t="shared" si="33"/>
        <v>0</v>
      </c>
      <c r="S61" s="160">
        <v>45</v>
      </c>
      <c r="T61" s="160">
        <v>29</v>
      </c>
      <c r="U61" s="160">
        <v>48</v>
      </c>
      <c r="V61" s="160">
        <v>13</v>
      </c>
      <c r="W61" s="160">
        <v>50</v>
      </c>
      <c r="X61" s="161">
        <f t="shared" si="36"/>
        <v>2.8461538461538463</v>
      </c>
      <c r="Y61" s="161">
        <f t="shared" si="37"/>
        <v>1.4860386667261082E-4</v>
      </c>
    </row>
    <row r="62" spans="1:25" x14ac:dyDescent="0.25">
      <c r="A62" s="56"/>
      <c r="B62" s="164" t="s">
        <v>145</v>
      </c>
      <c r="C62" s="165">
        <f t="shared" ref="C62:H62" si="38">C54-SUM(C55:C61)</f>
        <v>0</v>
      </c>
      <c r="D62" s="165">
        <f t="shared" si="38"/>
        <v>223</v>
      </c>
      <c r="E62" s="165">
        <f t="shared" si="38"/>
        <v>0</v>
      </c>
      <c r="F62" s="165">
        <f t="shared" si="38"/>
        <v>0</v>
      </c>
      <c r="G62" s="165">
        <f t="shared" si="38"/>
        <v>0</v>
      </c>
      <c r="H62" s="165">
        <f t="shared" si="38"/>
        <v>0</v>
      </c>
      <c r="I62" s="166" t="str">
        <f t="shared" si="34"/>
        <v>-</v>
      </c>
      <c r="J62" s="166">
        <f t="shared" si="31"/>
        <v>0</v>
      </c>
      <c r="K62" s="165">
        <f t="shared" ref="K62:P62" si="39">K54-SUM(K55:K61)</f>
        <v>0</v>
      </c>
      <c r="L62" s="165">
        <f t="shared" si="39"/>
        <v>0</v>
      </c>
      <c r="M62" s="165">
        <f t="shared" si="39"/>
        <v>0</v>
      </c>
      <c r="N62" s="165">
        <f t="shared" si="39"/>
        <v>0</v>
      </c>
      <c r="O62" s="165">
        <f t="shared" si="39"/>
        <v>0</v>
      </c>
      <c r="P62" s="165">
        <f t="shared" si="39"/>
        <v>0</v>
      </c>
      <c r="Q62" s="166" t="str">
        <f t="shared" si="35"/>
        <v>-</v>
      </c>
      <c r="R62" s="166">
        <f t="shared" si="33"/>
        <v>0</v>
      </c>
      <c r="S62" s="165">
        <f>S54-SUM(S55:S61)</f>
        <v>869</v>
      </c>
      <c r="T62" s="165">
        <f>T54-SUM(T55:T61)</f>
        <v>650</v>
      </c>
      <c r="U62" s="165">
        <f>U54-SUM(U55:U61)</f>
        <v>1299</v>
      </c>
      <c r="V62" s="165">
        <f>V54-SUM(V55:V61)</f>
        <v>1269</v>
      </c>
      <c r="W62" s="165">
        <f>W54-SUM(W55:W61)</f>
        <v>1055</v>
      </c>
      <c r="X62" s="166">
        <f t="shared" si="36"/>
        <v>-0.16863672182821121</v>
      </c>
      <c r="Y62" s="166">
        <f t="shared" si="37"/>
        <v>3.1355415867920884E-3</v>
      </c>
    </row>
    <row r="63" spans="1:25" x14ac:dyDescent="0.25">
      <c r="A63" s="56"/>
      <c r="B63" s="151" t="s">
        <v>47</v>
      </c>
      <c r="C63" s="149"/>
      <c r="D63" s="149"/>
      <c r="E63" s="149"/>
      <c r="F63" s="149"/>
      <c r="G63" s="149"/>
      <c r="H63" s="149"/>
      <c r="I63" s="149"/>
      <c r="J63" s="149"/>
      <c r="K63" s="149"/>
      <c r="L63" s="149"/>
      <c r="M63" s="149"/>
      <c r="N63" s="149"/>
      <c r="O63" s="149"/>
      <c r="P63" s="149"/>
      <c r="Q63" s="149"/>
      <c r="R63" s="149"/>
      <c r="S63" s="149"/>
      <c r="T63" s="149"/>
      <c r="U63" s="149"/>
      <c r="V63" s="149"/>
      <c r="W63" s="149"/>
      <c r="X63" s="149"/>
      <c r="Y63" s="149"/>
    </row>
    <row r="64" spans="1:25" x14ac:dyDescent="0.25">
      <c r="A64" s="56"/>
      <c r="B64" s="152" t="s">
        <v>68</v>
      </c>
      <c r="C64" s="172">
        <f t="shared" ref="C64:H64" si="40">C65+C68</f>
        <v>848</v>
      </c>
      <c r="D64" s="172">
        <f t="shared" si="40"/>
        <v>0</v>
      </c>
      <c r="E64" s="172">
        <f t="shared" si="40"/>
        <v>0</v>
      </c>
      <c r="F64" s="172">
        <f t="shared" si="40"/>
        <v>0</v>
      </c>
      <c r="G64" s="172">
        <f t="shared" si="40"/>
        <v>0</v>
      </c>
      <c r="H64" s="172">
        <f t="shared" si="40"/>
        <v>0</v>
      </c>
      <c r="I64" s="173" t="str">
        <f>IFERROR(H64/G64-1,"-")</f>
        <v>-</v>
      </c>
      <c r="J64" s="173">
        <f t="shared" ref="J64:J76" si="41">H64/H$8</f>
        <v>0</v>
      </c>
      <c r="K64" s="172">
        <f t="shared" ref="K64:P64" si="42">K65+K68</f>
        <v>8651</v>
      </c>
      <c r="L64" s="172">
        <f t="shared" si="42"/>
        <v>1150</v>
      </c>
      <c r="M64" s="172">
        <f t="shared" si="42"/>
        <v>0</v>
      </c>
      <c r="N64" s="172">
        <f t="shared" si="42"/>
        <v>0</v>
      </c>
      <c r="O64" s="172">
        <f t="shared" si="42"/>
        <v>0</v>
      </c>
      <c r="P64" s="172">
        <f t="shared" si="42"/>
        <v>0</v>
      </c>
      <c r="Q64" s="173" t="str">
        <f>IFERROR(P64/O64-1,"-")</f>
        <v>-</v>
      </c>
      <c r="R64" s="173">
        <f t="shared" ref="R64:R76" si="43">P64/P$8</f>
        <v>0</v>
      </c>
      <c r="S64" s="172">
        <f>S65+S68</f>
        <v>9499</v>
      </c>
      <c r="T64" s="172">
        <f>T65+T68</f>
        <v>7546</v>
      </c>
      <c r="U64" s="172">
        <f>U65+U68</f>
        <v>17462</v>
      </c>
      <c r="V64" s="172">
        <f>V65+V68</f>
        <v>12086</v>
      </c>
      <c r="W64" s="172">
        <f>W65+W68</f>
        <v>11355</v>
      </c>
      <c r="X64" s="173">
        <f>IFERROR(W64/V64-1,"-")</f>
        <v>-6.0483203706768185E-2</v>
      </c>
      <c r="Y64" s="173">
        <f>W64/W$8</f>
        <v>3.3747938121349914E-2</v>
      </c>
    </row>
    <row r="65" spans="1:25" x14ac:dyDescent="0.25">
      <c r="A65" s="56"/>
      <c r="B65" s="155" t="s">
        <v>97</v>
      </c>
      <c r="C65" s="156">
        <v>36</v>
      </c>
      <c r="D65" s="156">
        <v>0</v>
      </c>
      <c r="E65" s="156">
        <v>0</v>
      </c>
      <c r="F65" s="156">
        <v>0</v>
      </c>
      <c r="G65" s="156">
        <v>0</v>
      </c>
      <c r="H65" s="156">
        <v>0</v>
      </c>
      <c r="I65" s="157" t="str">
        <f>IFERROR(H65/G65-1,"-")</f>
        <v>-</v>
      </c>
      <c r="J65" s="157">
        <f t="shared" si="41"/>
        <v>0</v>
      </c>
      <c r="K65" s="156">
        <v>2317</v>
      </c>
      <c r="L65" s="156">
        <v>561</v>
      </c>
      <c r="M65" s="156">
        <v>0</v>
      </c>
      <c r="N65" s="156">
        <v>0</v>
      </c>
      <c r="O65" s="156">
        <v>0</v>
      </c>
      <c r="P65" s="156">
        <v>0</v>
      </c>
      <c r="Q65" s="157" t="str">
        <f>IFERROR(P65/O65-1,"-")</f>
        <v>-</v>
      </c>
      <c r="R65" s="157">
        <f t="shared" si="43"/>
        <v>0</v>
      </c>
      <c r="S65" s="156">
        <v>2353</v>
      </c>
      <c r="T65" s="156">
        <v>1796</v>
      </c>
      <c r="U65" s="156">
        <v>2759</v>
      </c>
      <c r="V65" s="156">
        <v>2599</v>
      </c>
      <c r="W65" s="156">
        <v>2003</v>
      </c>
      <c r="X65" s="157">
        <f>IFERROR(W65/V65-1,"-")</f>
        <v>-0.22931896883416703</v>
      </c>
      <c r="Y65" s="157">
        <f>W65/W$8</f>
        <v>5.9530708989047896E-3</v>
      </c>
    </row>
    <row r="66" spans="1:25" x14ac:dyDescent="0.25">
      <c r="A66" s="56"/>
      <c r="B66" s="159" t="s">
        <v>103</v>
      </c>
      <c r="C66" s="160">
        <v>19</v>
      </c>
      <c r="D66" s="160">
        <v>0</v>
      </c>
      <c r="E66" s="160">
        <v>0</v>
      </c>
      <c r="F66" s="160">
        <v>0</v>
      </c>
      <c r="G66" s="160">
        <v>0</v>
      </c>
      <c r="H66" s="160">
        <v>0</v>
      </c>
      <c r="I66" s="161" t="str">
        <f>IFERROR(H66/G66-1,"-")</f>
        <v>-</v>
      </c>
      <c r="J66" s="161">
        <f t="shared" si="41"/>
        <v>0</v>
      </c>
      <c r="K66" s="160">
        <v>751</v>
      </c>
      <c r="L66" s="160">
        <v>561</v>
      </c>
      <c r="M66" s="160">
        <v>0</v>
      </c>
      <c r="N66" s="160">
        <v>0</v>
      </c>
      <c r="O66" s="160">
        <v>0</v>
      </c>
      <c r="P66" s="160">
        <v>0</v>
      </c>
      <c r="Q66" s="161" t="str">
        <f>IFERROR(P66/O66-1,"-")</f>
        <v>-</v>
      </c>
      <c r="R66" s="161">
        <f t="shared" si="43"/>
        <v>0</v>
      </c>
      <c r="S66" s="160">
        <v>770</v>
      </c>
      <c r="T66" s="160">
        <v>1000</v>
      </c>
      <c r="U66" s="160">
        <v>2230</v>
      </c>
      <c r="V66" s="160">
        <v>1637</v>
      </c>
      <c r="W66" s="160">
        <v>279</v>
      </c>
      <c r="X66" s="161">
        <f>IFERROR(W66/V66-1,"-")</f>
        <v>-0.82956627978008557</v>
      </c>
      <c r="Y66" s="161">
        <f>W66/W$8</f>
        <v>8.2920957603316834E-4</v>
      </c>
    </row>
    <row r="67" spans="1:25" x14ac:dyDescent="0.25">
      <c r="A67" s="56"/>
      <c r="B67" s="159" t="s">
        <v>100</v>
      </c>
      <c r="C67" s="160">
        <v>17</v>
      </c>
      <c r="D67" s="160">
        <v>0</v>
      </c>
      <c r="E67" s="160">
        <v>0</v>
      </c>
      <c r="F67" s="160">
        <v>0</v>
      </c>
      <c r="G67" s="160">
        <v>0</v>
      </c>
      <c r="H67" s="160">
        <v>0</v>
      </c>
      <c r="I67" s="161" t="str">
        <f>IFERROR(H67/G67-1,"-")</f>
        <v>-</v>
      </c>
      <c r="J67" s="161">
        <f t="shared" si="41"/>
        <v>0</v>
      </c>
      <c r="K67" s="160">
        <v>1566</v>
      </c>
      <c r="L67" s="160">
        <v>0</v>
      </c>
      <c r="M67" s="160">
        <v>0</v>
      </c>
      <c r="N67" s="160">
        <v>0</v>
      </c>
      <c r="O67" s="160">
        <v>0</v>
      </c>
      <c r="P67" s="160">
        <v>0</v>
      </c>
      <c r="Q67" s="161" t="str">
        <f>IFERROR(P67/O67-1,"-")</f>
        <v>-</v>
      </c>
      <c r="R67" s="161">
        <f t="shared" si="43"/>
        <v>0</v>
      </c>
      <c r="S67" s="160">
        <v>1583</v>
      </c>
      <c r="T67" s="160">
        <v>796</v>
      </c>
      <c r="U67" s="160">
        <v>529</v>
      </c>
      <c r="V67" s="160">
        <v>962</v>
      </c>
      <c r="W67" s="160">
        <v>1724</v>
      </c>
      <c r="X67" s="161">
        <f>IFERROR(W67/V67-1,"-")</f>
        <v>0.79209979209979209</v>
      </c>
      <c r="Y67" s="161">
        <f>W67/W$8</f>
        <v>5.1238613228716213E-3</v>
      </c>
    </row>
    <row r="68" spans="1:25" x14ac:dyDescent="0.25">
      <c r="A68" s="56"/>
      <c r="B68" s="155" t="s">
        <v>107</v>
      </c>
      <c r="C68" s="156">
        <v>812</v>
      </c>
      <c r="D68" s="156">
        <v>0</v>
      </c>
      <c r="E68" s="156">
        <v>0</v>
      </c>
      <c r="F68" s="156">
        <v>0</v>
      </c>
      <c r="G68" s="156">
        <v>0</v>
      </c>
      <c r="H68" s="156">
        <v>0</v>
      </c>
      <c r="I68" s="157" t="str">
        <f>IFERROR(H68/G68-1,"-")</f>
        <v>-</v>
      </c>
      <c r="J68" s="157">
        <f t="shared" si="41"/>
        <v>0</v>
      </c>
      <c r="K68" s="156">
        <v>6334</v>
      </c>
      <c r="L68" s="156">
        <v>589</v>
      </c>
      <c r="M68" s="156">
        <v>0</v>
      </c>
      <c r="N68" s="156">
        <v>0</v>
      </c>
      <c r="O68" s="156">
        <v>0</v>
      </c>
      <c r="P68" s="156">
        <v>0</v>
      </c>
      <c r="Q68" s="157" t="str">
        <f>IFERROR(P68/O68-1,"-")</f>
        <v>-</v>
      </c>
      <c r="R68" s="157">
        <f t="shared" si="43"/>
        <v>0</v>
      </c>
      <c r="S68" s="156">
        <v>7146</v>
      </c>
      <c r="T68" s="156">
        <v>5750</v>
      </c>
      <c r="U68" s="156">
        <v>14703</v>
      </c>
      <c r="V68" s="156">
        <v>9487</v>
      </c>
      <c r="W68" s="156">
        <v>9352</v>
      </c>
      <c r="X68" s="157">
        <f>IFERROR(W68/V68-1,"-")</f>
        <v>-1.4229998945926026E-2</v>
      </c>
      <c r="Y68" s="157">
        <f>W68/W$8</f>
        <v>2.7794867222445129E-2</v>
      </c>
    </row>
    <row r="69" spans="1:25" s="56" customFormat="1" x14ac:dyDescent="0.25">
      <c r="B69" s="159" t="s">
        <v>110</v>
      </c>
      <c r="C69" s="160">
        <v>80</v>
      </c>
      <c r="D69" s="160">
        <v>0</v>
      </c>
      <c r="E69" s="160">
        <v>0</v>
      </c>
      <c r="F69" s="160">
        <v>0</v>
      </c>
      <c r="G69" s="160">
        <v>0</v>
      </c>
      <c r="H69" s="160">
        <v>0</v>
      </c>
      <c r="I69" s="161" t="str">
        <f t="shared" ref="I69:I76" si="44">IFERROR(H69/G69-1,"-")</f>
        <v>-</v>
      </c>
      <c r="J69" s="161">
        <f t="shared" si="41"/>
        <v>0</v>
      </c>
      <c r="K69" s="160">
        <v>2182</v>
      </c>
      <c r="L69" s="160">
        <v>0</v>
      </c>
      <c r="M69" s="160">
        <v>0</v>
      </c>
      <c r="N69" s="160">
        <v>0</v>
      </c>
      <c r="O69" s="160">
        <v>0</v>
      </c>
      <c r="P69" s="160">
        <v>0</v>
      </c>
      <c r="Q69" s="161" t="str">
        <f t="shared" ref="Q69:Q76" si="45">IFERROR(P69/O69-1,"-")</f>
        <v>-</v>
      </c>
      <c r="R69" s="161">
        <f t="shared" si="43"/>
        <v>0</v>
      </c>
      <c r="S69" s="160">
        <v>2262</v>
      </c>
      <c r="T69" s="160">
        <v>516</v>
      </c>
      <c r="U69" s="160">
        <v>4620</v>
      </c>
      <c r="V69" s="160">
        <v>4414</v>
      </c>
      <c r="W69" s="160">
        <v>3321</v>
      </c>
      <c r="X69" s="161">
        <f t="shared" ref="X69:X76" si="46">IFERROR(W69/V69-1,"-")</f>
        <v>-0.24762120525600362</v>
      </c>
      <c r="Y69" s="161">
        <f t="shared" ref="Y69:Y76" si="47">W69/W$8</f>
        <v>9.8702688243948108E-3</v>
      </c>
    </row>
    <row r="70" spans="1:25" s="56" customFormat="1" x14ac:dyDescent="0.25">
      <c r="B70" s="159" t="s">
        <v>113</v>
      </c>
      <c r="C70" s="160">
        <v>126</v>
      </c>
      <c r="D70" s="160">
        <v>0</v>
      </c>
      <c r="E70" s="160">
        <v>0</v>
      </c>
      <c r="F70" s="160">
        <v>0</v>
      </c>
      <c r="G70" s="160">
        <v>0</v>
      </c>
      <c r="H70" s="160">
        <v>0</v>
      </c>
      <c r="I70" s="161" t="str">
        <f t="shared" si="44"/>
        <v>-</v>
      </c>
      <c r="J70" s="161">
        <f t="shared" si="41"/>
        <v>0</v>
      </c>
      <c r="K70" s="160">
        <v>705</v>
      </c>
      <c r="L70" s="160">
        <v>88</v>
      </c>
      <c r="M70" s="160">
        <v>0</v>
      </c>
      <c r="N70" s="160">
        <v>0</v>
      </c>
      <c r="O70" s="160">
        <v>0</v>
      </c>
      <c r="P70" s="160">
        <v>0</v>
      </c>
      <c r="Q70" s="161" t="str">
        <f t="shared" si="45"/>
        <v>-</v>
      </c>
      <c r="R70" s="161">
        <f t="shared" si="43"/>
        <v>0</v>
      </c>
      <c r="S70" s="160">
        <v>831</v>
      </c>
      <c r="T70" s="160">
        <v>371</v>
      </c>
      <c r="U70" s="160">
        <v>812</v>
      </c>
      <c r="V70" s="160">
        <v>1035</v>
      </c>
      <c r="W70" s="160">
        <v>1002</v>
      </c>
      <c r="X70" s="161">
        <f t="shared" si="46"/>
        <v>-3.1884057971014457E-2</v>
      </c>
      <c r="Y70" s="161">
        <f t="shared" si="47"/>
        <v>2.978021488119121E-3</v>
      </c>
    </row>
    <row r="71" spans="1:25" x14ac:dyDescent="0.25">
      <c r="A71" s="56"/>
      <c r="B71" s="159" t="s">
        <v>116</v>
      </c>
      <c r="C71" s="160">
        <v>248</v>
      </c>
      <c r="D71" s="160">
        <v>0</v>
      </c>
      <c r="E71" s="160">
        <v>0</v>
      </c>
      <c r="F71" s="160">
        <v>0</v>
      </c>
      <c r="G71" s="160">
        <v>0</v>
      </c>
      <c r="H71" s="160">
        <v>0</v>
      </c>
      <c r="I71" s="161" t="str">
        <f t="shared" si="44"/>
        <v>-</v>
      </c>
      <c r="J71" s="161">
        <f t="shared" si="41"/>
        <v>0</v>
      </c>
      <c r="K71" s="160">
        <v>1024</v>
      </c>
      <c r="L71" s="160">
        <v>47</v>
      </c>
      <c r="M71" s="160">
        <v>0</v>
      </c>
      <c r="N71" s="160">
        <v>0</v>
      </c>
      <c r="O71" s="160">
        <v>0</v>
      </c>
      <c r="P71" s="160">
        <v>0</v>
      </c>
      <c r="Q71" s="161" t="str">
        <f t="shared" si="45"/>
        <v>-</v>
      </c>
      <c r="R71" s="161">
        <f t="shared" si="43"/>
        <v>0</v>
      </c>
      <c r="S71" s="160">
        <v>1272</v>
      </c>
      <c r="T71" s="160">
        <v>1189</v>
      </c>
      <c r="U71" s="160">
        <v>2149</v>
      </c>
      <c r="V71" s="160">
        <v>417</v>
      </c>
      <c r="W71" s="160">
        <v>658</v>
      </c>
      <c r="X71" s="161">
        <f t="shared" si="46"/>
        <v>0.57793764988009588</v>
      </c>
      <c r="Y71" s="161">
        <f t="shared" si="47"/>
        <v>1.9556268854115585E-3</v>
      </c>
    </row>
    <row r="72" spans="1:25" x14ac:dyDescent="0.25">
      <c r="A72" s="56"/>
      <c r="B72" s="159" t="s">
        <v>123</v>
      </c>
      <c r="C72" s="160">
        <v>8</v>
      </c>
      <c r="D72" s="160">
        <v>0</v>
      </c>
      <c r="E72" s="160">
        <v>0</v>
      </c>
      <c r="F72" s="160">
        <v>0</v>
      </c>
      <c r="G72" s="160">
        <v>0</v>
      </c>
      <c r="H72" s="160">
        <v>0</v>
      </c>
      <c r="I72" s="161" t="str">
        <f t="shared" si="44"/>
        <v>-</v>
      </c>
      <c r="J72" s="161">
        <f t="shared" si="41"/>
        <v>0</v>
      </c>
      <c r="K72" s="160">
        <v>41</v>
      </c>
      <c r="L72" s="160">
        <v>0</v>
      </c>
      <c r="M72" s="160">
        <v>0</v>
      </c>
      <c r="N72" s="160">
        <v>0</v>
      </c>
      <c r="O72" s="160">
        <v>0</v>
      </c>
      <c r="P72" s="160">
        <v>0</v>
      </c>
      <c r="Q72" s="161" t="str">
        <f t="shared" si="45"/>
        <v>-</v>
      </c>
      <c r="R72" s="161">
        <f t="shared" si="43"/>
        <v>0</v>
      </c>
      <c r="S72" s="160">
        <v>49</v>
      </c>
      <c r="T72" s="160">
        <v>262</v>
      </c>
      <c r="U72" s="160">
        <v>353</v>
      </c>
      <c r="V72" s="160">
        <v>399</v>
      </c>
      <c r="W72" s="160">
        <v>256</v>
      </c>
      <c r="X72" s="161">
        <f t="shared" si="46"/>
        <v>-0.35839598997493738</v>
      </c>
      <c r="Y72" s="161">
        <f t="shared" si="47"/>
        <v>7.6085179736376746E-4</v>
      </c>
    </row>
    <row r="73" spans="1:25" x14ac:dyDescent="0.25">
      <c r="A73" s="56"/>
      <c r="B73" s="159" t="s">
        <v>119</v>
      </c>
      <c r="C73" s="160">
        <v>0</v>
      </c>
      <c r="D73" s="160">
        <v>0</v>
      </c>
      <c r="E73" s="160">
        <v>0</v>
      </c>
      <c r="F73" s="160">
        <v>0</v>
      </c>
      <c r="G73" s="160">
        <v>0</v>
      </c>
      <c r="H73" s="160">
        <v>0</v>
      </c>
      <c r="I73" s="161" t="str">
        <f t="shared" si="44"/>
        <v>-</v>
      </c>
      <c r="J73" s="161">
        <f t="shared" si="41"/>
        <v>0</v>
      </c>
      <c r="K73" s="160">
        <v>131</v>
      </c>
      <c r="L73" s="160">
        <v>149</v>
      </c>
      <c r="M73" s="160">
        <v>0</v>
      </c>
      <c r="N73" s="160">
        <v>0</v>
      </c>
      <c r="O73" s="160">
        <v>0</v>
      </c>
      <c r="P73" s="160">
        <v>0</v>
      </c>
      <c r="Q73" s="161" t="str">
        <f t="shared" si="45"/>
        <v>-</v>
      </c>
      <c r="R73" s="161">
        <f t="shared" si="43"/>
        <v>0</v>
      </c>
      <c r="S73" s="160">
        <v>131</v>
      </c>
      <c r="T73" s="160">
        <v>210</v>
      </c>
      <c r="U73" s="160">
        <v>263</v>
      </c>
      <c r="V73" s="160">
        <v>123</v>
      </c>
      <c r="W73" s="160">
        <v>266</v>
      </c>
      <c r="X73" s="161">
        <f t="shared" si="46"/>
        <v>1.1626016260162602</v>
      </c>
      <c r="Y73" s="161">
        <f t="shared" si="47"/>
        <v>7.9057257069828954E-4</v>
      </c>
    </row>
    <row r="74" spans="1:25" x14ac:dyDescent="0.25">
      <c r="A74" s="56"/>
      <c r="B74" s="159" t="s">
        <v>128</v>
      </c>
      <c r="C74" s="160">
        <v>27</v>
      </c>
      <c r="D74" s="160">
        <v>0</v>
      </c>
      <c r="E74" s="160">
        <v>0</v>
      </c>
      <c r="F74" s="160">
        <v>0</v>
      </c>
      <c r="G74" s="160">
        <v>0</v>
      </c>
      <c r="H74" s="160">
        <v>0</v>
      </c>
      <c r="I74" s="161" t="str">
        <f t="shared" si="44"/>
        <v>-</v>
      </c>
      <c r="J74" s="161">
        <f t="shared" si="41"/>
        <v>0</v>
      </c>
      <c r="K74" s="160">
        <v>245</v>
      </c>
      <c r="L74" s="160">
        <v>0</v>
      </c>
      <c r="M74" s="160">
        <v>0</v>
      </c>
      <c r="N74" s="160">
        <v>0</v>
      </c>
      <c r="O74" s="160">
        <v>0</v>
      </c>
      <c r="P74" s="160">
        <v>0</v>
      </c>
      <c r="Q74" s="161" t="str">
        <f t="shared" si="45"/>
        <v>-</v>
      </c>
      <c r="R74" s="161">
        <f t="shared" si="43"/>
        <v>0</v>
      </c>
      <c r="S74" s="160">
        <v>272</v>
      </c>
      <c r="T74" s="160">
        <v>352</v>
      </c>
      <c r="U74" s="160">
        <v>1185</v>
      </c>
      <c r="V74" s="160">
        <v>168</v>
      </c>
      <c r="W74" s="160">
        <v>202</v>
      </c>
      <c r="X74" s="161">
        <f t="shared" si="46"/>
        <v>0.20238095238095233</v>
      </c>
      <c r="Y74" s="161">
        <f t="shared" si="47"/>
        <v>6.003596213573477E-4</v>
      </c>
    </row>
    <row r="75" spans="1:25" x14ac:dyDescent="0.25">
      <c r="A75" s="56"/>
      <c r="B75" s="159" t="s">
        <v>131</v>
      </c>
      <c r="C75" s="160">
        <v>17</v>
      </c>
      <c r="D75" s="160">
        <v>0</v>
      </c>
      <c r="E75" s="160">
        <v>0</v>
      </c>
      <c r="F75" s="160">
        <v>0</v>
      </c>
      <c r="G75" s="160">
        <v>0</v>
      </c>
      <c r="H75" s="160">
        <v>0</v>
      </c>
      <c r="I75" s="161" t="str">
        <f t="shared" si="44"/>
        <v>-</v>
      </c>
      <c r="J75" s="161">
        <f t="shared" si="41"/>
        <v>0</v>
      </c>
      <c r="K75" s="160">
        <v>294</v>
      </c>
      <c r="L75" s="160">
        <v>0</v>
      </c>
      <c r="M75" s="160">
        <v>0</v>
      </c>
      <c r="N75" s="160">
        <v>0</v>
      </c>
      <c r="O75" s="160">
        <v>0</v>
      </c>
      <c r="P75" s="160">
        <v>0</v>
      </c>
      <c r="Q75" s="161" t="str">
        <f t="shared" si="45"/>
        <v>-</v>
      </c>
      <c r="R75" s="161">
        <f t="shared" si="43"/>
        <v>0</v>
      </c>
      <c r="S75" s="160">
        <v>311</v>
      </c>
      <c r="T75" s="160">
        <v>26</v>
      </c>
      <c r="U75" s="160">
        <v>304</v>
      </c>
      <c r="V75" s="160">
        <v>69</v>
      </c>
      <c r="W75" s="160">
        <v>190</v>
      </c>
      <c r="X75" s="161">
        <f t="shared" si="46"/>
        <v>1.7536231884057969</v>
      </c>
      <c r="Y75" s="161">
        <f t="shared" si="47"/>
        <v>5.646946933559211E-4</v>
      </c>
    </row>
    <row r="76" spans="1:25" x14ac:dyDescent="0.25">
      <c r="A76" s="56"/>
      <c r="B76" s="164" t="s">
        <v>145</v>
      </c>
      <c r="C76" s="165">
        <f t="shared" ref="C76:H76" si="48">C68-SUM(C69:C75)</f>
        <v>306</v>
      </c>
      <c r="D76" s="165">
        <f t="shared" si="48"/>
        <v>0</v>
      </c>
      <c r="E76" s="165">
        <f t="shared" si="48"/>
        <v>0</v>
      </c>
      <c r="F76" s="165">
        <f t="shared" si="48"/>
        <v>0</v>
      </c>
      <c r="G76" s="165">
        <f t="shared" si="48"/>
        <v>0</v>
      </c>
      <c r="H76" s="165">
        <f t="shared" si="48"/>
        <v>0</v>
      </c>
      <c r="I76" s="166" t="str">
        <f t="shared" si="44"/>
        <v>-</v>
      </c>
      <c r="J76" s="166">
        <f t="shared" si="41"/>
        <v>0</v>
      </c>
      <c r="K76" s="165">
        <f t="shared" ref="K76:P76" si="49">K68-SUM(K69:K75)</f>
        <v>1712</v>
      </c>
      <c r="L76" s="165">
        <f t="shared" si="49"/>
        <v>305</v>
      </c>
      <c r="M76" s="165">
        <f t="shared" si="49"/>
        <v>0</v>
      </c>
      <c r="N76" s="165">
        <f t="shared" si="49"/>
        <v>0</v>
      </c>
      <c r="O76" s="165">
        <f t="shared" si="49"/>
        <v>0</v>
      </c>
      <c r="P76" s="165">
        <f t="shared" si="49"/>
        <v>0</v>
      </c>
      <c r="Q76" s="166" t="str">
        <f t="shared" si="45"/>
        <v>-</v>
      </c>
      <c r="R76" s="166">
        <f t="shared" si="43"/>
        <v>0</v>
      </c>
      <c r="S76" s="165">
        <f>S68-SUM(S69:S75)</f>
        <v>2018</v>
      </c>
      <c r="T76" s="165">
        <f>T68-SUM(T69:T75)</f>
        <v>2824</v>
      </c>
      <c r="U76" s="165">
        <f>U68-SUM(U69:U75)</f>
        <v>5017</v>
      </c>
      <c r="V76" s="165">
        <f>V68-SUM(V69:V75)</f>
        <v>2862</v>
      </c>
      <c r="W76" s="165">
        <f>W68-SUM(W69:W75)</f>
        <v>3457</v>
      </c>
      <c r="X76" s="166">
        <f t="shared" si="46"/>
        <v>0.20789657582110421</v>
      </c>
      <c r="Y76" s="166">
        <f t="shared" si="47"/>
        <v>1.0274471341744312E-2</v>
      </c>
    </row>
    <row r="77" spans="1:25" x14ac:dyDescent="0.25">
      <c r="A77" s="56"/>
      <c r="B77" s="151" t="s">
        <v>48</v>
      </c>
      <c r="C77" s="149"/>
      <c r="D77" s="149"/>
      <c r="E77" s="149"/>
      <c r="F77" s="149"/>
      <c r="G77" s="149"/>
      <c r="H77" s="149"/>
      <c r="I77" s="149"/>
      <c r="J77" s="149"/>
      <c r="K77" s="149"/>
      <c r="L77" s="149"/>
      <c r="M77" s="149"/>
      <c r="N77" s="149"/>
      <c r="O77" s="149"/>
      <c r="P77" s="149"/>
      <c r="Q77" s="149"/>
      <c r="R77" s="149"/>
      <c r="S77" s="149"/>
      <c r="T77" s="149"/>
      <c r="U77" s="149"/>
      <c r="V77" s="149"/>
      <c r="W77" s="149"/>
      <c r="X77" s="149"/>
      <c r="Y77" s="149"/>
    </row>
    <row r="78" spans="1:25" x14ac:dyDescent="0.25">
      <c r="A78" s="56"/>
      <c r="B78" s="152" t="s">
        <v>68</v>
      </c>
      <c r="C78" s="172">
        <f t="shared" ref="C78:H78" si="50">C79+C82</f>
        <v>9728</v>
      </c>
      <c r="D78" s="172">
        <f t="shared" si="50"/>
        <v>1620</v>
      </c>
      <c r="E78" s="172">
        <f t="shared" si="50"/>
        <v>6467</v>
      </c>
      <c r="F78" s="172">
        <f t="shared" si="50"/>
        <v>7413</v>
      </c>
      <c r="G78" s="172">
        <f t="shared" si="50"/>
        <v>8069</v>
      </c>
      <c r="H78" s="172">
        <f t="shared" si="50"/>
        <v>8810</v>
      </c>
      <c r="I78" s="173">
        <f>IFERROR(H78/G78-1,"-")</f>
        <v>9.1832940884867931E-2</v>
      </c>
      <c r="J78" s="173">
        <f t="shared" ref="J78:J90" si="51">H78/H$8</f>
        <v>0.13749512290284824</v>
      </c>
      <c r="K78" s="172">
        <f t="shared" ref="K78:P78" si="52">K79+K82</f>
        <v>39435</v>
      </c>
      <c r="L78" s="172">
        <f t="shared" si="52"/>
        <v>1750</v>
      </c>
      <c r="M78" s="172">
        <f t="shared" si="52"/>
        <v>21891</v>
      </c>
      <c r="N78" s="172">
        <f t="shared" si="52"/>
        <v>42127</v>
      </c>
      <c r="O78" s="172">
        <f t="shared" si="52"/>
        <v>46328</v>
      </c>
      <c r="P78" s="172">
        <f t="shared" si="52"/>
        <v>46073</v>
      </c>
      <c r="Q78" s="173">
        <f>IFERROR(P78/O78-1,"-")</f>
        <v>-5.5042307028146942E-3</v>
      </c>
      <c r="R78" s="173">
        <f t="shared" ref="R78:R90" si="53">P78/P$8</f>
        <v>0.16914350747090567</v>
      </c>
      <c r="S78" s="172">
        <f>S79+S82</f>
        <v>49163</v>
      </c>
      <c r="T78" s="172">
        <f>T79+T82</f>
        <v>28358</v>
      </c>
      <c r="U78" s="172">
        <f>U79+U82</f>
        <v>49540</v>
      </c>
      <c r="V78" s="172">
        <f>V79+V82</f>
        <v>54397</v>
      </c>
      <c r="W78" s="172">
        <f>W79+W82</f>
        <v>54883</v>
      </c>
      <c r="X78" s="173">
        <f>IFERROR(W78/V78-1,"-")</f>
        <v>8.9343162306745327E-3</v>
      </c>
      <c r="Y78" s="173">
        <f>W78/W$8</f>
        <v>0.163116520291858</v>
      </c>
    </row>
    <row r="79" spans="1:25" x14ac:dyDescent="0.25">
      <c r="A79" s="56"/>
      <c r="B79" s="155" t="s">
        <v>97</v>
      </c>
      <c r="C79" s="156">
        <v>2986</v>
      </c>
      <c r="D79" s="156">
        <v>966</v>
      </c>
      <c r="E79" s="156">
        <v>2218</v>
      </c>
      <c r="F79" s="156">
        <v>2271</v>
      </c>
      <c r="G79" s="156">
        <v>1977</v>
      </c>
      <c r="H79" s="156">
        <v>2684</v>
      </c>
      <c r="I79" s="157">
        <f>IFERROR(H79/G79-1,"-")</f>
        <v>0.35761254425897815</v>
      </c>
      <c r="J79" s="157">
        <f t="shared" si="51"/>
        <v>4.1888412017167385E-2</v>
      </c>
      <c r="K79" s="156">
        <v>13855</v>
      </c>
      <c r="L79" s="156">
        <v>776</v>
      </c>
      <c r="M79" s="156">
        <v>8355</v>
      </c>
      <c r="N79" s="156">
        <v>14321</v>
      </c>
      <c r="O79" s="156">
        <v>13421</v>
      </c>
      <c r="P79" s="156">
        <v>13547</v>
      </c>
      <c r="Q79" s="157">
        <f>IFERROR(P79/O79-1,"-")</f>
        <v>9.3882721108711209E-3</v>
      </c>
      <c r="R79" s="157">
        <f t="shared" si="53"/>
        <v>4.9733837512390321E-2</v>
      </c>
      <c r="S79" s="156">
        <v>16841</v>
      </c>
      <c r="T79" s="156">
        <v>10573</v>
      </c>
      <c r="U79" s="156">
        <v>16592</v>
      </c>
      <c r="V79" s="156">
        <v>15398</v>
      </c>
      <c r="W79" s="156">
        <v>16231</v>
      </c>
      <c r="X79" s="157">
        <f>IFERROR(W79/V79-1,"-")</f>
        <v>5.4097934796726754E-2</v>
      </c>
      <c r="Y79" s="157">
        <f>W79/W$8</f>
        <v>4.8239787199262925E-2</v>
      </c>
    </row>
    <row r="80" spans="1:25" x14ac:dyDescent="0.25">
      <c r="A80" s="56"/>
      <c r="B80" s="159" t="s">
        <v>103</v>
      </c>
      <c r="C80" s="160">
        <v>1116</v>
      </c>
      <c r="D80" s="160">
        <v>736</v>
      </c>
      <c r="E80" s="160">
        <v>1244</v>
      </c>
      <c r="F80" s="160">
        <v>1205</v>
      </c>
      <c r="G80" s="160">
        <v>747</v>
      </c>
      <c r="H80" s="160">
        <v>1249</v>
      </c>
      <c r="I80" s="161">
        <f>IFERROR(H80/G80-1,"-")</f>
        <v>0.67202141900937074</v>
      </c>
      <c r="J80" s="161">
        <f t="shared" si="51"/>
        <v>1.9492781896215373E-2</v>
      </c>
      <c r="K80" s="160">
        <v>1316</v>
      </c>
      <c r="L80" s="160">
        <v>178</v>
      </c>
      <c r="M80" s="160">
        <v>1106</v>
      </c>
      <c r="N80" s="160">
        <v>1364</v>
      </c>
      <c r="O80" s="160">
        <v>2005</v>
      </c>
      <c r="P80" s="160">
        <v>1761</v>
      </c>
      <c r="Q80" s="161">
        <f>IFERROR(P80/O80-1,"-")</f>
        <v>-0.12169576059850373</v>
      </c>
      <c r="R80" s="161">
        <f t="shared" si="53"/>
        <v>6.4649950438709202E-3</v>
      </c>
      <c r="S80" s="160">
        <v>2432</v>
      </c>
      <c r="T80" s="160">
        <v>2350</v>
      </c>
      <c r="U80" s="160">
        <v>2569</v>
      </c>
      <c r="V80" s="160">
        <v>2752</v>
      </c>
      <c r="W80" s="160">
        <v>3010</v>
      </c>
      <c r="X80" s="161">
        <f>IFERROR(W80/V80-1,"-")</f>
        <v>9.375E-2</v>
      </c>
      <c r="Y80" s="161">
        <f>W80/W$8</f>
        <v>8.945952773691172E-3</v>
      </c>
    </row>
    <row r="81" spans="1:25" x14ac:dyDescent="0.25">
      <c r="A81" s="56"/>
      <c r="B81" s="159" t="s">
        <v>100</v>
      </c>
      <c r="C81" s="160">
        <v>1870</v>
      </c>
      <c r="D81" s="160">
        <v>230</v>
      </c>
      <c r="E81" s="160">
        <v>974</v>
      </c>
      <c r="F81" s="160">
        <v>1066</v>
      </c>
      <c r="G81" s="160">
        <v>1230</v>
      </c>
      <c r="H81" s="160">
        <v>1435</v>
      </c>
      <c r="I81" s="161">
        <f>IFERROR(H81/G81-1,"-")</f>
        <v>0.16666666666666674</v>
      </c>
      <c r="J81" s="161">
        <f t="shared" si="51"/>
        <v>2.2395630120952009E-2</v>
      </c>
      <c r="K81" s="160">
        <v>12539</v>
      </c>
      <c r="L81" s="160">
        <v>598</v>
      </c>
      <c r="M81" s="160">
        <v>7249</v>
      </c>
      <c r="N81" s="160">
        <v>12957</v>
      </c>
      <c r="O81" s="160">
        <v>11416</v>
      </c>
      <c r="P81" s="160">
        <v>11786</v>
      </c>
      <c r="Q81" s="161">
        <f>IFERROR(P81/O81-1,"-")</f>
        <v>3.2410651716888506E-2</v>
      </c>
      <c r="R81" s="161">
        <f t="shared" si="53"/>
        <v>4.3268842468519406E-2</v>
      </c>
      <c r="S81" s="160">
        <v>14409</v>
      </c>
      <c r="T81" s="160">
        <v>8223</v>
      </c>
      <c r="U81" s="160">
        <v>14023</v>
      </c>
      <c r="V81" s="160">
        <v>12646</v>
      </c>
      <c r="W81" s="160">
        <v>13221</v>
      </c>
      <c r="X81" s="161">
        <f>IFERROR(W81/V81-1,"-")</f>
        <v>4.546892297959837E-2</v>
      </c>
      <c r="Y81" s="161">
        <f>W81/W$8</f>
        <v>3.9293834425571751E-2</v>
      </c>
    </row>
    <row r="82" spans="1:25" x14ac:dyDescent="0.25">
      <c r="A82" s="56"/>
      <c r="B82" s="155" t="s">
        <v>107</v>
      </c>
      <c r="C82" s="156">
        <v>6742</v>
      </c>
      <c r="D82" s="156">
        <v>654</v>
      </c>
      <c r="E82" s="156">
        <v>4249</v>
      </c>
      <c r="F82" s="156">
        <v>5142</v>
      </c>
      <c r="G82" s="156">
        <v>6092</v>
      </c>
      <c r="H82" s="156">
        <v>6126</v>
      </c>
      <c r="I82" s="157">
        <f>IFERROR(H82/G82-1,"-")</f>
        <v>5.5810899540380543E-3</v>
      </c>
      <c r="J82" s="157">
        <f t="shared" si="51"/>
        <v>9.5606710885680846E-2</v>
      </c>
      <c r="K82" s="156">
        <v>25580</v>
      </c>
      <c r="L82" s="156">
        <v>974</v>
      </c>
      <c r="M82" s="156">
        <v>13536</v>
      </c>
      <c r="N82" s="156">
        <v>27806</v>
      </c>
      <c r="O82" s="156">
        <v>32907</v>
      </c>
      <c r="P82" s="156">
        <v>32526</v>
      </c>
      <c r="Q82" s="157">
        <f>IFERROR(P82/O82-1,"-")</f>
        <v>-1.1578083690400254E-2</v>
      </c>
      <c r="R82" s="157">
        <f t="shared" si="53"/>
        <v>0.11940966995851536</v>
      </c>
      <c r="S82" s="156">
        <v>32322</v>
      </c>
      <c r="T82" s="156">
        <v>17785</v>
      </c>
      <c r="U82" s="156">
        <v>32948</v>
      </c>
      <c r="V82" s="156">
        <v>38999</v>
      </c>
      <c r="W82" s="156">
        <v>38652</v>
      </c>
      <c r="X82" s="157">
        <f>IFERROR(W82/V82-1,"-")</f>
        <v>-8.8976640426677855E-3</v>
      </c>
      <c r="Y82" s="157">
        <f>W82/W$8</f>
        <v>0.11487673309259507</v>
      </c>
    </row>
    <row r="83" spans="1:25" s="56" customFormat="1" x14ac:dyDescent="0.25">
      <c r="B83" s="159" t="s">
        <v>110</v>
      </c>
      <c r="C83" s="160">
        <v>887</v>
      </c>
      <c r="D83" s="160">
        <v>65</v>
      </c>
      <c r="E83" s="160">
        <v>421</v>
      </c>
      <c r="F83" s="160">
        <v>772</v>
      </c>
      <c r="G83" s="160">
        <v>884</v>
      </c>
      <c r="H83" s="160">
        <v>860</v>
      </c>
      <c r="I83" s="161">
        <f t="shared" ref="I83:I90" si="54">IFERROR(H83/G83-1,"-")</f>
        <v>-2.714932126696834E-2</v>
      </c>
      <c r="J83" s="161">
        <f t="shared" si="51"/>
        <v>1.3421771361685524E-2</v>
      </c>
      <c r="K83" s="160">
        <v>5487</v>
      </c>
      <c r="L83" s="160">
        <v>111</v>
      </c>
      <c r="M83" s="160">
        <v>2019</v>
      </c>
      <c r="N83" s="160">
        <v>5743</v>
      </c>
      <c r="O83" s="160">
        <v>7310</v>
      </c>
      <c r="P83" s="160">
        <v>7163</v>
      </c>
      <c r="Q83" s="161">
        <f t="shared" ref="Q83:Q90" si="55">IFERROR(P83/O83-1,"-")</f>
        <v>-2.0109439124487039E-2</v>
      </c>
      <c r="R83" s="161">
        <f t="shared" si="53"/>
        <v>2.6296853775836116E-2</v>
      </c>
      <c r="S83" s="160">
        <v>6374</v>
      </c>
      <c r="T83" s="160">
        <v>2440</v>
      </c>
      <c r="U83" s="160">
        <v>6515</v>
      </c>
      <c r="V83" s="160">
        <v>8194</v>
      </c>
      <c r="W83" s="160">
        <v>8023</v>
      </c>
      <c r="X83" s="161">
        <f t="shared" ref="X83:X90" si="56">IFERROR(W83/V83-1,"-")</f>
        <v>-2.086892848425681E-2</v>
      </c>
      <c r="Y83" s="161">
        <f t="shared" ref="Y83:Y90" si="57">W83/W$8</f>
        <v>2.3844976446287133E-2</v>
      </c>
    </row>
    <row r="84" spans="1:25" s="56" customFormat="1" x14ac:dyDescent="0.25">
      <c r="B84" s="159" t="s">
        <v>113</v>
      </c>
      <c r="C84" s="160">
        <v>1961</v>
      </c>
      <c r="D84" s="160">
        <v>171</v>
      </c>
      <c r="E84" s="160">
        <v>1043</v>
      </c>
      <c r="F84" s="160">
        <v>1521</v>
      </c>
      <c r="G84" s="160">
        <v>1655</v>
      </c>
      <c r="H84" s="160">
        <v>1583</v>
      </c>
      <c r="I84" s="161">
        <f t="shared" si="54"/>
        <v>-4.3504531722054374E-2</v>
      </c>
      <c r="J84" s="161">
        <f t="shared" si="51"/>
        <v>2.4705423332032773E-2</v>
      </c>
      <c r="K84" s="160">
        <v>10426</v>
      </c>
      <c r="L84" s="160">
        <v>183</v>
      </c>
      <c r="M84" s="160">
        <v>4989</v>
      </c>
      <c r="N84" s="160">
        <v>9630</v>
      </c>
      <c r="O84" s="160">
        <v>10907</v>
      </c>
      <c r="P84" s="160">
        <v>10627</v>
      </c>
      <c r="Q84" s="161">
        <f t="shared" si="55"/>
        <v>-2.5671587054185374E-2</v>
      </c>
      <c r="R84" s="161">
        <f t="shared" si="53"/>
        <v>3.9013913873490215E-2</v>
      </c>
      <c r="S84" s="160">
        <v>12387</v>
      </c>
      <c r="T84" s="160">
        <v>6032</v>
      </c>
      <c r="U84" s="160">
        <v>11151</v>
      </c>
      <c r="V84" s="160">
        <v>12562</v>
      </c>
      <c r="W84" s="160">
        <v>12210</v>
      </c>
      <c r="X84" s="161">
        <f t="shared" si="56"/>
        <v>-2.8021015761821366E-2</v>
      </c>
      <c r="Y84" s="161">
        <f t="shared" si="57"/>
        <v>3.6289064241451563E-2</v>
      </c>
    </row>
    <row r="85" spans="1:25" x14ac:dyDescent="0.25">
      <c r="A85" s="56"/>
      <c r="B85" s="159" t="s">
        <v>116</v>
      </c>
      <c r="C85" s="160">
        <v>492</v>
      </c>
      <c r="D85" s="160">
        <v>201</v>
      </c>
      <c r="E85" s="160">
        <v>455</v>
      </c>
      <c r="F85" s="160">
        <v>479</v>
      </c>
      <c r="G85" s="160">
        <v>457</v>
      </c>
      <c r="H85" s="160">
        <v>447</v>
      </c>
      <c r="I85" s="161">
        <f t="shared" si="54"/>
        <v>-2.1881838074398252E-2</v>
      </c>
      <c r="J85" s="161">
        <f t="shared" si="51"/>
        <v>6.9761997658993368E-3</v>
      </c>
      <c r="K85" s="160">
        <v>1303</v>
      </c>
      <c r="L85" s="160">
        <v>210</v>
      </c>
      <c r="M85" s="160">
        <v>968</v>
      </c>
      <c r="N85" s="160">
        <v>2331</v>
      </c>
      <c r="O85" s="160">
        <v>2858</v>
      </c>
      <c r="P85" s="160">
        <v>2779</v>
      </c>
      <c r="Q85" s="161">
        <f t="shared" si="55"/>
        <v>-2.7641707487753631E-2</v>
      </c>
      <c r="R85" s="161">
        <f t="shared" si="53"/>
        <v>1.0202283490583355E-2</v>
      </c>
      <c r="S85" s="160">
        <v>1795</v>
      </c>
      <c r="T85" s="160">
        <v>1423</v>
      </c>
      <c r="U85" s="160">
        <v>2810</v>
      </c>
      <c r="V85" s="160">
        <v>3315</v>
      </c>
      <c r="W85" s="160">
        <v>3226</v>
      </c>
      <c r="X85" s="161">
        <f t="shared" si="56"/>
        <v>-2.6847662141779804E-2</v>
      </c>
      <c r="Y85" s="161">
        <f t="shared" si="57"/>
        <v>9.5879214777168497E-3</v>
      </c>
    </row>
    <row r="86" spans="1:25" x14ac:dyDescent="0.25">
      <c r="A86" s="56"/>
      <c r="B86" s="159" t="s">
        <v>123</v>
      </c>
      <c r="C86" s="160">
        <v>119</v>
      </c>
      <c r="D86" s="160">
        <v>3</v>
      </c>
      <c r="E86" s="160">
        <v>144</v>
      </c>
      <c r="F86" s="160">
        <v>127</v>
      </c>
      <c r="G86" s="160">
        <v>175</v>
      </c>
      <c r="H86" s="160">
        <v>183</v>
      </c>
      <c r="I86" s="161">
        <f t="shared" si="54"/>
        <v>4.5714285714285818E-2</v>
      </c>
      <c r="J86" s="161">
        <f t="shared" si="51"/>
        <v>2.8560280920795944E-3</v>
      </c>
      <c r="K86" s="160">
        <v>316</v>
      </c>
      <c r="L86" s="160">
        <v>13</v>
      </c>
      <c r="M86" s="160">
        <v>453</v>
      </c>
      <c r="N86" s="160">
        <v>451</v>
      </c>
      <c r="O86" s="160">
        <v>677</v>
      </c>
      <c r="P86" s="160">
        <v>939</v>
      </c>
      <c r="Q86" s="161">
        <f t="shared" si="55"/>
        <v>0.38700147710487443</v>
      </c>
      <c r="R86" s="161">
        <f t="shared" si="53"/>
        <v>3.4472631153860274E-3</v>
      </c>
      <c r="S86" s="160">
        <v>435</v>
      </c>
      <c r="T86" s="160">
        <v>597</v>
      </c>
      <c r="U86" s="160">
        <v>578</v>
      </c>
      <c r="V86" s="160">
        <v>852</v>
      </c>
      <c r="W86" s="160">
        <v>1122</v>
      </c>
      <c r="X86" s="161">
        <f t="shared" si="56"/>
        <v>0.31690140845070425</v>
      </c>
      <c r="Y86" s="161">
        <f t="shared" si="57"/>
        <v>3.3346707681333868E-3</v>
      </c>
    </row>
    <row r="87" spans="1:25" x14ac:dyDescent="0.25">
      <c r="A87" s="56"/>
      <c r="B87" s="159" t="s">
        <v>119</v>
      </c>
      <c r="C87" s="160">
        <v>56</v>
      </c>
      <c r="D87" s="160">
        <v>28</v>
      </c>
      <c r="E87" s="160">
        <v>93</v>
      </c>
      <c r="F87" s="160">
        <v>101</v>
      </c>
      <c r="G87" s="160">
        <v>76</v>
      </c>
      <c r="H87" s="160">
        <v>99</v>
      </c>
      <c r="I87" s="161">
        <f t="shared" si="54"/>
        <v>0.30263157894736836</v>
      </c>
      <c r="J87" s="161">
        <f t="shared" si="51"/>
        <v>1.5450643776824034E-3</v>
      </c>
      <c r="K87" s="160">
        <v>323</v>
      </c>
      <c r="L87" s="160">
        <v>35</v>
      </c>
      <c r="M87" s="160">
        <v>389</v>
      </c>
      <c r="N87" s="160">
        <v>420</v>
      </c>
      <c r="O87" s="160">
        <v>414</v>
      </c>
      <c r="P87" s="160">
        <v>611</v>
      </c>
      <c r="Q87" s="161">
        <f t="shared" si="55"/>
        <v>0.47584541062801922</v>
      </c>
      <c r="R87" s="161">
        <f t="shared" si="53"/>
        <v>2.2431073093725907E-3</v>
      </c>
      <c r="S87" s="160">
        <v>379</v>
      </c>
      <c r="T87" s="160">
        <v>482</v>
      </c>
      <c r="U87" s="160">
        <v>521</v>
      </c>
      <c r="V87" s="160">
        <v>490</v>
      </c>
      <c r="W87" s="160">
        <v>710</v>
      </c>
      <c r="X87" s="161">
        <f t="shared" si="56"/>
        <v>0.44897959183673475</v>
      </c>
      <c r="Y87" s="161">
        <f t="shared" si="57"/>
        <v>2.1101749067510738E-3</v>
      </c>
    </row>
    <row r="88" spans="1:25" x14ac:dyDescent="0.25">
      <c r="A88" s="56"/>
      <c r="B88" s="159" t="s">
        <v>128</v>
      </c>
      <c r="C88" s="160">
        <v>124</v>
      </c>
      <c r="D88" s="160">
        <v>0</v>
      </c>
      <c r="E88" s="160">
        <v>41</v>
      </c>
      <c r="F88" s="160">
        <v>96</v>
      </c>
      <c r="G88" s="160">
        <v>87</v>
      </c>
      <c r="H88" s="160">
        <v>80</v>
      </c>
      <c r="I88" s="161">
        <f t="shared" si="54"/>
        <v>-8.0459770114942541E-2</v>
      </c>
      <c r="J88" s="161">
        <f t="shared" si="51"/>
        <v>1.2485368708544675E-3</v>
      </c>
      <c r="K88" s="160">
        <v>562</v>
      </c>
      <c r="L88" s="160">
        <v>1</v>
      </c>
      <c r="M88" s="160">
        <v>475</v>
      </c>
      <c r="N88" s="160">
        <v>868</v>
      </c>
      <c r="O88" s="160">
        <v>725</v>
      </c>
      <c r="P88" s="160">
        <v>673</v>
      </c>
      <c r="Q88" s="161">
        <f t="shared" si="55"/>
        <v>-7.1724137931034493E-2</v>
      </c>
      <c r="R88" s="161">
        <f t="shared" si="53"/>
        <v>2.4707221263629356E-3</v>
      </c>
      <c r="S88" s="160">
        <v>686</v>
      </c>
      <c r="T88" s="160">
        <v>516</v>
      </c>
      <c r="U88" s="160">
        <v>964</v>
      </c>
      <c r="V88" s="160">
        <v>812</v>
      </c>
      <c r="W88" s="160">
        <v>753</v>
      </c>
      <c r="X88" s="161">
        <f t="shared" si="56"/>
        <v>-7.2660098522167482E-2</v>
      </c>
      <c r="Y88" s="161">
        <f t="shared" si="57"/>
        <v>2.2379742320895188E-3</v>
      </c>
    </row>
    <row r="89" spans="1:25" x14ac:dyDescent="0.25">
      <c r="A89" s="56"/>
      <c r="B89" s="159" t="s">
        <v>131</v>
      </c>
      <c r="C89" s="160">
        <v>176</v>
      </c>
      <c r="D89" s="160">
        <v>8</v>
      </c>
      <c r="E89" s="160">
        <v>104</v>
      </c>
      <c r="F89" s="160">
        <v>119</v>
      </c>
      <c r="G89" s="160">
        <v>118</v>
      </c>
      <c r="H89" s="160">
        <v>139</v>
      </c>
      <c r="I89" s="161">
        <f t="shared" si="54"/>
        <v>0.17796610169491522</v>
      </c>
      <c r="J89" s="161">
        <f t="shared" si="51"/>
        <v>2.1693328131096373E-3</v>
      </c>
      <c r="K89" s="160">
        <v>832</v>
      </c>
      <c r="L89" s="160">
        <v>18</v>
      </c>
      <c r="M89" s="160">
        <v>287</v>
      </c>
      <c r="N89" s="160">
        <v>627</v>
      </c>
      <c r="O89" s="160">
        <v>811</v>
      </c>
      <c r="P89" s="160">
        <v>577</v>
      </c>
      <c r="Q89" s="161">
        <f t="shared" si="55"/>
        <v>-0.28853267570900121</v>
      </c>
      <c r="R89" s="161">
        <f t="shared" si="53"/>
        <v>2.1182862807004664E-3</v>
      </c>
      <c r="S89" s="160">
        <v>1008</v>
      </c>
      <c r="T89" s="160">
        <v>391</v>
      </c>
      <c r="U89" s="160">
        <v>746</v>
      </c>
      <c r="V89" s="160">
        <v>929</v>
      </c>
      <c r="W89" s="160">
        <v>716</v>
      </c>
      <c r="X89" s="161">
        <f t="shared" si="56"/>
        <v>-0.22927879440258347</v>
      </c>
      <c r="Y89" s="161">
        <f t="shared" si="57"/>
        <v>2.1280073707517868E-3</v>
      </c>
    </row>
    <row r="90" spans="1:25" x14ac:dyDescent="0.25">
      <c r="A90" s="56"/>
      <c r="B90" s="164" t="s">
        <v>145</v>
      </c>
      <c r="C90" s="165">
        <f t="shared" ref="C90:H90" si="58">C82-SUM(C83:C89)</f>
        <v>2927</v>
      </c>
      <c r="D90" s="165">
        <f t="shared" si="58"/>
        <v>178</v>
      </c>
      <c r="E90" s="165">
        <f t="shared" si="58"/>
        <v>1948</v>
      </c>
      <c r="F90" s="165">
        <f t="shared" si="58"/>
        <v>1927</v>
      </c>
      <c r="G90" s="165">
        <f t="shared" si="58"/>
        <v>2640</v>
      </c>
      <c r="H90" s="165">
        <f t="shared" si="58"/>
        <v>2735</v>
      </c>
      <c r="I90" s="166">
        <f t="shared" si="54"/>
        <v>3.5984848484848397E-2</v>
      </c>
      <c r="J90" s="166">
        <f t="shared" si="51"/>
        <v>4.2684354272337105E-2</v>
      </c>
      <c r="K90" s="165">
        <f t="shared" ref="K90:P90" si="59">K82-SUM(K83:K89)</f>
        <v>6331</v>
      </c>
      <c r="L90" s="165">
        <f t="shared" si="59"/>
        <v>403</v>
      </c>
      <c r="M90" s="165">
        <f t="shared" si="59"/>
        <v>3956</v>
      </c>
      <c r="N90" s="165">
        <f t="shared" si="59"/>
        <v>7736</v>
      </c>
      <c r="O90" s="165">
        <f t="shared" si="59"/>
        <v>9205</v>
      </c>
      <c r="P90" s="165">
        <f t="shared" si="59"/>
        <v>9157</v>
      </c>
      <c r="Q90" s="166">
        <f t="shared" si="55"/>
        <v>-5.2145573058121064E-3</v>
      </c>
      <c r="R90" s="166">
        <f t="shared" si="53"/>
        <v>3.3617239986783655E-2</v>
      </c>
      <c r="S90" s="165">
        <f>S82-SUM(S83:S89)</f>
        <v>9258</v>
      </c>
      <c r="T90" s="165">
        <f>T82-SUM(T83:T89)</f>
        <v>5904</v>
      </c>
      <c r="U90" s="165">
        <f>U82-SUM(U83:U89)</f>
        <v>9663</v>
      </c>
      <c r="V90" s="165">
        <f>V82-SUM(V83:V89)</f>
        <v>11845</v>
      </c>
      <c r="W90" s="165">
        <f>W82-SUM(W83:W89)</f>
        <v>11892</v>
      </c>
      <c r="X90" s="166">
        <f t="shared" si="56"/>
        <v>3.9679189531447445E-3</v>
      </c>
      <c r="Y90" s="166">
        <f t="shared" si="57"/>
        <v>3.5343943649413755E-2</v>
      </c>
    </row>
    <row r="91" spans="1:25" x14ac:dyDescent="0.25">
      <c r="A91" s="56"/>
      <c r="B91" s="151" t="s">
        <v>49</v>
      </c>
      <c r="C91" s="149"/>
      <c r="D91" s="149"/>
      <c r="E91" s="149"/>
      <c r="F91" s="149"/>
      <c r="G91" s="149"/>
      <c r="H91" s="149"/>
      <c r="I91" s="149"/>
      <c r="J91" s="149"/>
      <c r="K91" s="149"/>
      <c r="L91" s="149"/>
      <c r="M91" s="149"/>
      <c r="N91" s="149"/>
      <c r="O91" s="149"/>
      <c r="P91" s="149"/>
      <c r="Q91" s="149"/>
      <c r="R91" s="149"/>
      <c r="S91" s="149"/>
      <c r="T91" s="149"/>
      <c r="U91" s="149"/>
      <c r="V91" s="149"/>
      <c r="W91" s="149"/>
      <c r="X91" s="149"/>
      <c r="Y91" s="149"/>
    </row>
    <row r="92" spans="1:25" x14ac:dyDescent="0.25">
      <c r="A92" s="56"/>
      <c r="B92" s="152" t="s">
        <v>68</v>
      </c>
      <c r="C92" s="172">
        <f t="shared" ref="C92:H92" si="60">C93+C96</f>
        <v>1494</v>
      </c>
      <c r="D92" s="172">
        <f t="shared" si="60"/>
        <v>0</v>
      </c>
      <c r="E92" s="172">
        <f t="shared" si="60"/>
        <v>0</v>
      </c>
      <c r="F92" s="172">
        <f t="shared" si="60"/>
        <v>749</v>
      </c>
      <c r="G92" s="172">
        <f t="shared" si="60"/>
        <v>731</v>
      </c>
      <c r="H92" s="172">
        <f t="shared" si="60"/>
        <v>826</v>
      </c>
      <c r="I92" s="173">
        <f>IFERROR(H92/G92-1,"-")</f>
        <v>0.12995896032831733</v>
      </c>
      <c r="J92" s="173">
        <f t="shared" ref="J92:J104" si="61">H92/H$8</f>
        <v>1.2891143191572377E-2</v>
      </c>
      <c r="K92" s="172">
        <f t="shared" ref="K92:P92" si="62">K93+K96</f>
        <v>3703</v>
      </c>
      <c r="L92" s="172">
        <f t="shared" si="62"/>
        <v>0</v>
      </c>
      <c r="M92" s="172">
        <f t="shared" si="62"/>
        <v>0</v>
      </c>
      <c r="N92" s="172">
        <f t="shared" si="62"/>
        <v>4641</v>
      </c>
      <c r="O92" s="172">
        <f t="shared" si="62"/>
        <v>4486</v>
      </c>
      <c r="P92" s="172">
        <f t="shared" si="62"/>
        <v>4485</v>
      </c>
      <c r="Q92" s="173">
        <f>IFERROR(P92/O92-1,"-")</f>
        <v>-2.2291573785104823E-4</v>
      </c>
      <c r="R92" s="173">
        <f t="shared" ref="R92:R104" si="63">P92/P$8</f>
        <v>1.6465362164543484E-2</v>
      </c>
      <c r="S92" s="172">
        <f>S93+S96</f>
        <v>5197</v>
      </c>
      <c r="T92" s="172">
        <f>T93+T96</f>
        <v>3527</v>
      </c>
      <c r="U92" s="172">
        <f>U93+U96</f>
        <v>5390</v>
      </c>
      <c r="V92" s="172">
        <f>V93+V96</f>
        <v>5217</v>
      </c>
      <c r="W92" s="172">
        <f>W93+W96</f>
        <v>5311</v>
      </c>
      <c r="X92" s="173">
        <f>IFERROR(W92/V92-1,"-")</f>
        <v>1.8018018018018056E-2</v>
      </c>
      <c r="Y92" s="173">
        <f>W92/W$8</f>
        <v>1.578470271796472E-2</v>
      </c>
    </row>
    <row r="93" spans="1:25" x14ac:dyDescent="0.25">
      <c r="A93" s="56"/>
      <c r="B93" s="155" t="s">
        <v>97</v>
      </c>
      <c r="C93" s="156">
        <v>993</v>
      </c>
      <c r="D93" s="156">
        <v>0</v>
      </c>
      <c r="E93" s="156">
        <v>0</v>
      </c>
      <c r="F93" s="156">
        <v>460</v>
      </c>
      <c r="G93" s="156">
        <v>501</v>
      </c>
      <c r="H93" s="156">
        <v>486</v>
      </c>
      <c r="I93" s="157">
        <f>IFERROR(H93/G93-1,"-")</f>
        <v>-2.9940119760479056E-2</v>
      </c>
      <c r="J93" s="157">
        <f t="shared" si="61"/>
        <v>7.5848614904408893E-3</v>
      </c>
      <c r="K93" s="156">
        <v>2066</v>
      </c>
      <c r="L93" s="156">
        <v>0</v>
      </c>
      <c r="M93" s="156">
        <v>0</v>
      </c>
      <c r="N93" s="156">
        <v>2582</v>
      </c>
      <c r="O93" s="156">
        <v>1676</v>
      </c>
      <c r="P93" s="156">
        <v>2166</v>
      </c>
      <c r="Q93" s="157">
        <f>IFERROR(P93/O93-1,"-")</f>
        <v>0.29236276849642007</v>
      </c>
      <c r="R93" s="157">
        <f t="shared" si="63"/>
        <v>7.9518337677594621E-3</v>
      </c>
      <c r="S93" s="156">
        <v>3059</v>
      </c>
      <c r="T93" s="156">
        <v>1773</v>
      </c>
      <c r="U93" s="156">
        <v>3042</v>
      </c>
      <c r="V93" s="156">
        <v>2177</v>
      </c>
      <c r="W93" s="156">
        <v>2652</v>
      </c>
      <c r="X93" s="157">
        <f>IFERROR(W93/V93-1,"-")</f>
        <v>0.21819016995865881</v>
      </c>
      <c r="Y93" s="157">
        <f>W93/W$8</f>
        <v>7.8819490883152779E-3</v>
      </c>
    </row>
    <row r="94" spans="1:25" x14ac:dyDescent="0.25">
      <c r="A94" s="56"/>
      <c r="B94" s="159" t="s">
        <v>103</v>
      </c>
      <c r="C94" s="160">
        <v>759</v>
      </c>
      <c r="D94" s="160">
        <v>0</v>
      </c>
      <c r="E94" s="160">
        <v>0</v>
      </c>
      <c r="F94" s="160">
        <v>312</v>
      </c>
      <c r="G94" s="160">
        <v>326</v>
      </c>
      <c r="H94" s="160">
        <v>368</v>
      </c>
      <c r="I94" s="161">
        <f>IFERROR(H94/G94-1,"-")</f>
        <v>0.12883435582822078</v>
      </c>
      <c r="J94" s="161">
        <f t="shared" si="61"/>
        <v>5.7432696059305502E-3</v>
      </c>
      <c r="K94" s="160">
        <v>1092</v>
      </c>
      <c r="L94" s="160">
        <v>0</v>
      </c>
      <c r="M94" s="160">
        <v>0</v>
      </c>
      <c r="N94" s="160">
        <v>1173</v>
      </c>
      <c r="O94" s="160">
        <v>406</v>
      </c>
      <c r="P94" s="160">
        <v>532</v>
      </c>
      <c r="Q94" s="161">
        <f>IFERROR(P94/O94-1,"-")</f>
        <v>0.31034482758620685</v>
      </c>
      <c r="R94" s="161">
        <f t="shared" si="63"/>
        <v>1.9530819780461837E-3</v>
      </c>
      <c r="S94" s="160">
        <v>1851</v>
      </c>
      <c r="T94" s="160">
        <v>734</v>
      </c>
      <c r="U94" s="160">
        <v>1485</v>
      </c>
      <c r="V94" s="160">
        <v>732</v>
      </c>
      <c r="W94" s="160">
        <v>900</v>
      </c>
      <c r="X94" s="161">
        <f>IFERROR(W94/V94-1,"-")</f>
        <v>0.22950819672131151</v>
      </c>
      <c r="Y94" s="161">
        <f>W94/W$8</f>
        <v>2.6748696001069948E-3</v>
      </c>
    </row>
    <row r="95" spans="1:25" x14ac:dyDescent="0.25">
      <c r="A95" s="56"/>
      <c r="B95" s="159" t="s">
        <v>100</v>
      </c>
      <c r="C95" s="160">
        <v>234</v>
      </c>
      <c r="D95" s="160">
        <v>0</v>
      </c>
      <c r="E95" s="160">
        <v>0</v>
      </c>
      <c r="F95" s="160">
        <v>148</v>
      </c>
      <c r="G95" s="160">
        <v>175</v>
      </c>
      <c r="H95" s="160">
        <v>118</v>
      </c>
      <c r="I95" s="161">
        <f>IFERROR(H95/G95-1,"-")</f>
        <v>-0.32571428571428573</v>
      </c>
      <c r="J95" s="161">
        <f t="shared" si="61"/>
        <v>1.8415918845103394E-3</v>
      </c>
      <c r="K95" s="160">
        <v>974</v>
      </c>
      <c r="L95" s="160">
        <v>0</v>
      </c>
      <c r="M95" s="160">
        <v>0</v>
      </c>
      <c r="N95" s="160">
        <v>1409</v>
      </c>
      <c r="O95" s="160">
        <v>1270</v>
      </c>
      <c r="P95" s="160">
        <v>1634</v>
      </c>
      <c r="Q95" s="161">
        <f>IFERROR(P95/O95-1,"-")</f>
        <v>0.28661417322834648</v>
      </c>
      <c r="R95" s="161">
        <f t="shared" si="63"/>
        <v>5.9987517897132784E-3</v>
      </c>
      <c r="S95" s="160">
        <v>1208</v>
      </c>
      <c r="T95" s="160">
        <v>1039</v>
      </c>
      <c r="U95" s="160">
        <v>1557</v>
      </c>
      <c r="V95" s="160">
        <v>1445</v>
      </c>
      <c r="W95" s="160">
        <v>1752</v>
      </c>
      <c r="X95" s="161">
        <f>IFERROR(W95/V95-1,"-")</f>
        <v>0.21245674740484422</v>
      </c>
      <c r="Y95" s="161">
        <f>W95/W$8</f>
        <v>5.2070794882082836E-3</v>
      </c>
    </row>
    <row r="96" spans="1:25" x14ac:dyDescent="0.25">
      <c r="A96" s="56"/>
      <c r="B96" s="155" t="s">
        <v>107</v>
      </c>
      <c r="C96" s="156">
        <v>501</v>
      </c>
      <c r="D96" s="156">
        <v>0</v>
      </c>
      <c r="E96" s="156">
        <v>0</v>
      </c>
      <c r="F96" s="156">
        <v>289</v>
      </c>
      <c r="G96" s="156">
        <v>230</v>
      </c>
      <c r="H96" s="156">
        <v>340</v>
      </c>
      <c r="I96" s="157">
        <f>IFERROR(H96/G96-1,"-")</f>
        <v>0.47826086956521729</v>
      </c>
      <c r="J96" s="157">
        <f t="shared" si="61"/>
        <v>5.3062817011314866E-3</v>
      </c>
      <c r="K96" s="156">
        <v>1637</v>
      </c>
      <c r="L96" s="156">
        <v>0</v>
      </c>
      <c r="M96" s="156">
        <v>0</v>
      </c>
      <c r="N96" s="156">
        <v>2059</v>
      </c>
      <c r="O96" s="156">
        <v>2810</v>
      </c>
      <c r="P96" s="156">
        <v>2319</v>
      </c>
      <c r="Q96" s="157">
        <f>IFERROR(P96/O96-1,"-")</f>
        <v>-0.17473309608540921</v>
      </c>
      <c r="R96" s="157">
        <f t="shared" si="63"/>
        <v>8.5135283967840234E-3</v>
      </c>
      <c r="S96" s="156">
        <v>2138</v>
      </c>
      <c r="T96" s="156">
        <v>1754</v>
      </c>
      <c r="U96" s="156">
        <v>2348</v>
      </c>
      <c r="V96" s="156">
        <v>3040</v>
      </c>
      <c r="W96" s="156">
        <v>2659</v>
      </c>
      <c r="X96" s="157">
        <f>IFERROR(W96/V96-1,"-")</f>
        <v>-0.12532894736842104</v>
      </c>
      <c r="Y96" s="157">
        <f>W96/W$8</f>
        <v>7.9027536296494439E-3</v>
      </c>
    </row>
    <row r="97" spans="1:25" s="56" customFormat="1" x14ac:dyDescent="0.25">
      <c r="B97" s="159" t="s">
        <v>110</v>
      </c>
      <c r="C97" s="160">
        <v>38</v>
      </c>
      <c r="D97" s="160">
        <v>0</v>
      </c>
      <c r="E97" s="160">
        <v>0</v>
      </c>
      <c r="F97" s="160">
        <v>20</v>
      </c>
      <c r="G97" s="160">
        <v>37</v>
      </c>
      <c r="H97" s="160">
        <v>44</v>
      </c>
      <c r="I97" s="161">
        <f t="shared" ref="I97:I104" si="64">IFERROR(H97/G97-1,"-")</f>
        <v>0.18918918918918926</v>
      </c>
      <c r="J97" s="161">
        <f t="shared" si="61"/>
        <v>6.8669527896995713E-4</v>
      </c>
      <c r="K97" s="160">
        <v>319</v>
      </c>
      <c r="L97" s="160">
        <v>0</v>
      </c>
      <c r="M97" s="160">
        <v>0</v>
      </c>
      <c r="N97" s="160">
        <v>358</v>
      </c>
      <c r="O97" s="160">
        <v>410</v>
      </c>
      <c r="P97" s="160">
        <v>349</v>
      </c>
      <c r="Q97" s="161">
        <f t="shared" ref="Q97:Q104" si="65">IFERROR(P97/O97-1,"-")</f>
        <v>-0.14878048780487807</v>
      </c>
      <c r="R97" s="161">
        <f t="shared" si="63"/>
        <v>1.2812511472521017E-3</v>
      </c>
      <c r="S97" s="160">
        <v>357</v>
      </c>
      <c r="T97" s="160">
        <v>277</v>
      </c>
      <c r="U97" s="160">
        <v>378</v>
      </c>
      <c r="V97" s="160">
        <v>447</v>
      </c>
      <c r="W97" s="160">
        <v>393</v>
      </c>
      <c r="X97" s="161">
        <f t="shared" ref="X97:X104" si="66">IFERROR(W97/V97-1,"-")</f>
        <v>-0.12080536912751683</v>
      </c>
      <c r="Y97" s="161">
        <f t="shared" ref="Y97:Y104" si="67">W97/W$8</f>
        <v>1.168026392046721E-3</v>
      </c>
    </row>
    <row r="98" spans="1:25" s="56" customFormat="1" x14ac:dyDescent="0.25">
      <c r="B98" s="159" t="s">
        <v>113</v>
      </c>
      <c r="C98" s="160">
        <v>99</v>
      </c>
      <c r="D98" s="160">
        <v>0</v>
      </c>
      <c r="E98" s="160">
        <v>0</v>
      </c>
      <c r="F98" s="160">
        <v>33</v>
      </c>
      <c r="G98" s="160">
        <v>48</v>
      </c>
      <c r="H98" s="160">
        <v>58</v>
      </c>
      <c r="I98" s="161">
        <f t="shared" si="64"/>
        <v>0.20833333333333326</v>
      </c>
      <c r="J98" s="161">
        <f t="shared" si="61"/>
        <v>9.0518923136948893E-4</v>
      </c>
      <c r="K98" s="160">
        <v>328</v>
      </c>
      <c r="L98" s="160">
        <v>0</v>
      </c>
      <c r="M98" s="160">
        <v>0</v>
      </c>
      <c r="N98" s="160">
        <v>427</v>
      </c>
      <c r="O98" s="160">
        <v>595</v>
      </c>
      <c r="P98" s="160">
        <v>468</v>
      </c>
      <c r="Q98" s="161">
        <f t="shared" si="65"/>
        <v>-0.21344537815126052</v>
      </c>
      <c r="R98" s="161">
        <f t="shared" si="63"/>
        <v>1.7181247476045376E-3</v>
      </c>
      <c r="S98" s="160">
        <v>427</v>
      </c>
      <c r="T98" s="160">
        <v>309</v>
      </c>
      <c r="U98" s="160">
        <v>460</v>
      </c>
      <c r="V98" s="160">
        <v>643</v>
      </c>
      <c r="W98" s="160">
        <v>526</v>
      </c>
      <c r="X98" s="161">
        <f t="shared" si="66"/>
        <v>-0.18195956454121309</v>
      </c>
      <c r="Y98" s="161">
        <f t="shared" si="67"/>
        <v>1.5633126773958658E-3</v>
      </c>
    </row>
    <row r="99" spans="1:25" x14ac:dyDescent="0.25">
      <c r="A99" s="56"/>
      <c r="B99" s="159" t="s">
        <v>116</v>
      </c>
      <c r="C99" s="160">
        <v>178</v>
      </c>
      <c r="D99" s="160">
        <v>0</v>
      </c>
      <c r="E99" s="160">
        <v>0</v>
      </c>
      <c r="F99" s="160">
        <v>154</v>
      </c>
      <c r="G99" s="160">
        <v>38</v>
      </c>
      <c r="H99" s="160">
        <v>93</v>
      </c>
      <c r="I99" s="161">
        <f t="shared" si="64"/>
        <v>1.4473684210526314</v>
      </c>
      <c r="J99" s="161">
        <f t="shared" si="61"/>
        <v>1.4514241123683184E-3</v>
      </c>
      <c r="K99" s="160">
        <v>227</v>
      </c>
      <c r="L99" s="160">
        <v>0</v>
      </c>
      <c r="M99" s="160">
        <v>0</v>
      </c>
      <c r="N99" s="160">
        <v>334</v>
      </c>
      <c r="O99" s="160">
        <v>347</v>
      </c>
      <c r="P99" s="160">
        <v>305</v>
      </c>
      <c r="Q99" s="161">
        <f t="shared" si="65"/>
        <v>-0.12103746397694526</v>
      </c>
      <c r="R99" s="161">
        <f t="shared" si="63"/>
        <v>1.11971805132347E-3</v>
      </c>
      <c r="S99" s="160">
        <v>405</v>
      </c>
      <c r="T99" s="160">
        <v>325</v>
      </c>
      <c r="U99" s="160">
        <v>488</v>
      </c>
      <c r="V99" s="160">
        <v>385</v>
      </c>
      <c r="W99" s="160">
        <v>398</v>
      </c>
      <c r="X99" s="161">
        <f t="shared" si="66"/>
        <v>3.3766233766233666E-2</v>
      </c>
      <c r="Y99" s="161">
        <f t="shared" si="67"/>
        <v>1.1828867787139821E-3</v>
      </c>
    </row>
    <row r="100" spans="1:25" x14ac:dyDescent="0.25">
      <c r="A100" s="56"/>
      <c r="B100" s="159" t="s">
        <v>123</v>
      </c>
      <c r="C100" s="160">
        <v>17</v>
      </c>
      <c r="D100" s="160">
        <v>0</v>
      </c>
      <c r="E100" s="160">
        <v>0</v>
      </c>
      <c r="F100" s="160">
        <v>0</v>
      </c>
      <c r="G100" s="160">
        <v>17</v>
      </c>
      <c r="H100" s="160">
        <v>23</v>
      </c>
      <c r="I100" s="161">
        <f t="shared" si="64"/>
        <v>0.35294117647058831</v>
      </c>
      <c r="J100" s="161">
        <f t="shared" si="61"/>
        <v>3.5895435037065938E-4</v>
      </c>
      <c r="K100" s="160">
        <v>72</v>
      </c>
      <c r="L100" s="160">
        <v>0</v>
      </c>
      <c r="M100" s="160">
        <v>0</v>
      </c>
      <c r="N100" s="160">
        <v>137</v>
      </c>
      <c r="O100" s="160">
        <v>137</v>
      </c>
      <c r="P100" s="160">
        <v>159</v>
      </c>
      <c r="Q100" s="161">
        <f t="shared" si="65"/>
        <v>0.16058394160583944</v>
      </c>
      <c r="R100" s="161">
        <f t="shared" si="63"/>
        <v>5.8372186937846466E-4</v>
      </c>
      <c r="S100" s="160">
        <v>89</v>
      </c>
      <c r="T100" s="160">
        <v>129</v>
      </c>
      <c r="U100" s="160">
        <v>137</v>
      </c>
      <c r="V100" s="160">
        <v>154</v>
      </c>
      <c r="W100" s="160">
        <v>182</v>
      </c>
      <c r="X100" s="161">
        <f t="shared" si="66"/>
        <v>0.18181818181818188</v>
      </c>
      <c r="Y100" s="161">
        <f t="shared" si="67"/>
        <v>5.4091807468830343E-4</v>
      </c>
    </row>
    <row r="101" spans="1:25" x14ac:dyDescent="0.25">
      <c r="A101" s="56"/>
      <c r="B101" s="159" t="s">
        <v>119</v>
      </c>
      <c r="C101" s="160">
        <v>13</v>
      </c>
      <c r="D101" s="160">
        <v>0</v>
      </c>
      <c r="E101" s="160">
        <v>0</v>
      </c>
      <c r="F101" s="160">
        <v>10</v>
      </c>
      <c r="G101" s="160">
        <v>9</v>
      </c>
      <c r="H101" s="160">
        <v>14</v>
      </c>
      <c r="I101" s="161">
        <f t="shared" si="64"/>
        <v>0.55555555555555558</v>
      </c>
      <c r="J101" s="161">
        <f t="shared" si="61"/>
        <v>2.1849395239953179E-4</v>
      </c>
      <c r="K101" s="160">
        <v>58</v>
      </c>
      <c r="L101" s="160">
        <v>0</v>
      </c>
      <c r="M101" s="160">
        <v>0</v>
      </c>
      <c r="N101" s="160">
        <v>71</v>
      </c>
      <c r="O101" s="160">
        <v>162</v>
      </c>
      <c r="P101" s="160">
        <v>116</v>
      </c>
      <c r="Q101" s="161">
        <f t="shared" si="65"/>
        <v>-0.28395061728395066</v>
      </c>
      <c r="R101" s="161">
        <f t="shared" si="63"/>
        <v>4.258599801754837E-4</v>
      </c>
      <c r="S101" s="160">
        <v>71</v>
      </c>
      <c r="T101" s="160">
        <v>89</v>
      </c>
      <c r="U101" s="160">
        <v>81</v>
      </c>
      <c r="V101" s="160">
        <v>171</v>
      </c>
      <c r="W101" s="160">
        <v>130</v>
      </c>
      <c r="X101" s="161">
        <f t="shared" si="66"/>
        <v>-0.23976608187134507</v>
      </c>
      <c r="Y101" s="161">
        <f t="shared" si="67"/>
        <v>3.8637005334878814E-4</v>
      </c>
    </row>
    <row r="102" spans="1:25" x14ac:dyDescent="0.25">
      <c r="A102" s="56"/>
      <c r="B102" s="159" t="s">
        <v>128</v>
      </c>
      <c r="C102" s="160">
        <v>17</v>
      </c>
      <c r="D102" s="160">
        <v>0</v>
      </c>
      <c r="E102" s="160">
        <v>0</v>
      </c>
      <c r="F102" s="160">
        <v>3</v>
      </c>
      <c r="G102" s="160">
        <v>14</v>
      </c>
      <c r="H102" s="160">
        <v>0</v>
      </c>
      <c r="I102" s="161">
        <f t="shared" si="64"/>
        <v>-1</v>
      </c>
      <c r="J102" s="161">
        <f t="shared" si="61"/>
        <v>0</v>
      </c>
      <c r="K102" s="160">
        <v>70</v>
      </c>
      <c r="L102" s="160">
        <v>0</v>
      </c>
      <c r="M102" s="160">
        <v>0</v>
      </c>
      <c r="N102" s="160">
        <v>33</v>
      </c>
      <c r="O102" s="160">
        <v>44</v>
      </c>
      <c r="P102" s="160">
        <v>22</v>
      </c>
      <c r="Q102" s="161">
        <f t="shared" si="65"/>
        <v>-0.5</v>
      </c>
      <c r="R102" s="161">
        <f t="shared" si="63"/>
        <v>8.0766547964315869E-5</v>
      </c>
      <c r="S102" s="160">
        <v>87</v>
      </c>
      <c r="T102" s="160">
        <v>50</v>
      </c>
      <c r="U102" s="160">
        <v>36</v>
      </c>
      <c r="V102" s="160">
        <v>58</v>
      </c>
      <c r="W102" s="160">
        <v>22</v>
      </c>
      <c r="X102" s="161">
        <f t="shared" si="66"/>
        <v>-0.62068965517241381</v>
      </c>
      <c r="Y102" s="161">
        <f t="shared" si="67"/>
        <v>6.538570133594876E-5</v>
      </c>
    </row>
    <row r="103" spans="1:25" x14ac:dyDescent="0.25">
      <c r="A103" s="56"/>
      <c r="B103" s="159" t="s">
        <v>131</v>
      </c>
      <c r="C103" s="160">
        <v>0</v>
      </c>
      <c r="D103" s="160">
        <v>0</v>
      </c>
      <c r="E103" s="160">
        <v>0</v>
      </c>
      <c r="F103" s="160">
        <v>0</v>
      </c>
      <c r="G103" s="160">
        <v>3</v>
      </c>
      <c r="H103" s="160">
        <v>0</v>
      </c>
      <c r="I103" s="161">
        <f t="shared" si="64"/>
        <v>-1</v>
      </c>
      <c r="J103" s="161">
        <f t="shared" si="61"/>
        <v>0</v>
      </c>
      <c r="K103" s="160">
        <v>30</v>
      </c>
      <c r="L103" s="160">
        <v>0</v>
      </c>
      <c r="M103" s="160">
        <v>0</v>
      </c>
      <c r="N103" s="160">
        <v>64</v>
      </c>
      <c r="O103" s="160">
        <v>158</v>
      </c>
      <c r="P103" s="160">
        <v>83</v>
      </c>
      <c r="Q103" s="161">
        <f t="shared" si="65"/>
        <v>-0.47468354430379744</v>
      </c>
      <c r="R103" s="161">
        <f t="shared" si="63"/>
        <v>3.0471015822900989E-4</v>
      </c>
      <c r="S103" s="160">
        <v>30</v>
      </c>
      <c r="T103" s="160">
        <v>37</v>
      </c>
      <c r="U103" s="160">
        <v>64</v>
      </c>
      <c r="V103" s="160">
        <v>161</v>
      </c>
      <c r="W103" s="160">
        <v>83</v>
      </c>
      <c r="X103" s="161">
        <f t="shared" si="66"/>
        <v>-0.48447204968944102</v>
      </c>
      <c r="Y103" s="161">
        <f t="shared" si="67"/>
        <v>2.4668241867653395E-4</v>
      </c>
    </row>
    <row r="104" spans="1:25" x14ac:dyDescent="0.25">
      <c r="A104" s="56"/>
      <c r="B104" s="164" t="s">
        <v>145</v>
      </c>
      <c r="C104" s="165">
        <f t="shared" ref="C104:H104" si="68">C96-SUM(C97:C103)</f>
        <v>139</v>
      </c>
      <c r="D104" s="165">
        <f t="shared" si="68"/>
        <v>0</v>
      </c>
      <c r="E104" s="165">
        <f t="shared" si="68"/>
        <v>0</v>
      </c>
      <c r="F104" s="165">
        <f t="shared" si="68"/>
        <v>69</v>
      </c>
      <c r="G104" s="165">
        <f t="shared" si="68"/>
        <v>64</v>
      </c>
      <c r="H104" s="165">
        <f t="shared" si="68"/>
        <v>108</v>
      </c>
      <c r="I104" s="166">
        <f t="shared" si="64"/>
        <v>0.6875</v>
      </c>
      <c r="J104" s="166">
        <f t="shared" si="61"/>
        <v>1.6855247756535311E-3</v>
      </c>
      <c r="K104" s="165">
        <f t="shared" ref="K104:P104" si="69">K96-SUM(K97:K103)</f>
        <v>533</v>
      </c>
      <c r="L104" s="165">
        <f t="shared" si="69"/>
        <v>0</v>
      </c>
      <c r="M104" s="165">
        <f t="shared" si="69"/>
        <v>0</v>
      </c>
      <c r="N104" s="165">
        <f t="shared" si="69"/>
        <v>635</v>
      </c>
      <c r="O104" s="165">
        <f t="shared" si="69"/>
        <v>957</v>
      </c>
      <c r="P104" s="165">
        <f t="shared" si="69"/>
        <v>817</v>
      </c>
      <c r="Q104" s="166">
        <f t="shared" si="65"/>
        <v>-0.14629049111807735</v>
      </c>
      <c r="R104" s="166">
        <f t="shared" si="63"/>
        <v>2.9993758948566392E-3</v>
      </c>
      <c r="S104" s="165">
        <f>S96-SUM(S97:S103)</f>
        <v>672</v>
      </c>
      <c r="T104" s="165">
        <f>T96-SUM(T97:T103)</f>
        <v>538</v>
      </c>
      <c r="U104" s="165">
        <f>U96-SUM(U97:U103)</f>
        <v>704</v>
      </c>
      <c r="V104" s="165">
        <f>V96-SUM(V97:V103)</f>
        <v>1021</v>
      </c>
      <c r="W104" s="165">
        <f>W96-SUM(W97:W103)</f>
        <v>925</v>
      </c>
      <c r="X104" s="166">
        <f t="shared" si="66"/>
        <v>-9.4025465230166527E-2</v>
      </c>
      <c r="Y104" s="166">
        <f t="shared" si="67"/>
        <v>2.7491715334433003E-3</v>
      </c>
    </row>
    <row r="105" spans="1:25" x14ac:dyDescent="0.25">
      <c r="A105" s="56"/>
      <c r="B105" s="151" t="s">
        <v>50</v>
      </c>
      <c r="C105" s="149"/>
      <c r="D105" s="149"/>
      <c r="E105" s="149"/>
      <c r="F105" s="149"/>
      <c r="G105" s="149"/>
      <c r="H105" s="149"/>
      <c r="I105" s="149"/>
      <c r="J105" s="149"/>
      <c r="K105" s="149"/>
      <c r="L105" s="149"/>
      <c r="M105" s="149"/>
      <c r="N105" s="149"/>
      <c r="O105" s="149"/>
      <c r="P105" s="149"/>
      <c r="Q105" s="149"/>
      <c r="R105" s="149"/>
      <c r="S105" s="149"/>
      <c r="T105" s="149"/>
      <c r="U105" s="149"/>
      <c r="V105" s="149"/>
      <c r="W105" s="149"/>
      <c r="X105" s="149"/>
      <c r="Y105" s="149"/>
    </row>
    <row r="106" spans="1:25" x14ac:dyDescent="0.25">
      <c r="A106" s="56"/>
      <c r="B106" s="152" t="s">
        <v>68</v>
      </c>
      <c r="C106" s="172">
        <f t="shared" ref="C106:H106" si="70">C107+C110</f>
        <v>0</v>
      </c>
      <c r="D106" s="172">
        <f t="shared" si="70"/>
        <v>0</v>
      </c>
      <c r="E106" s="172">
        <f t="shared" si="70"/>
        <v>0</v>
      </c>
      <c r="F106" s="172">
        <f t="shared" si="70"/>
        <v>0</v>
      </c>
      <c r="G106" s="172">
        <f t="shared" si="70"/>
        <v>0</v>
      </c>
      <c r="H106" s="172">
        <f t="shared" si="70"/>
        <v>0</v>
      </c>
      <c r="I106" s="173" t="str">
        <f>IFERROR(H106/G106-1,"-")</f>
        <v>-</v>
      </c>
      <c r="J106" s="173">
        <f t="shared" ref="J106:J118" si="71">H106/H$8</f>
        <v>0</v>
      </c>
      <c r="K106" s="172">
        <f t="shared" ref="K106:P106" si="72">K107+K110</f>
        <v>9284</v>
      </c>
      <c r="L106" s="172">
        <f t="shared" si="72"/>
        <v>0</v>
      </c>
      <c r="M106" s="172">
        <f t="shared" si="72"/>
        <v>0</v>
      </c>
      <c r="N106" s="172">
        <f t="shared" si="72"/>
        <v>0</v>
      </c>
      <c r="O106" s="172">
        <f t="shared" si="72"/>
        <v>0</v>
      </c>
      <c r="P106" s="172">
        <f t="shared" si="72"/>
        <v>0</v>
      </c>
      <c r="Q106" s="173" t="str">
        <f>IFERROR(P106/O106-1,"-")</f>
        <v>-</v>
      </c>
      <c r="R106" s="173">
        <f t="shared" ref="R106:R118" si="73">P106/P$8</f>
        <v>0</v>
      </c>
      <c r="S106" s="172">
        <f>S107+S110</f>
        <v>9284</v>
      </c>
      <c r="T106" s="172">
        <f>T107+T110</f>
        <v>9886</v>
      </c>
      <c r="U106" s="172">
        <f>U107+U110</f>
        <v>13452</v>
      </c>
      <c r="V106" s="172">
        <f>V107+V110</f>
        <v>15230</v>
      </c>
      <c r="W106" s="172">
        <f>W107+W110</f>
        <v>18184</v>
      </c>
      <c r="X106" s="173">
        <f>IFERROR(W106/V106-1,"-")</f>
        <v>0.19395929087327635</v>
      </c>
      <c r="Y106" s="173">
        <f>W106/W$8</f>
        <v>5.4044254231495101E-2</v>
      </c>
    </row>
    <row r="107" spans="1:25" x14ac:dyDescent="0.25">
      <c r="A107" s="56"/>
      <c r="B107" s="155" t="s">
        <v>97</v>
      </c>
      <c r="C107" s="156">
        <v>0</v>
      </c>
      <c r="D107" s="156">
        <v>0</v>
      </c>
      <c r="E107" s="156">
        <v>0</v>
      </c>
      <c r="F107" s="156">
        <v>0</v>
      </c>
      <c r="G107" s="156">
        <v>0</v>
      </c>
      <c r="H107" s="156">
        <v>0</v>
      </c>
      <c r="I107" s="157" t="str">
        <f>IFERROR(H107/G107-1,"-")</f>
        <v>-</v>
      </c>
      <c r="J107" s="157">
        <f t="shared" si="71"/>
        <v>0</v>
      </c>
      <c r="K107" s="156">
        <v>2541</v>
      </c>
      <c r="L107" s="156">
        <v>0</v>
      </c>
      <c r="M107" s="156">
        <v>0</v>
      </c>
      <c r="N107" s="156">
        <v>0</v>
      </c>
      <c r="O107" s="156">
        <v>0</v>
      </c>
      <c r="P107" s="156">
        <v>0</v>
      </c>
      <c r="Q107" s="157" t="str">
        <f>IFERROR(P107/O107-1,"-")</f>
        <v>-</v>
      </c>
      <c r="R107" s="157">
        <f t="shared" si="73"/>
        <v>0</v>
      </c>
      <c r="S107" s="156">
        <v>2541</v>
      </c>
      <c r="T107" s="156">
        <v>1709</v>
      </c>
      <c r="U107" s="156">
        <v>2380</v>
      </c>
      <c r="V107" s="156">
        <v>2125</v>
      </c>
      <c r="W107" s="156">
        <v>2426</v>
      </c>
      <c r="X107" s="157">
        <f>IFERROR(W107/V107-1,"-")</f>
        <v>0.14164705882352946</v>
      </c>
      <c r="Y107" s="157">
        <f>W107/W$8</f>
        <v>7.2102596109550774E-3</v>
      </c>
    </row>
    <row r="108" spans="1:25" x14ac:dyDescent="0.25">
      <c r="A108" s="56"/>
      <c r="B108" s="159" t="s">
        <v>103</v>
      </c>
      <c r="C108" s="160">
        <v>0</v>
      </c>
      <c r="D108" s="160">
        <v>0</v>
      </c>
      <c r="E108" s="160">
        <v>0</v>
      </c>
      <c r="F108" s="160">
        <v>0</v>
      </c>
      <c r="G108" s="160">
        <v>0</v>
      </c>
      <c r="H108" s="160">
        <v>0</v>
      </c>
      <c r="I108" s="161" t="str">
        <f>IFERROR(H108/G108-1,"-")</f>
        <v>-</v>
      </c>
      <c r="J108" s="161">
        <f t="shared" si="71"/>
        <v>0</v>
      </c>
      <c r="K108" s="160">
        <v>116</v>
      </c>
      <c r="L108" s="160">
        <v>0</v>
      </c>
      <c r="M108" s="160">
        <v>0</v>
      </c>
      <c r="N108" s="160">
        <v>0</v>
      </c>
      <c r="O108" s="160">
        <v>0</v>
      </c>
      <c r="P108" s="160">
        <v>0</v>
      </c>
      <c r="Q108" s="161" t="str">
        <f>IFERROR(P108/O108-1,"-")</f>
        <v>-</v>
      </c>
      <c r="R108" s="161">
        <f t="shared" si="73"/>
        <v>0</v>
      </c>
      <c r="S108" s="160">
        <v>116</v>
      </c>
      <c r="T108" s="160">
        <v>778</v>
      </c>
      <c r="U108" s="160">
        <v>386</v>
      </c>
      <c r="V108" s="160">
        <v>489</v>
      </c>
      <c r="W108" s="160">
        <v>607</v>
      </c>
      <c r="X108" s="161">
        <f>IFERROR(W108/V108-1,"-")</f>
        <v>0.24130879345603273</v>
      </c>
      <c r="Y108" s="161">
        <f>W108/W$8</f>
        <v>1.8040509414054954E-3</v>
      </c>
    </row>
    <row r="109" spans="1:25" x14ac:dyDescent="0.25">
      <c r="A109" s="56"/>
      <c r="B109" s="159" t="s">
        <v>100</v>
      </c>
      <c r="C109" s="160">
        <v>0</v>
      </c>
      <c r="D109" s="160">
        <v>0</v>
      </c>
      <c r="E109" s="160">
        <v>0</v>
      </c>
      <c r="F109" s="160">
        <v>0</v>
      </c>
      <c r="G109" s="160">
        <v>0</v>
      </c>
      <c r="H109" s="160">
        <v>0</v>
      </c>
      <c r="I109" s="161" t="str">
        <f>IFERROR(H109/G109-1,"-")</f>
        <v>-</v>
      </c>
      <c r="J109" s="161">
        <f t="shared" si="71"/>
        <v>0</v>
      </c>
      <c r="K109" s="160">
        <v>2425</v>
      </c>
      <c r="L109" s="160">
        <v>0</v>
      </c>
      <c r="M109" s="160">
        <v>0</v>
      </c>
      <c r="N109" s="160">
        <v>0</v>
      </c>
      <c r="O109" s="160">
        <v>0</v>
      </c>
      <c r="P109" s="160">
        <v>0</v>
      </c>
      <c r="Q109" s="161" t="str">
        <f>IFERROR(P109/O109-1,"-")</f>
        <v>-</v>
      </c>
      <c r="R109" s="161">
        <f t="shared" si="73"/>
        <v>0</v>
      </c>
      <c r="S109" s="160">
        <v>2425</v>
      </c>
      <c r="T109" s="160">
        <v>931</v>
      </c>
      <c r="U109" s="160">
        <v>1994</v>
      </c>
      <c r="V109" s="160">
        <v>1636</v>
      </c>
      <c r="W109" s="160">
        <v>1819</v>
      </c>
      <c r="X109" s="161">
        <f>IFERROR(W109/V109-1,"-")</f>
        <v>0.11185819070904635</v>
      </c>
      <c r="Y109" s="161">
        <f>W109/W$8</f>
        <v>5.4062086695495816E-3</v>
      </c>
    </row>
    <row r="110" spans="1:25" x14ac:dyDescent="0.25">
      <c r="A110" s="56"/>
      <c r="B110" s="155" t="s">
        <v>107</v>
      </c>
      <c r="C110" s="156">
        <v>0</v>
      </c>
      <c r="D110" s="156">
        <v>0</v>
      </c>
      <c r="E110" s="156">
        <v>0</v>
      </c>
      <c r="F110" s="156">
        <v>0</v>
      </c>
      <c r="G110" s="156">
        <v>0</v>
      </c>
      <c r="H110" s="156">
        <v>0</v>
      </c>
      <c r="I110" s="157" t="str">
        <f>IFERROR(H110/G110-1,"-")</f>
        <v>-</v>
      </c>
      <c r="J110" s="157">
        <f t="shared" si="71"/>
        <v>0</v>
      </c>
      <c r="K110" s="156">
        <v>6743</v>
      </c>
      <c r="L110" s="156">
        <v>0</v>
      </c>
      <c r="M110" s="156">
        <v>0</v>
      </c>
      <c r="N110" s="156">
        <v>0</v>
      </c>
      <c r="O110" s="156">
        <v>0</v>
      </c>
      <c r="P110" s="156">
        <v>0</v>
      </c>
      <c r="Q110" s="157" t="str">
        <f>IFERROR(P110/O110-1,"-")</f>
        <v>-</v>
      </c>
      <c r="R110" s="157">
        <f t="shared" si="73"/>
        <v>0</v>
      </c>
      <c r="S110" s="156">
        <v>6743</v>
      </c>
      <c r="T110" s="156">
        <v>8177</v>
      </c>
      <c r="U110" s="156">
        <v>11072</v>
      </c>
      <c r="V110" s="156">
        <v>13105</v>
      </c>
      <c r="W110" s="156">
        <v>15758</v>
      </c>
      <c r="X110" s="157">
        <f>IFERROR(W110/V110-1,"-")</f>
        <v>0.20244181610072487</v>
      </c>
      <c r="Y110" s="157">
        <f>W110/W$8</f>
        <v>4.6833994620540026E-2</v>
      </c>
    </row>
    <row r="111" spans="1:25" s="56" customFormat="1" x14ac:dyDescent="0.25">
      <c r="B111" s="159" t="s">
        <v>110</v>
      </c>
      <c r="C111" s="160">
        <v>0</v>
      </c>
      <c r="D111" s="160">
        <v>0</v>
      </c>
      <c r="E111" s="160">
        <v>0</v>
      </c>
      <c r="F111" s="160">
        <v>0</v>
      </c>
      <c r="G111" s="160">
        <v>0</v>
      </c>
      <c r="H111" s="160">
        <v>0</v>
      </c>
      <c r="I111" s="161" t="str">
        <f t="shared" ref="I111:I118" si="74">IFERROR(H111/G111-1,"-")</f>
        <v>-</v>
      </c>
      <c r="J111" s="161">
        <f t="shared" si="71"/>
        <v>0</v>
      </c>
      <c r="K111" s="160">
        <v>3741</v>
      </c>
      <c r="L111" s="160">
        <v>0</v>
      </c>
      <c r="M111" s="160">
        <v>0</v>
      </c>
      <c r="N111" s="160">
        <v>0</v>
      </c>
      <c r="O111" s="160">
        <v>0</v>
      </c>
      <c r="P111" s="160">
        <v>0</v>
      </c>
      <c r="Q111" s="161" t="str">
        <f t="shared" ref="Q111:Q118" si="75">IFERROR(P111/O111-1,"-")</f>
        <v>-</v>
      </c>
      <c r="R111" s="161">
        <f t="shared" si="73"/>
        <v>0</v>
      </c>
      <c r="S111" s="160">
        <v>3741</v>
      </c>
      <c r="T111" s="160">
        <v>3660</v>
      </c>
      <c r="U111" s="160">
        <v>6307</v>
      </c>
      <c r="V111" s="160">
        <v>7383</v>
      </c>
      <c r="W111" s="160">
        <v>8811</v>
      </c>
      <c r="X111" s="161">
        <f t="shared" ref="X111:X118" si="76">IFERROR(W111/V111-1,"-")</f>
        <v>0.19341731003657059</v>
      </c>
      <c r="Y111" s="161">
        <f t="shared" ref="Y111:Y118" si="77">W111/W$8</f>
        <v>2.6186973385047479E-2</v>
      </c>
    </row>
    <row r="112" spans="1:25" s="56" customFormat="1" x14ac:dyDescent="0.25">
      <c r="B112" s="159" t="s">
        <v>113</v>
      </c>
      <c r="C112" s="160">
        <v>0</v>
      </c>
      <c r="D112" s="160">
        <v>0</v>
      </c>
      <c r="E112" s="160">
        <v>0</v>
      </c>
      <c r="F112" s="160">
        <v>0</v>
      </c>
      <c r="G112" s="160">
        <v>0</v>
      </c>
      <c r="H112" s="160">
        <v>0</v>
      </c>
      <c r="I112" s="161" t="str">
        <f t="shared" si="74"/>
        <v>-</v>
      </c>
      <c r="J112" s="161">
        <f t="shared" si="71"/>
        <v>0</v>
      </c>
      <c r="K112" s="160">
        <v>570</v>
      </c>
      <c r="L112" s="160">
        <v>0</v>
      </c>
      <c r="M112" s="160">
        <v>0</v>
      </c>
      <c r="N112" s="160">
        <v>0</v>
      </c>
      <c r="O112" s="160">
        <v>0</v>
      </c>
      <c r="P112" s="160">
        <v>0</v>
      </c>
      <c r="Q112" s="161" t="str">
        <f t="shared" si="75"/>
        <v>-</v>
      </c>
      <c r="R112" s="161">
        <f t="shared" si="73"/>
        <v>0</v>
      </c>
      <c r="S112" s="160">
        <v>570</v>
      </c>
      <c r="T112" s="160">
        <v>596</v>
      </c>
      <c r="U112" s="160">
        <v>704</v>
      </c>
      <c r="V112" s="160">
        <v>892</v>
      </c>
      <c r="W112" s="160">
        <v>760</v>
      </c>
      <c r="X112" s="161">
        <f t="shared" si="76"/>
        <v>-0.14798206278026904</v>
      </c>
      <c r="Y112" s="161">
        <f t="shared" si="77"/>
        <v>2.2587787734236844E-3</v>
      </c>
    </row>
    <row r="113" spans="1:25" x14ac:dyDescent="0.25">
      <c r="A113" s="56"/>
      <c r="B113" s="159" t="s">
        <v>116</v>
      </c>
      <c r="C113" s="160">
        <v>0</v>
      </c>
      <c r="D113" s="160">
        <v>0</v>
      </c>
      <c r="E113" s="160">
        <v>0</v>
      </c>
      <c r="F113" s="160">
        <v>0</v>
      </c>
      <c r="G113" s="160">
        <v>0</v>
      </c>
      <c r="H113" s="160">
        <v>0</v>
      </c>
      <c r="I113" s="161" t="str">
        <f t="shared" si="74"/>
        <v>-</v>
      </c>
      <c r="J113" s="161">
        <f t="shared" si="71"/>
        <v>0</v>
      </c>
      <c r="K113" s="160">
        <v>330</v>
      </c>
      <c r="L113" s="160">
        <v>0</v>
      </c>
      <c r="M113" s="160">
        <v>0</v>
      </c>
      <c r="N113" s="160">
        <v>0</v>
      </c>
      <c r="O113" s="160">
        <v>0</v>
      </c>
      <c r="P113" s="160">
        <v>0</v>
      </c>
      <c r="Q113" s="161" t="str">
        <f t="shared" si="75"/>
        <v>-</v>
      </c>
      <c r="R113" s="161">
        <f t="shared" si="73"/>
        <v>0</v>
      </c>
      <c r="S113" s="160">
        <v>330</v>
      </c>
      <c r="T113" s="160">
        <v>516</v>
      </c>
      <c r="U113" s="160">
        <v>718</v>
      </c>
      <c r="V113" s="160">
        <v>726</v>
      </c>
      <c r="W113" s="160">
        <v>1101</v>
      </c>
      <c r="X113" s="161">
        <f t="shared" si="76"/>
        <v>0.51652892561983466</v>
      </c>
      <c r="Y113" s="161">
        <f t="shared" si="77"/>
        <v>3.2722571441308902E-3</v>
      </c>
    </row>
    <row r="114" spans="1:25" x14ac:dyDescent="0.25">
      <c r="A114" s="56"/>
      <c r="B114" s="159" t="s">
        <v>123</v>
      </c>
      <c r="C114" s="160">
        <v>0</v>
      </c>
      <c r="D114" s="160">
        <v>0</v>
      </c>
      <c r="E114" s="160">
        <v>0</v>
      </c>
      <c r="F114" s="160">
        <v>0</v>
      </c>
      <c r="G114" s="160">
        <v>0</v>
      </c>
      <c r="H114" s="160">
        <v>0</v>
      </c>
      <c r="I114" s="161" t="str">
        <f t="shared" si="74"/>
        <v>-</v>
      </c>
      <c r="J114" s="161">
        <f t="shared" si="71"/>
        <v>0</v>
      </c>
      <c r="K114" s="160">
        <v>220</v>
      </c>
      <c r="L114" s="160">
        <v>0</v>
      </c>
      <c r="M114" s="160">
        <v>0</v>
      </c>
      <c r="N114" s="160">
        <v>0</v>
      </c>
      <c r="O114" s="160">
        <v>0</v>
      </c>
      <c r="P114" s="160">
        <v>0</v>
      </c>
      <c r="Q114" s="161" t="str">
        <f t="shared" si="75"/>
        <v>-</v>
      </c>
      <c r="R114" s="161">
        <f t="shared" si="73"/>
        <v>0</v>
      </c>
      <c r="S114" s="160">
        <v>220</v>
      </c>
      <c r="T114" s="160">
        <v>603</v>
      </c>
      <c r="U114" s="160">
        <v>494</v>
      </c>
      <c r="V114" s="160">
        <v>656</v>
      </c>
      <c r="W114" s="160">
        <v>636</v>
      </c>
      <c r="X114" s="161">
        <f t="shared" si="76"/>
        <v>-3.0487804878048808E-2</v>
      </c>
      <c r="Y114" s="161">
        <f t="shared" si="77"/>
        <v>1.8902411840756095E-3</v>
      </c>
    </row>
    <row r="115" spans="1:25" x14ac:dyDescent="0.25">
      <c r="A115" s="56"/>
      <c r="B115" s="159" t="s">
        <v>119</v>
      </c>
      <c r="C115" s="160">
        <v>0</v>
      </c>
      <c r="D115" s="160">
        <v>0</v>
      </c>
      <c r="E115" s="160">
        <v>0</v>
      </c>
      <c r="F115" s="160">
        <v>0</v>
      </c>
      <c r="G115" s="160">
        <v>0</v>
      </c>
      <c r="H115" s="160">
        <v>0</v>
      </c>
      <c r="I115" s="161" t="str">
        <f t="shared" si="74"/>
        <v>-</v>
      </c>
      <c r="J115" s="161">
        <f t="shared" si="71"/>
        <v>0</v>
      </c>
      <c r="K115" s="160">
        <v>211</v>
      </c>
      <c r="L115" s="160">
        <v>0</v>
      </c>
      <c r="M115" s="160">
        <v>0</v>
      </c>
      <c r="N115" s="160">
        <v>0</v>
      </c>
      <c r="O115" s="160">
        <v>0</v>
      </c>
      <c r="P115" s="160">
        <v>0</v>
      </c>
      <c r="Q115" s="161" t="str">
        <f t="shared" si="75"/>
        <v>-</v>
      </c>
      <c r="R115" s="161">
        <f t="shared" si="73"/>
        <v>0</v>
      </c>
      <c r="S115" s="160">
        <v>211</v>
      </c>
      <c r="T115" s="160">
        <v>426</v>
      </c>
      <c r="U115" s="160">
        <v>440</v>
      </c>
      <c r="V115" s="160">
        <v>452</v>
      </c>
      <c r="W115" s="160">
        <v>377</v>
      </c>
      <c r="X115" s="161">
        <f t="shared" si="76"/>
        <v>-0.16592920353982299</v>
      </c>
      <c r="Y115" s="161">
        <f t="shared" si="77"/>
        <v>1.1204731547114857E-3</v>
      </c>
    </row>
    <row r="116" spans="1:25" x14ac:dyDescent="0.25">
      <c r="A116" s="56"/>
      <c r="B116" s="159" t="s">
        <v>128</v>
      </c>
      <c r="C116" s="160">
        <v>0</v>
      </c>
      <c r="D116" s="160">
        <v>0</v>
      </c>
      <c r="E116" s="160">
        <v>0</v>
      </c>
      <c r="F116" s="160">
        <v>0</v>
      </c>
      <c r="G116" s="160">
        <v>0</v>
      </c>
      <c r="H116" s="160">
        <v>0</v>
      </c>
      <c r="I116" s="161" t="str">
        <f t="shared" si="74"/>
        <v>-</v>
      </c>
      <c r="J116" s="161">
        <f t="shared" si="71"/>
        <v>0</v>
      </c>
      <c r="K116" s="160">
        <v>81</v>
      </c>
      <c r="L116" s="160">
        <v>0</v>
      </c>
      <c r="M116" s="160">
        <v>0</v>
      </c>
      <c r="N116" s="160">
        <v>0</v>
      </c>
      <c r="O116" s="160">
        <v>0</v>
      </c>
      <c r="P116" s="160">
        <v>0</v>
      </c>
      <c r="Q116" s="161" t="str">
        <f t="shared" si="75"/>
        <v>-</v>
      </c>
      <c r="R116" s="161">
        <f t="shared" si="73"/>
        <v>0</v>
      </c>
      <c r="S116" s="160">
        <v>81</v>
      </c>
      <c r="T116" s="160">
        <v>84</v>
      </c>
      <c r="U116" s="160">
        <v>132</v>
      </c>
      <c r="V116" s="160">
        <v>164</v>
      </c>
      <c r="W116" s="160">
        <v>191</v>
      </c>
      <c r="X116" s="161">
        <f t="shared" si="76"/>
        <v>0.16463414634146334</v>
      </c>
      <c r="Y116" s="161">
        <f t="shared" si="77"/>
        <v>5.676667706893733E-4</v>
      </c>
    </row>
    <row r="117" spans="1:25" x14ac:dyDescent="0.25">
      <c r="A117" s="56"/>
      <c r="B117" s="159" t="s">
        <v>131</v>
      </c>
      <c r="C117" s="160">
        <v>0</v>
      </c>
      <c r="D117" s="160">
        <v>0</v>
      </c>
      <c r="E117" s="160">
        <v>0</v>
      </c>
      <c r="F117" s="160">
        <v>0</v>
      </c>
      <c r="G117" s="160">
        <v>0</v>
      </c>
      <c r="H117" s="160">
        <v>0</v>
      </c>
      <c r="I117" s="161" t="str">
        <f t="shared" si="74"/>
        <v>-</v>
      </c>
      <c r="J117" s="161">
        <f t="shared" si="71"/>
        <v>0</v>
      </c>
      <c r="K117" s="160">
        <v>199</v>
      </c>
      <c r="L117" s="160">
        <v>0</v>
      </c>
      <c r="M117" s="160">
        <v>0</v>
      </c>
      <c r="N117" s="160">
        <v>0</v>
      </c>
      <c r="O117" s="160">
        <v>0</v>
      </c>
      <c r="P117" s="160">
        <v>0</v>
      </c>
      <c r="Q117" s="161" t="str">
        <f t="shared" si="75"/>
        <v>-</v>
      </c>
      <c r="R117" s="161">
        <f t="shared" si="73"/>
        <v>0</v>
      </c>
      <c r="S117" s="160">
        <v>199</v>
      </c>
      <c r="T117" s="160">
        <v>217</v>
      </c>
      <c r="U117" s="160">
        <v>159</v>
      </c>
      <c r="V117" s="160">
        <v>258</v>
      </c>
      <c r="W117" s="160">
        <v>182</v>
      </c>
      <c r="X117" s="161">
        <f t="shared" si="76"/>
        <v>-0.29457364341085268</v>
      </c>
      <c r="Y117" s="161">
        <f t="shared" si="77"/>
        <v>5.4091807468830343E-4</v>
      </c>
    </row>
    <row r="118" spans="1:25" x14ac:dyDescent="0.25">
      <c r="A118" s="56"/>
      <c r="B118" s="164" t="s">
        <v>145</v>
      </c>
      <c r="C118" s="165">
        <f t="shared" ref="C118:H118" si="78">C110-SUM(C111:C117)</f>
        <v>0</v>
      </c>
      <c r="D118" s="165">
        <f t="shared" si="78"/>
        <v>0</v>
      </c>
      <c r="E118" s="165">
        <f t="shared" si="78"/>
        <v>0</v>
      </c>
      <c r="F118" s="165">
        <f t="shared" si="78"/>
        <v>0</v>
      </c>
      <c r="G118" s="165">
        <f t="shared" si="78"/>
        <v>0</v>
      </c>
      <c r="H118" s="165">
        <f t="shared" si="78"/>
        <v>0</v>
      </c>
      <c r="I118" s="166" t="str">
        <f t="shared" si="74"/>
        <v>-</v>
      </c>
      <c r="J118" s="166">
        <f t="shared" si="71"/>
        <v>0</v>
      </c>
      <c r="K118" s="165">
        <f t="shared" ref="K118:P118" si="79">K110-SUM(K111:K117)</f>
        <v>1391</v>
      </c>
      <c r="L118" s="165">
        <f t="shared" si="79"/>
        <v>0</v>
      </c>
      <c r="M118" s="165">
        <f t="shared" si="79"/>
        <v>0</v>
      </c>
      <c r="N118" s="165">
        <f t="shared" si="79"/>
        <v>0</v>
      </c>
      <c r="O118" s="165">
        <f t="shared" si="79"/>
        <v>0</v>
      </c>
      <c r="P118" s="165">
        <f t="shared" si="79"/>
        <v>0</v>
      </c>
      <c r="Q118" s="166" t="str">
        <f t="shared" si="75"/>
        <v>-</v>
      </c>
      <c r="R118" s="166">
        <f t="shared" si="73"/>
        <v>0</v>
      </c>
      <c r="S118" s="165">
        <f>S110-SUM(S111:S117)</f>
        <v>1391</v>
      </c>
      <c r="T118" s="165">
        <f>T110-SUM(T111:T117)</f>
        <v>2075</v>
      </c>
      <c r="U118" s="165">
        <f>U110-SUM(U111:U117)</f>
        <v>2118</v>
      </c>
      <c r="V118" s="165">
        <f>V110-SUM(V111:V117)</f>
        <v>2574</v>
      </c>
      <c r="W118" s="165">
        <f>W110-SUM(W111:W117)</f>
        <v>3700</v>
      </c>
      <c r="X118" s="166">
        <f t="shared" si="76"/>
        <v>0.43745143745143755</v>
      </c>
      <c r="Y118" s="166">
        <f t="shared" si="77"/>
        <v>1.0996686133773201E-2</v>
      </c>
    </row>
    <row r="119" spans="1:25" x14ac:dyDescent="0.25">
      <c r="A119" s="56"/>
      <c r="B119" s="151" t="s">
        <v>51</v>
      </c>
      <c r="C119" s="149"/>
      <c r="D119" s="149"/>
      <c r="E119" s="149"/>
      <c r="F119" s="149"/>
      <c r="G119" s="149"/>
      <c r="H119" s="149"/>
      <c r="I119" s="149"/>
      <c r="J119" s="149"/>
      <c r="K119" s="149"/>
      <c r="L119" s="149"/>
      <c r="M119" s="149"/>
      <c r="N119" s="149"/>
      <c r="O119" s="149"/>
      <c r="P119" s="149"/>
      <c r="Q119" s="149"/>
      <c r="R119" s="149"/>
      <c r="S119" s="149"/>
      <c r="T119" s="149"/>
      <c r="U119" s="149"/>
      <c r="V119" s="149"/>
      <c r="W119" s="149"/>
      <c r="X119" s="149"/>
      <c r="Y119" s="149"/>
    </row>
    <row r="120" spans="1:25" x14ac:dyDescent="0.25">
      <c r="A120" s="56"/>
      <c r="B120" s="152" t="s">
        <v>68</v>
      </c>
      <c r="C120" s="172">
        <f t="shared" ref="C120:H120" si="80">C121+C124</f>
        <v>10604</v>
      </c>
      <c r="D120" s="172">
        <f t="shared" si="80"/>
        <v>3019</v>
      </c>
      <c r="E120" s="172">
        <f t="shared" si="80"/>
        <v>5698</v>
      </c>
      <c r="F120" s="172">
        <f t="shared" si="80"/>
        <v>9600</v>
      </c>
      <c r="G120" s="172">
        <f t="shared" si="80"/>
        <v>10154</v>
      </c>
      <c r="H120" s="172">
        <f t="shared" si="80"/>
        <v>9098</v>
      </c>
      <c r="I120" s="173">
        <f>IFERROR(H120/G120-1,"-")</f>
        <v>-0.10399842426629902</v>
      </c>
      <c r="J120" s="173">
        <f t="shared" ref="J120:J132" si="81">H120/H$8</f>
        <v>0.14198985563792429</v>
      </c>
      <c r="K120" s="172">
        <f t="shared" ref="K120:P120" si="82">K121+K124</f>
        <v>9949</v>
      </c>
      <c r="L120" s="172">
        <f t="shared" si="82"/>
        <v>1748</v>
      </c>
      <c r="M120" s="172">
        <f t="shared" si="82"/>
        <v>8448</v>
      </c>
      <c r="N120" s="172">
        <f t="shared" si="82"/>
        <v>14009</v>
      </c>
      <c r="O120" s="172">
        <f t="shared" si="82"/>
        <v>13713</v>
      </c>
      <c r="P120" s="172">
        <f t="shared" si="82"/>
        <v>15504</v>
      </c>
      <c r="Q120" s="173">
        <f>IFERROR(P120/O120-1,"-")</f>
        <v>0.13060599431196684</v>
      </c>
      <c r="R120" s="173">
        <f t="shared" ref="R120:R132" si="83">P120/P$8</f>
        <v>5.6918389074488783E-2</v>
      </c>
      <c r="S120" s="172">
        <f>S121+S124</f>
        <v>20553</v>
      </c>
      <c r="T120" s="172">
        <f>T121+T124</f>
        <v>14146</v>
      </c>
      <c r="U120" s="172">
        <f>U121+U124</f>
        <v>23609</v>
      </c>
      <c r="V120" s="172">
        <f>V121+V124</f>
        <v>23867</v>
      </c>
      <c r="W120" s="172">
        <f>W121+W124</f>
        <v>24602</v>
      </c>
      <c r="X120" s="173">
        <f>IFERROR(W120/V120-1,"-")</f>
        <v>3.0795659278501697E-2</v>
      </c>
      <c r="Y120" s="173">
        <f>W120/W$8</f>
        <v>7.3119046557591424E-2</v>
      </c>
    </row>
    <row r="121" spans="1:25" x14ac:dyDescent="0.25">
      <c r="A121" s="56"/>
      <c r="B121" s="155" t="s">
        <v>97</v>
      </c>
      <c r="C121" s="156">
        <v>4747</v>
      </c>
      <c r="D121" s="156">
        <v>1444</v>
      </c>
      <c r="E121" s="156">
        <v>2729</v>
      </c>
      <c r="F121" s="156">
        <v>4334</v>
      </c>
      <c r="G121" s="156">
        <v>5694</v>
      </c>
      <c r="H121" s="156">
        <v>4119</v>
      </c>
      <c r="I121" s="157">
        <f>IFERROR(H121/G121-1,"-")</f>
        <v>-0.27660695468914642</v>
      </c>
      <c r="J121" s="157">
        <f t="shared" si="81"/>
        <v>6.428404213811939E-2</v>
      </c>
      <c r="K121" s="156">
        <v>5042</v>
      </c>
      <c r="L121" s="156">
        <v>1154</v>
      </c>
      <c r="M121" s="156">
        <v>3844</v>
      </c>
      <c r="N121" s="156">
        <v>6118</v>
      </c>
      <c r="O121" s="156">
        <v>6206</v>
      </c>
      <c r="P121" s="156">
        <v>7797</v>
      </c>
      <c r="Q121" s="157">
        <f>IFERROR(P121/O121-1,"-")</f>
        <v>0.25636480825008068</v>
      </c>
      <c r="R121" s="157">
        <f t="shared" si="83"/>
        <v>2.8624398839898674E-2</v>
      </c>
      <c r="S121" s="156">
        <v>9789</v>
      </c>
      <c r="T121" s="156">
        <v>6573</v>
      </c>
      <c r="U121" s="156">
        <v>10452</v>
      </c>
      <c r="V121" s="156">
        <v>11900</v>
      </c>
      <c r="W121" s="156">
        <v>11916</v>
      </c>
      <c r="X121" s="157">
        <f>IFERROR(W121/V121-1,"-")</f>
        <v>1.3445378151260012E-3</v>
      </c>
      <c r="Y121" s="157">
        <f>W121/W$8</f>
        <v>3.5415273505416608E-2</v>
      </c>
    </row>
    <row r="122" spans="1:25" x14ac:dyDescent="0.25">
      <c r="A122" s="56"/>
      <c r="B122" s="159" t="s">
        <v>103</v>
      </c>
      <c r="C122" s="160">
        <v>2561</v>
      </c>
      <c r="D122" s="160">
        <v>588</v>
      </c>
      <c r="E122" s="160">
        <v>1157</v>
      </c>
      <c r="F122" s="160">
        <v>2214</v>
      </c>
      <c r="G122" s="160">
        <v>3338</v>
      </c>
      <c r="H122" s="160">
        <v>1744</v>
      </c>
      <c r="I122" s="161">
        <f>IFERROR(H122/G122-1,"-")</f>
        <v>-0.47753145596165369</v>
      </c>
      <c r="J122" s="161">
        <f t="shared" si="81"/>
        <v>2.7218103784627391E-2</v>
      </c>
      <c r="K122" s="160">
        <v>2481</v>
      </c>
      <c r="L122" s="160">
        <v>598</v>
      </c>
      <c r="M122" s="160">
        <v>1499</v>
      </c>
      <c r="N122" s="160">
        <v>2788</v>
      </c>
      <c r="O122" s="160">
        <v>2058</v>
      </c>
      <c r="P122" s="160">
        <v>3147</v>
      </c>
      <c r="Q122" s="161">
        <f>IFERROR(P122/O122-1,"-")</f>
        <v>0.52915451895043741</v>
      </c>
      <c r="R122" s="161">
        <f t="shared" si="83"/>
        <v>1.155328756562282E-2</v>
      </c>
      <c r="S122" s="160">
        <v>5042</v>
      </c>
      <c r="T122" s="160">
        <v>2656</v>
      </c>
      <c r="U122" s="160">
        <v>5002</v>
      </c>
      <c r="V122" s="160">
        <v>5396</v>
      </c>
      <c r="W122" s="160">
        <v>4891</v>
      </c>
      <c r="X122" s="161">
        <f>IFERROR(W122/V122-1,"-")</f>
        <v>-9.3587842846552971E-2</v>
      </c>
      <c r="Y122" s="161">
        <f>W122/W$8</f>
        <v>1.453643023791479E-2</v>
      </c>
    </row>
    <row r="123" spans="1:25" x14ac:dyDescent="0.25">
      <c r="A123" s="56"/>
      <c r="B123" s="159" t="s">
        <v>100</v>
      </c>
      <c r="C123" s="160">
        <v>2186</v>
      </c>
      <c r="D123" s="160">
        <v>856</v>
      </c>
      <c r="E123" s="160">
        <v>1572</v>
      </c>
      <c r="F123" s="160">
        <v>2120</v>
      </c>
      <c r="G123" s="160">
        <v>2356</v>
      </c>
      <c r="H123" s="160">
        <v>2375</v>
      </c>
      <c r="I123" s="161">
        <f>IFERROR(H123/G123-1,"-")</f>
        <v>8.0645161290322509E-3</v>
      </c>
      <c r="J123" s="161">
        <f t="shared" si="81"/>
        <v>3.7065938353491999E-2</v>
      </c>
      <c r="K123" s="160">
        <v>2561</v>
      </c>
      <c r="L123" s="160">
        <v>556</v>
      </c>
      <c r="M123" s="160">
        <v>2345</v>
      </c>
      <c r="N123" s="160">
        <v>3330</v>
      </c>
      <c r="O123" s="160">
        <v>4148</v>
      </c>
      <c r="P123" s="160">
        <v>4650</v>
      </c>
      <c r="Q123" s="161">
        <f>IFERROR(P123/O123-1,"-")</f>
        <v>0.12102217936354864</v>
      </c>
      <c r="R123" s="161">
        <f t="shared" si="83"/>
        <v>1.7071111274275855E-2</v>
      </c>
      <c r="S123" s="160">
        <v>4747</v>
      </c>
      <c r="T123" s="160">
        <v>3917</v>
      </c>
      <c r="U123" s="160">
        <v>5450</v>
      </c>
      <c r="V123" s="160">
        <v>6504</v>
      </c>
      <c r="W123" s="160">
        <v>7025</v>
      </c>
      <c r="X123" s="161">
        <f>IFERROR(W123/V123-1,"-")</f>
        <v>8.0104551045510508E-2</v>
      </c>
      <c r="Y123" s="161">
        <f>W123/W$8</f>
        <v>2.087884326750182E-2</v>
      </c>
    </row>
    <row r="124" spans="1:25" x14ac:dyDescent="0.25">
      <c r="A124" s="56"/>
      <c r="B124" s="155" t="s">
        <v>107</v>
      </c>
      <c r="C124" s="156">
        <v>5857</v>
      </c>
      <c r="D124" s="156">
        <v>1575</v>
      </c>
      <c r="E124" s="156">
        <v>2969</v>
      </c>
      <c r="F124" s="156">
        <v>5266</v>
      </c>
      <c r="G124" s="156">
        <v>4460</v>
      </c>
      <c r="H124" s="156">
        <v>4979</v>
      </c>
      <c r="I124" s="157">
        <f>IFERROR(H124/G124-1,"-")</f>
        <v>0.11636771300448423</v>
      </c>
      <c r="J124" s="157">
        <f t="shared" si="81"/>
        <v>7.7705813499804918E-2</v>
      </c>
      <c r="K124" s="156">
        <v>4907</v>
      </c>
      <c r="L124" s="156">
        <v>594</v>
      </c>
      <c r="M124" s="156">
        <v>4604</v>
      </c>
      <c r="N124" s="156">
        <v>7891</v>
      </c>
      <c r="O124" s="156">
        <v>7507</v>
      </c>
      <c r="P124" s="156">
        <v>7707</v>
      </c>
      <c r="Q124" s="157">
        <f>IFERROR(P124/O124-1,"-")</f>
        <v>2.6641800985746533E-2</v>
      </c>
      <c r="R124" s="157">
        <f t="shared" si="83"/>
        <v>2.8293990234590109E-2</v>
      </c>
      <c r="S124" s="156">
        <v>10764</v>
      </c>
      <c r="T124" s="156">
        <v>7573</v>
      </c>
      <c r="U124" s="156">
        <v>13157</v>
      </c>
      <c r="V124" s="156">
        <v>11967</v>
      </c>
      <c r="W124" s="156">
        <v>12686</v>
      </c>
      <c r="X124" s="157">
        <f>IFERROR(W124/V124-1,"-")</f>
        <v>6.0081891869307347E-2</v>
      </c>
      <c r="Y124" s="157">
        <f>W124/W$8</f>
        <v>3.7703773052174816E-2</v>
      </c>
    </row>
    <row r="125" spans="1:25" s="56" customFormat="1" x14ac:dyDescent="0.25">
      <c r="B125" s="159" t="s">
        <v>110</v>
      </c>
      <c r="C125" s="160">
        <v>441</v>
      </c>
      <c r="D125" s="160">
        <v>26</v>
      </c>
      <c r="E125" s="160">
        <v>180</v>
      </c>
      <c r="F125" s="160">
        <v>385</v>
      </c>
      <c r="G125" s="160">
        <v>354</v>
      </c>
      <c r="H125" s="160">
        <v>325</v>
      </c>
      <c r="I125" s="161">
        <f t="shared" ref="I125:I132" si="84">IFERROR(H125/G125-1,"-")</f>
        <v>-8.1920903954802227E-2</v>
      </c>
      <c r="J125" s="161">
        <f t="shared" si="81"/>
        <v>5.0721810378462741E-3</v>
      </c>
      <c r="K125" s="160">
        <v>848</v>
      </c>
      <c r="L125" s="160">
        <v>26</v>
      </c>
      <c r="M125" s="160">
        <v>625</v>
      </c>
      <c r="N125" s="160">
        <v>1298</v>
      </c>
      <c r="O125" s="160">
        <v>1215</v>
      </c>
      <c r="P125" s="160">
        <v>1302</v>
      </c>
      <c r="Q125" s="161">
        <f t="shared" ref="Q125:Q132" si="85">IFERROR(P125/O125-1,"-")</f>
        <v>7.1604938271604857E-2</v>
      </c>
      <c r="R125" s="161">
        <f t="shared" si="83"/>
        <v>4.7799111567972397E-3</v>
      </c>
      <c r="S125" s="160">
        <v>1289</v>
      </c>
      <c r="T125" s="160">
        <v>805</v>
      </c>
      <c r="U125" s="160">
        <v>1683</v>
      </c>
      <c r="V125" s="160">
        <v>1569</v>
      </c>
      <c r="W125" s="160">
        <v>1627</v>
      </c>
      <c r="X125" s="161">
        <f t="shared" ref="X125:X132" si="86">IFERROR(W125/V125-1,"-")</f>
        <v>3.696622052262577E-2</v>
      </c>
      <c r="Y125" s="161">
        <f t="shared" ref="Y125:Y132" si="87">W125/W$8</f>
        <v>4.835569821526756E-3</v>
      </c>
    </row>
    <row r="126" spans="1:25" s="56" customFormat="1" x14ac:dyDescent="0.25">
      <c r="B126" s="159" t="s">
        <v>113</v>
      </c>
      <c r="C126" s="160">
        <v>475</v>
      </c>
      <c r="D126" s="160">
        <v>141</v>
      </c>
      <c r="E126" s="160">
        <v>346</v>
      </c>
      <c r="F126" s="160">
        <v>750</v>
      </c>
      <c r="G126" s="160">
        <v>781</v>
      </c>
      <c r="H126" s="160">
        <v>925</v>
      </c>
      <c r="I126" s="161">
        <f t="shared" si="84"/>
        <v>0.18437900128040963</v>
      </c>
      <c r="J126" s="161">
        <f t="shared" si="81"/>
        <v>1.443620756925478E-2</v>
      </c>
      <c r="K126" s="160">
        <v>806</v>
      </c>
      <c r="L126" s="160">
        <v>93</v>
      </c>
      <c r="M126" s="160">
        <v>605</v>
      </c>
      <c r="N126" s="160">
        <v>1425</v>
      </c>
      <c r="O126" s="160">
        <v>1183</v>
      </c>
      <c r="P126" s="160">
        <v>1374</v>
      </c>
      <c r="Q126" s="161">
        <f t="shared" si="85"/>
        <v>0.16145393068469982</v>
      </c>
      <c r="R126" s="161">
        <f t="shared" si="83"/>
        <v>5.0442380410440912E-3</v>
      </c>
      <c r="S126" s="160">
        <v>1281</v>
      </c>
      <c r="T126" s="160">
        <v>951</v>
      </c>
      <c r="U126" s="160">
        <v>2175</v>
      </c>
      <c r="V126" s="160">
        <v>1964</v>
      </c>
      <c r="W126" s="160">
        <v>2299</v>
      </c>
      <c r="X126" s="161">
        <f t="shared" si="86"/>
        <v>0.17057026476578407</v>
      </c>
      <c r="Y126" s="161">
        <f t="shared" si="87"/>
        <v>6.8328057896066456E-3</v>
      </c>
    </row>
    <row r="127" spans="1:25" x14ac:dyDescent="0.25">
      <c r="A127" s="56"/>
      <c r="B127" s="159" t="s">
        <v>116</v>
      </c>
      <c r="C127" s="160">
        <v>366</v>
      </c>
      <c r="D127" s="160">
        <v>127</v>
      </c>
      <c r="E127" s="160">
        <v>196</v>
      </c>
      <c r="F127" s="160">
        <v>365</v>
      </c>
      <c r="G127" s="160">
        <v>332</v>
      </c>
      <c r="H127" s="160">
        <v>364</v>
      </c>
      <c r="I127" s="161">
        <f t="shared" si="84"/>
        <v>9.6385542168674787E-2</v>
      </c>
      <c r="J127" s="161">
        <f t="shared" si="81"/>
        <v>5.6808427623878267E-3</v>
      </c>
      <c r="K127" s="160">
        <v>335</v>
      </c>
      <c r="L127" s="160">
        <v>127</v>
      </c>
      <c r="M127" s="160">
        <v>463</v>
      </c>
      <c r="N127" s="160">
        <v>660</v>
      </c>
      <c r="O127" s="160">
        <v>519</v>
      </c>
      <c r="P127" s="160">
        <v>494</v>
      </c>
      <c r="Q127" s="161">
        <f t="shared" si="85"/>
        <v>-4.8169556840077066E-2</v>
      </c>
      <c r="R127" s="161">
        <f t="shared" si="83"/>
        <v>1.8135761224714563E-3</v>
      </c>
      <c r="S127" s="160">
        <v>701</v>
      </c>
      <c r="T127" s="160">
        <v>659</v>
      </c>
      <c r="U127" s="160">
        <v>1025</v>
      </c>
      <c r="V127" s="160">
        <v>851</v>
      </c>
      <c r="W127" s="160">
        <v>858</v>
      </c>
      <c r="X127" s="161">
        <f t="shared" si="86"/>
        <v>8.2256169212691077E-3</v>
      </c>
      <c r="Y127" s="161">
        <f t="shared" si="87"/>
        <v>2.5500423521020018E-3</v>
      </c>
    </row>
    <row r="128" spans="1:25" x14ac:dyDescent="0.25">
      <c r="A128" s="56"/>
      <c r="B128" s="159" t="s">
        <v>123</v>
      </c>
      <c r="C128" s="160">
        <v>126</v>
      </c>
      <c r="D128" s="160">
        <v>19</v>
      </c>
      <c r="E128" s="160">
        <v>90</v>
      </c>
      <c r="F128" s="160">
        <v>104</v>
      </c>
      <c r="G128" s="160">
        <v>65</v>
      </c>
      <c r="H128" s="160">
        <v>160</v>
      </c>
      <c r="I128" s="161">
        <f t="shared" si="84"/>
        <v>1.4615384615384617</v>
      </c>
      <c r="J128" s="161">
        <f t="shared" si="81"/>
        <v>2.497073741708935E-3</v>
      </c>
      <c r="K128" s="160">
        <v>105</v>
      </c>
      <c r="L128" s="160">
        <v>19</v>
      </c>
      <c r="M128" s="160">
        <v>180</v>
      </c>
      <c r="N128" s="160">
        <v>193</v>
      </c>
      <c r="O128" s="160">
        <v>208</v>
      </c>
      <c r="P128" s="160">
        <v>216</v>
      </c>
      <c r="Q128" s="161">
        <f t="shared" si="85"/>
        <v>3.8461538461538547E-2</v>
      </c>
      <c r="R128" s="161">
        <f t="shared" si="83"/>
        <v>7.9298065274055582E-4</v>
      </c>
      <c r="S128" s="160">
        <v>231</v>
      </c>
      <c r="T128" s="160">
        <v>270</v>
      </c>
      <c r="U128" s="160">
        <v>297</v>
      </c>
      <c r="V128" s="160">
        <v>273</v>
      </c>
      <c r="W128" s="160">
        <v>376</v>
      </c>
      <c r="X128" s="161">
        <f t="shared" si="86"/>
        <v>0.37728937728937728</v>
      </c>
      <c r="Y128" s="161">
        <f t="shared" si="87"/>
        <v>1.1175010773780334E-3</v>
      </c>
    </row>
    <row r="129" spans="1:25" x14ac:dyDescent="0.25">
      <c r="A129" s="56"/>
      <c r="B129" s="159" t="s">
        <v>119</v>
      </c>
      <c r="C129" s="160">
        <v>88</v>
      </c>
      <c r="D129" s="160">
        <v>18</v>
      </c>
      <c r="E129" s="160">
        <v>68</v>
      </c>
      <c r="F129" s="160">
        <v>88</v>
      </c>
      <c r="G129" s="160">
        <v>99</v>
      </c>
      <c r="H129" s="160">
        <v>93</v>
      </c>
      <c r="I129" s="161">
        <f t="shared" si="84"/>
        <v>-6.0606060606060552E-2</v>
      </c>
      <c r="J129" s="161">
        <f t="shared" si="81"/>
        <v>1.4514241123683184E-3</v>
      </c>
      <c r="K129" s="160">
        <v>134</v>
      </c>
      <c r="L129" s="160">
        <v>25</v>
      </c>
      <c r="M129" s="160">
        <v>102</v>
      </c>
      <c r="N129" s="160">
        <v>151</v>
      </c>
      <c r="O129" s="160">
        <v>178</v>
      </c>
      <c r="P129" s="160">
        <v>230</v>
      </c>
      <c r="Q129" s="161">
        <f t="shared" si="85"/>
        <v>0.2921348314606742</v>
      </c>
      <c r="R129" s="161">
        <f t="shared" si="83"/>
        <v>8.4437754689966596E-4</v>
      </c>
      <c r="S129" s="160">
        <v>222</v>
      </c>
      <c r="T129" s="160">
        <v>170</v>
      </c>
      <c r="U129" s="160">
        <v>239</v>
      </c>
      <c r="V129" s="160">
        <v>277</v>
      </c>
      <c r="W129" s="160">
        <v>323</v>
      </c>
      <c r="X129" s="161">
        <f t="shared" si="86"/>
        <v>0.1660649819494584</v>
      </c>
      <c r="Y129" s="161">
        <f t="shared" si="87"/>
        <v>9.5998097870506592E-4</v>
      </c>
    </row>
    <row r="130" spans="1:25" x14ac:dyDescent="0.25">
      <c r="A130" s="56"/>
      <c r="B130" s="159" t="s">
        <v>128</v>
      </c>
      <c r="C130" s="160">
        <v>71</v>
      </c>
      <c r="D130" s="160">
        <v>1</v>
      </c>
      <c r="E130" s="160">
        <v>48</v>
      </c>
      <c r="F130" s="160">
        <v>35</v>
      </c>
      <c r="G130" s="160">
        <v>89</v>
      </c>
      <c r="H130" s="160">
        <v>60</v>
      </c>
      <c r="I130" s="161">
        <f t="shared" si="84"/>
        <v>-0.3258426966292135</v>
      </c>
      <c r="J130" s="161">
        <f t="shared" si="81"/>
        <v>9.3640265314085056E-4</v>
      </c>
      <c r="K130" s="160">
        <v>230</v>
      </c>
      <c r="L130" s="160">
        <v>1</v>
      </c>
      <c r="M130" s="160">
        <v>120</v>
      </c>
      <c r="N130" s="160">
        <v>155</v>
      </c>
      <c r="O130" s="160">
        <v>179</v>
      </c>
      <c r="P130" s="160">
        <v>143</v>
      </c>
      <c r="Q130" s="161">
        <f t="shared" si="85"/>
        <v>-0.2011173184357542</v>
      </c>
      <c r="R130" s="161">
        <f t="shared" si="83"/>
        <v>5.249825617680532E-4</v>
      </c>
      <c r="S130" s="160">
        <v>301</v>
      </c>
      <c r="T130" s="160">
        <v>168</v>
      </c>
      <c r="U130" s="160">
        <v>190</v>
      </c>
      <c r="V130" s="160">
        <v>268</v>
      </c>
      <c r="W130" s="160">
        <v>203</v>
      </c>
      <c r="X130" s="161">
        <f t="shared" si="86"/>
        <v>-0.2425373134328358</v>
      </c>
      <c r="Y130" s="161">
        <f t="shared" si="87"/>
        <v>6.0333169869079991E-4</v>
      </c>
    </row>
    <row r="131" spans="1:25" x14ac:dyDescent="0.25">
      <c r="A131" s="56"/>
      <c r="B131" s="159" t="s">
        <v>131</v>
      </c>
      <c r="C131" s="160">
        <v>64</v>
      </c>
      <c r="D131" s="160">
        <v>10</v>
      </c>
      <c r="E131" s="160">
        <v>40</v>
      </c>
      <c r="F131" s="160">
        <v>148</v>
      </c>
      <c r="G131" s="160">
        <v>51</v>
      </c>
      <c r="H131" s="160">
        <v>56</v>
      </c>
      <c r="I131" s="161">
        <f t="shared" si="84"/>
        <v>9.8039215686274606E-2</v>
      </c>
      <c r="J131" s="161">
        <f t="shared" si="81"/>
        <v>8.7397580959812718E-4</v>
      </c>
      <c r="K131" s="160">
        <v>322</v>
      </c>
      <c r="L131" s="160">
        <v>10</v>
      </c>
      <c r="M131" s="160">
        <v>235</v>
      </c>
      <c r="N131" s="160">
        <v>305</v>
      </c>
      <c r="O131" s="160">
        <v>330</v>
      </c>
      <c r="P131" s="160">
        <v>392</v>
      </c>
      <c r="Q131" s="161">
        <f t="shared" si="85"/>
        <v>0.18787878787878798</v>
      </c>
      <c r="R131" s="161">
        <f t="shared" si="83"/>
        <v>1.4391130364550828E-3</v>
      </c>
      <c r="S131" s="160">
        <v>386</v>
      </c>
      <c r="T131" s="160">
        <v>275</v>
      </c>
      <c r="U131" s="160">
        <v>453</v>
      </c>
      <c r="V131" s="160">
        <v>381</v>
      </c>
      <c r="W131" s="160">
        <v>448</v>
      </c>
      <c r="X131" s="161">
        <f t="shared" si="86"/>
        <v>0.1758530183727034</v>
      </c>
      <c r="Y131" s="161">
        <f t="shared" si="87"/>
        <v>1.331490645386593E-3</v>
      </c>
    </row>
    <row r="132" spans="1:25" x14ac:dyDescent="0.25">
      <c r="A132" s="56"/>
      <c r="B132" s="164" t="s">
        <v>145</v>
      </c>
      <c r="C132" s="165">
        <f t="shared" ref="C132:H132" si="88">C124-SUM(C125:C131)</f>
        <v>4226</v>
      </c>
      <c r="D132" s="165">
        <f t="shared" si="88"/>
        <v>1233</v>
      </c>
      <c r="E132" s="165">
        <f t="shared" si="88"/>
        <v>2001</v>
      </c>
      <c r="F132" s="165">
        <f t="shared" si="88"/>
        <v>3391</v>
      </c>
      <c r="G132" s="165">
        <f t="shared" si="88"/>
        <v>2689</v>
      </c>
      <c r="H132" s="165">
        <f t="shared" si="88"/>
        <v>2996</v>
      </c>
      <c r="I132" s="166">
        <f t="shared" si="84"/>
        <v>0.11416883599851246</v>
      </c>
      <c r="J132" s="166">
        <f t="shared" si="81"/>
        <v>4.6757705813499806E-2</v>
      </c>
      <c r="K132" s="165">
        <f t="shared" ref="K132:P132" si="89">K124-SUM(K125:K131)</f>
        <v>2127</v>
      </c>
      <c r="L132" s="165">
        <f t="shared" si="89"/>
        <v>293</v>
      </c>
      <c r="M132" s="165">
        <f t="shared" si="89"/>
        <v>2274</v>
      </c>
      <c r="N132" s="165">
        <f t="shared" si="89"/>
        <v>3704</v>
      </c>
      <c r="O132" s="165">
        <f t="shared" si="89"/>
        <v>3695</v>
      </c>
      <c r="P132" s="165">
        <f t="shared" si="89"/>
        <v>3556</v>
      </c>
      <c r="Q132" s="166">
        <f t="shared" si="85"/>
        <v>-3.7618403247631882E-2</v>
      </c>
      <c r="R132" s="166">
        <f t="shared" si="83"/>
        <v>1.3054811116413965E-2</v>
      </c>
      <c r="S132" s="165">
        <f>S124-SUM(S125:S131)</f>
        <v>6353</v>
      </c>
      <c r="T132" s="165">
        <f>T124-SUM(T125:T131)</f>
        <v>4275</v>
      </c>
      <c r="U132" s="165">
        <f>U124-SUM(U125:U131)</f>
        <v>7095</v>
      </c>
      <c r="V132" s="165">
        <f>V124-SUM(V125:V131)</f>
        <v>6384</v>
      </c>
      <c r="W132" s="165">
        <f>W124-SUM(W125:W131)</f>
        <v>6552</v>
      </c>
      <c r="X132" s="166">
        <f t="shared" si="86"/>
        <v>2.6315789473684292E-2</v>
      </c>
      <c r="Y132" s="166">
        <f t="shared" si="87"/>
        <v>1.9473050688778921E-2</v>
      </c>
    </row>
    <row r="133" spans="1:25" x14ac:dyDescent="0.25">
      <c r="A133" s="56"/>
      <c r="B133" s="151" t="s">
        <v>52</v>
      </c>
      <c r="C133" s="149"/>
      <c r="D133" s="149"/>
      <c r="E133" s="149"/>
      <c r="F133" s="149"/>
      <c r="G133" s="149"/>
      <c r="H133" s="149"/>
      <c r="I133" s="149"/>
      <c r="J133" s="149"/>
      <c r="K133" s="149"/>
      <c r="L133" s="149"/>
      <c r="M133" s="149"/>
      <c r="N133" s="149"/>
      <c r="O133" s="149"/>
      <c r="P133" s="149"/>
      <c r="Q133" s="149"/>
      <c r="R133" s="149"/>
      <c r="S133" s="149"/>
      <c r="T133" s="149"/>
      <c r="U133" s="149"/>
      <c r="V133" s="149"/>
      <c r="W133" s="149"/>
      <c r="X133" s="149"/>
      <c r="Y133" s="149"/>
    </row>
    <row r="134" spans="1:25" x14ac:dyDescent="0.25">
      <c r="A134" s="56"/>
      <c r="B134" s="152" t="s">
        <v>68</v>
      </c>
      <c r="C134" s="172">
        <f t="shared" ref="C134:H134" si="90">C135+C138</f>
        <v>2747</v>
      </c>
      <c r="D134" s="172">
        <f t="shared" si="90"/>
        <v>0</v>
      </c>
      <c r="E134" s="172">
        <f t="shared" si="90"/>
        <v>2982</v>
      </c>
      <c r="F134" s="172">
        <f t="shared" si="90"/>
        <v>3467</v>
      </c>
      <c r="G134" s="172">
        <f t="shared" si="90"/>
        <v>3928</v>
      </c>
      <c r="H134" s="172">
        <f t="shared" si="90"/>
        <v>3922</v>
      </c>
      <c r="I134" s="173">
        <f>IFERROR(H134/G134-1,"-")</f>
        <v>-1.5274949083503575E-3</v>
      </c>
      <c r="J134" s="173">
        <f t="shared" ref="J134:J146" si="91">H134/H$8</f>
        <v>6.1209520093640266E-2</v>
      </c>
      <c r="K134" s="172">
        <f t="shared" ref="K134:P134" si="92">K135+K138</f>
        <v>13232</v>
      </c>
      <c r="L134" s="172">
        <f t="shared" si="92"/>
        <v>0</v>
      </c>
      <c r="M134" s="172">
        <f t="shared" si="92"/>
        <v>9227</v>
      </c>
      <c r="N134" s="172">
        <f t="shared" si="92"/>
        <v>14935</v>
      </c>
      <c r="O134" s="172">
        <f t="shared" si="92"/>
        <v>14354</v>
      </c>
      <c r="P134" s="172">
        <f t="shared" si="92"/>
        <v>14208</v>
      </c>
      <c r="Q134" s="173">
        <f>IFERROR(P134/O134-1,"-")</f>
        <v>-1.0171380799777086E-2</v>
      </c>
      <c r="R134" s="173">
        <f t="shared" ref="R134:R146" si="93">P134/P$8</f>
        <v>5.2160505158045448E-2</v>
      </c>
      <c r="S134" s="172">
        <f>S135+S138</f>
        <v>15979</v>
      </c>
      <c r="T134" s="172">
        <f>T135+T138</f>
        <v>12209</v>
      </c>
      <c r="U134" s="172">
        <f>U135+U138</f>
        <v>18402</v>
      </c>
      <c r="V134" s="172">
        <f>V135+V138</f>
        <v>18282</v>
      </c>
      <c r="W134" s="172">
        <f>W135+W138</f>
        <v>18130</v>
      </c>
      <c r="X134" s="173">
        <f>IFERROR(W134/V134-1,"-")</f>
        <v>-8.3141888196039959E-3</v>
      </c>
      <c r="Y134" s="173">
        <f>W134/W$8</f>
        <v>5.3883762055488685E-2</v>
      </c>
    </row>
    <row r="135" spans="1:25" x14ac:dyDescent="0.25">
      <c r="A135" s="56"/>
      <c r="B135" s="155" t="s">
        <v>97</v>
      </c>
      <c r="C135" s="156">
        <v>206</v>
      </c>
      <c r="D135" s="156">
        <v>0</v>
      </c>
      <c r="E135" s="156">
        <v>151</v>
      </c>
      <c r="F135" s="156">
        <v>153</v>
      </c>
      <c r="G135" s="156">
        <v>445</v>
      </c>
      <c r="H135" s="156">
        <v>112</v>
      </c>
      <c r="I135" s="157">
        <f>IFERROR(H135/G135-1,"-")</f>
        <v>-0.74831460674157302</v>
      </c>
      <c r="J135" s="157">
        <f t="shared" si="91"/>
        <v>1.7479516191962544E-3</v>
      </c>
      <c r="K135" s="156">
        <v>493</v>
      </c>
      <c r="L135" s="156">
        <v>0</v>
      </c>
      <c r="M135" s="156">
        <v>466</v>
      </c>
      <c r="N135" s="156">
        <v>1235</v>
      </c>
      <c r="O135" s="156">
        <v>321</v>
      </c>
      <c r="P135" s="156">
        <v>556</v>
      </c>
      <c r="Q135" s="157">
        <f>IFERROR(P135/O135-1,"-")</f>
        <v>0.73208722741433019</v>
      </c>
      <c r="R135" s="157">
        <f t="shared" si="93"/>
        <v>2.0411909394618009E-3</v>
      </c>
      <c r="S135" s="156">
        <v>699</v>
      </c>
      <c r="T135" s="156">
        <v>617</v>
      </c>
      <c r="U135" s="156">
        <v>1388</v>
      </c>
      <c r="V135" s="156">
        <v>766</v>
      </c>
      <c r="W135" s="156">
        <v>668</v>
      </c>
      <c r="X135" s="157">
        <f>IFERROR(W135/V135-1,"-")</f>
        <v>-0.12793733681462138</v>
      </c>
      <c r="Y135" s="157">
        <f>W135/W$8</f>
        <v>1.9853476587460804E-3</v>
      </c>
    </row>
    <row r="136" spans="1:25" x14ac:dyDescent="0.25">
      <c r="A136" s="56"/>
      <c r="B136" s="159" t="s">
        <v>103</v>
      </c>
      <c r="C136" s="160">
        <v>206</v>
      </c>
      <c r="D136" s="160">
        <v>0</v>
      </c>
      <c r="E136" s="160">
        <v>118</v>
      </c>
      <c r="F136" s="160">
        <v>153</v>
      </c>
      <c r="G136" s="160">
        <v>445</v>
      </c>
      <c r="H136" s="160">
        <v>112</v>
      </c>
      <c r="I136" s="161">
        <f>IFERROR(H136/G136-1,"-")</f>
        <v>-0.74831460674157302</v>
      </c>
      <c r="J136" s="161">
        <f t="shared" si="91"/>
        <v>1.7479516191962544E-3</v>
      </c>
      <c r="K136" s="160">
        <v>215</v>
      </c>
      <c r="L136" s="160">
        <v>0</v>
      </c>
      <c r="M136" s="160">
        <v>94</v>
      </c>
      <c r="N136" s="160">
        <v>711</v>
      </c>
      <c r="O136" s="160">
        <v>0</v>
      </c>
      <c r="P136" s="160">
        <v>107</v>
      </c>
      <c r="Q136" s="161" t="str">
        <f>IFERROR(P136/O136-1,"-")</f>
        <v>-</v>
      </c>
      <c r="R136" s="161">
        <f t="shared" si="93"/>
        <v>3.9281911964462719E-4</v>
      </c>
      <c r="S136" s="160">
        <v>421</v>
      </c>
      <c r="T136" s="160">
        <v>212</v>
      </c>
      <c r="U136" s="160">
        <v>864</v>
      </c>
      <c r="V136" s="160">
        <v>445</v>
      </c>
      <c r="W136" s="160">
        <v>219</v>
      </c>
      <c r="X136" s="161">
        <f>IFERROR(W136/V136-1,"-")</f>
        <v>-0.50786516853932584</v>
      </c>
      <c r="Y136" s="161">
        <f>W136/W$8</f>
        <v>6.5088493602603545E-4</v>
      </c>
    </row>
    <row r="137" spans="1:25" x14ac:dyDescent="0.25">
      <c r="A137" s="56"/>
      <c r="B137" s="159" t="s">
        <v>100</v>
      </c>
      <c r="C137" s="160">
        <v>0</v>
      </c>
      <c r="D137" s="160">
        <v>0</v>
      </c>
      <c r="E137" s="160">
        <v>33</v>
      </c>
      <c r="F137" s="160">
        <v>0</v>
      </c>
      <c r="G137" s="160">
        <v>0</v>
      </c>
      <c r="H137" s="160">
        <v>0</v>
      </c>
      <c r="I137" s="161" t="str">
        <f>IFERROR(H137/G137-1,"-")</f>
        <v>-</v>
      </c>
      <c r="J137" s="161">
        <f t="shared" si="91"/>
        <v>0</v>
      </c>
      <c r="K137" s="160">
        <v>278</v>
      </c>
      <c r="L137" s="160">
        <v>0</v>
      </c>
      <c r="M137" s="160">
        <v>372</v>
      </c>
      <c r="N137" s="160">
        <v>524</v>
      </c>
      <c r="O137" s="160">
        <v>321</v>
      </c>
      <c r="P137" s="160">
        <v>449</v>
      </c>
      <c r="Q137" s="161">
        <f>IFERROR(P137/O137-1,"-")</f>
        <v>0.39875389408099693</v>
      </c>
      <c r="R137" s="161">
        <f t="shared" si="93"/>
        <v>1.6483718198171738E-3</v>
      </c>
      <c r="S137" s="160">
        <v>278</v>
      </c>
      <c r="T137" s="160">
        <v>405</v>
      </c>
      <c r="U137" s="160">
        <v>524</v>
      </c>
      <c r="V137" s="160">
        <v>321</v>
      </c>
      <c r="W137" s="160">
        <v>449</v>
      </c>
      <c r="X137" s="161">
        <f>IFERROR(W137/V137-1,"-")</f>
        <v>0.39875389408099693</v>
      </c>
      <c r="Y137" s="161">
        <f>W137/W$8</f>
        <v>1.3344627227200451E-3</v>
      </c>
    </row>
    <row r="138" spans="1:25" x14ac:dyDescent="0.25">
      <c r="A138" s="56"/>
      <c r="B138" s="155" t="s">
        <v>107</v>
      </c>
      <c r="C138" s="156">
        <v>2541</v>
      </c>
      <c r="D138" s="156">
        <v>0</v>
      </c>
      <c r="E138" s="156">
        <v>2831</v>
      </c>
      <c r="F138" s="156">
        <v>3314</v>
      </c>
      <c r="G138" s="156">
        <v>3483</v>
      </c>
      <c r="H138" s="156">
        <v>3810</v>
      </c>
      <c r="I138" s="157">
        <f>IFERROR(H138/G138-1,"-")</f>
        <v>9.3884582256675175E-2</v>
      </c>
      <c r="J138" s="157">
        <f t="shared" si="91"/>
        <v>5.9461568474444011E-2</v>
      </c>
      <c r="K138" s="156">
        <v>12739</v>
      </c>
      <c r="L138" s="156">
        <v>0</v>
      </c>
      <c r="M138" s="156">
        <v>8761</v>
      </c>
      <c r="N138" s="156">
        <v>13700</v>
      </c>
      <c r="O138" s="156">
        <v>14033</v>
      </c>
      <c r="P138" s="156">
        <v>13652</v>
      </c>
      <c r="Q138" s="157">
        <f>IFERROR(P138/O138-1,"-")</f>
        <v>-2.7150288605430006E-2</v>
      </c>
      <c r="R138" s="157">
        <f t="shared" si="93"/>
        <v>5.0119314218583649E-2</v>
      </c>
      <c r="S138" s="156">
        <v>15280</v>
      </c>
      <c r="T138" s="156">
        <v>11592</v>
      </c>
      <c r="U138" s="156">
        <v>17014</v>
      </c>
      <c r="V138" s="156">
        <v>17516</v>
      </c>
      <c r="W138" s="156">
        <v>17462</v>
      </c>
      <c r="X138" s="157">
        <f>IFERROR(W138/V138-1,"-")</f>
        <v>-3.082895638273575E-3</v>
      </c>
      <c r="Y138" s="157">
        <f>W138/W$8</f>
        <v>5.1898414396742601E-2</v>
      </c>
    </row>
    <row r="139" spans="1:25" s="56" customFormat="1" x14ac:dyDescent="0.25">
      <c r="B139" s="159" t="s">
        <v>110</v>
      </c>
      <c r="C139" s="160">
        <v>1432</v>
      </c>
      <c r="D139" s="160">
        <v>0</v>
      </c>
      <c r="E139" s="160">
        <v>1129</v>
      </c>
      <c r="F139" s="160">
        <v>1858</v>
      </c>
      <c r="G139" s="160">
        <v>1955</v>
      </c>
      <c r="H139" s="160">
        <v>2280</v>
      </c>
      <c r="I139" s="161">
        <f t="shared" ref="I139:I146" si="94">IFERROR(H139/G139-1,"-")</f>
        <v>0.16624040920716121</v>
      </c>
      <c r="J139" s="161">
        <f t="shared" si="91"/>
        <v>3.558330081935232E-2</v>
      </c>
      <c r="K139" s="160">
        <v>4859</v>
      </c>
      <c r="L139" s="160">
        <v>0</v>
      </c>
      <c r="M139" s="160">
        <v>2461</v>
      </c>
      <c r="N139" s="160">
        <v>4265</v>
      </c>
      <c r="O139" s="160">
        <v>4990</v>
      </c>
      <c r="P139" s="160">
        <v>4842</v>
      </c>
      <c r="Q139" s="161">
        <f t="shared" ref="Q139:Q146" si="95">IFERROR(P139/O139-1,"-")</f>
        <v>-2.9659318637274557E-2</v>
      </c>
      <c r="R139" s="161">
        <f t="shared" si="93"/>
        <v>1.7775982965600793E-2</v>
      </c>
      <c r="S139" s="160">
        <v>6291</v>
      </c>
      <c r="T139" s="160">
        <v>3590</v>
      </c>
      <c r="U139" s="160">
        <v>6123</v>
      </c>
      <c r="V139" s="160">
        <v>6945</v>
      </c>
      <c r="W139" s="160">
        <v>7122</v>
      </c>
      <c r="X139" s="161">
        <f t="shared" ref="X139:X146" si="96">IFERROR(W139/V139-1,"-")</f>
        <v>2.548596112311019E-2</v>
      </c>
      <c r="Y139" s="161">
        <f t="shared" ref="Y139:Y146" si="97">W139/W$8</f>
        <v>2.1167134768846685E-2</v>
      </c>
    </row>
    <row r="140" spans="1:25" s="56" customFormat="1" x14ac:dyDescent="0.25">
      <c r="B140" s="159" t="s">
        <v>113</v>
      </c>
      <c r="C140" s="160">
        <v>457</v>
      </c>
      <c r="D140" s="160">
        <v>0</v>
      </c>
      <c r="E140" s="160">
        <v>80</v>
      </c>
      <c r="F140" s="160">
        <v>179</v>
      </c>
      <c r="G140" s="160">
        <v>168</v>
      </c>
      <c r="H140" s="160">
        <v>212</v>
      </c>
      <c r="I140" s="161">
        <f t="shared" si="94"/>
        <v>0.26190476190476186</v>
      </c>
      <c r="J140" s="161">
        <f t="shared" si="91"/>
        <v>3.3086227077643387E-3</v>
      </c>
      <c r="K140" s="160">
        <v>763</v>
      </c>
      <c r="L140" s="160">
        <v>0</v>
      </c>
      <c r="M140" s="160">
        <v>657</v>
      </c>
      <c r="N140" s="160">
        <v>1215</v>
      </c>
      <c r="O140" s="160">
        <v>1165</v>
      </c>
      <c r="P140" s="160">
        <v>1268</v>
      </c>
      <c r="Q140" s="161">
        <f t="shared" si="95"/>
        <v>8.8412017167381896E-2</v>
      </c>
      <c r="R140" s="161">
        <f t="shared" si="93"/>
        <v>4.6550901281251144E-3</v>
      </c>
      <c r="S140" s="160">
        <v>1220</v>
      </c>
      <c r="T140" s="160">
        <v>737</v>
      </c>
      <c r="U140" s="160">
        <v>1394</v>
      </c>
      <c r="V140" s="160">
        <v>1333</v>
      </c>
      <c r="W140" s="160">
        <v>1480</v>
      </c>
      <c r="X140" s="161">
        <f t="shared" si="96"/>
        <v>0.11027756939234812</v>
      </c>
      <c r="Y140" s="161">
        <f t="shared" si="97"/>
        <v>4.3986744535092805E-3</v>
      </c>
    </row>
    <row r="141" spans="1:25" x14ac:dyDescent="0.25">
      <c r="A141" s="56"/>
      <c r="B141" s="159" t="s">
        <v>116</v>
      </c>
      <c r="C141" s="160">
        <v>43</v>
      </c>
      <c r="D141" s="160">
        <v>0</v>
      </c>
      <c r="E141" s="160">
        <v>268</v>
      </c>
      <c r="F141" s="160">
        <v>199</v>
      </c>
      <c r="G141" s="160">
        <v>216</v>
      </c>
      <c r="H141" s="160">
        <v>305</v>
      </c>
      <c r="I141" s="161">
        <f t="shared" si="94"/>
        <v>0.41203703703703698</v>
      </c>
      <c r="J141" s="161">
        <f t="shared" si="91"/>
        <v>4.7600468201326566E-3</v>
      </c>
      <c r="K141" s="160">
        <v>1264</v>
      </c>
      <c r="L141" s="160">
        <v>0</v>
      </c>
      <c r="M141" s="160">
        <v>962</v>
      </c>
      <c r="N141" s="160">
        <v>1257</v>
      </c>
      <c r="O141" s="160">
        <v>1060</v>
      </c>
      <c r="P141" s="160">
        <v>1031</v>
      </c>
      <c r="Q141" s="161">
        <f t="shared" si="95"/>
        <v>-2.7358490566037785E-2</v>
      </c>
      <c r="R141" s="161">
        <f t="shared" si="93"/>
        <v>3.7850141341458938E-3</v>
      </c>
      <c r="S141" s="160">
        <v>1307</v>
      </c>
      <c r="T141" s="160">
        <v>1230</v>
      </c>
      <c r="U141" s="160">
        <v>1456</v>
      </c>
      <c r="V141" s="160">
        <v>1276</v>
      </c>
      <c r="W141" s="160">
        <v>1336</v>
      </c>
      <c r="X141" s="161">
        <f t="shared" si="96"/>
        <v>4.7021943573667624E-2</v>
      </c>
      <c r="Y141" s="161">
        <f t="shared" si="97"/>
        <v>3.9706953174921608E-3</v>
      </c>
    </row>
    <row r="142" spans="1:25" x14ac:dyDescent="0.25">
      <c r="A142" s="56"/>
      <c r="B142" s="159" t="s">
        <v>123</v>
      </c>
      <c r="C142" s="160">
        <v>35</v>
      </c>
      <c r="D142" s="160">
        <v>0</v>
      </c>
      <c r="E142" s="160">
        <v>471</v>
      </c>
      <c r="F142" s="160">
        <v>276</v>
      </c>
      <c r="G142" s="160">
        <v>213</v>
      </c>
      <c r="H142" s="160">
        <v>232</v>
      </c>
      <c r="I142" s="161">
        <f t="shared" si="94"/>
        <v>8.9201877934272256E-2</v>
      </c>
      <c r="J142" s="161">
        <f t="shared" si="91"/>
        <v>3.6207569254779557E-3</v>
      </c>
      <c r="K142" s="160">
        <v>117</v>
      </c>
      <c r="L142" s="160">
        <v>0</v>
      </c>
      <c r="M142" s="160">
        <v>257</v>
      </c>
      <c r="N142" s="160">
        <v>289</v>
      </c>
      <c r="O142" s="160">
        <v>235</v>
      </c>
      <c r="P142" s="160">
        <v>178</v>
      </c>
      <c r="Q142" s="161">
        <f t="shared" si="95"/>
        <v>-0.24255319148936172</v>
      </c>
      <c r="R142" s="161">
        <f t="shared" si="93"/>
        <v>6.5347479716582838E-4</v>
      </c>
      <c r="S142" s="160">
        <v>152</v>
      </c>
      <c r="T142" s="160">
        <v>728</v>
      </c>
      <c r="U142" s="160">
        <v>565</v>
      </c>
      <c r="V142" s="160">
        <v>448</v>
      </c>
      <c r="W142" s="160">
        <v>410</v>
      </c>
      <c r="X142" s="161">
        <f t="shared" si="96"/>
        <v>-8.4821428571428603E-2</v>
      </c>
      <c r="Y142" s="161">
        <f t="shared" si="97"/>
        <v>1.2185517067154086E-3</v>
      </c>
    </row>
    <row r="143" spans="1:25" x14ac:dyDescent="0.25">
      <c r="A143" s="56"/>
      <c r="B143" s="159" t="s">
        <v>119</v>
      </c>
      <c r="C143" s="160">
        <v>15</v>
      </c>
      <c r="D143" s="160">
        <v>0</v>
      </c>
      <c r="E143" s="160">
        <v>26</v>
      </c>
      <c r="F143" s="160">
        <v>48</v>
      </c>
      <c r="G143" s="160">
        <v>49</v>
      </c>
      <c r="H143" s="160">
        <v>0</v>
      </c>
      <c r="I143" s="161">
        <f t="shared" si="94"/>
        <v>-1</v>
      </c>
      <c r="J143" s="161">
        <f t="shared" si="91"/>
        <v>0</v>
      </c>
      <c r="K143" s="160">
        <v>236</v>
      </c>
      <c r="L143" s="160">
        <v>0</v>
      </c>
      <c r="M143" s="160">
        <v>299</v>
      </c>
      <c r="N143" s="160">
        <v>257</v>
      </c>
      <c r="O143" s="160">
        <v>265</v>
      </c>
      <c r="P143" s="160">
        <v>240</v>
      </c>
      <c r="Q143" s="161">
        <f t="shared" si="95"/>
        <v>-9.4339622641509413E-2</v>
      </c>
      <c r="R143" s="161">
        <f t="shared" si="93"/>
        <v>8.8108961415617312E-4</v>
      </c>
      <c r="S143" s="160">
        <v>251</v>
      </c>
      <c r="T143" s="160">
        <v>325</v>
      </c>
      <c r="U143" s="160">
        <v>305</v>
      </c>
      <c r="V143" s="160">
        <v>314</v>
      </c>
      <c r="W143" s="160">
        <v>240</v>
      </c>
      <c r="X143" s="161">
        <f t="shared" si="96"/>
        <v>-0.23566878980891715</v>
      </c>
      <c r="Y143" s="161">
        <f t="shared" si="97"/>
        <v>7.1329856002853192E-4</v>
      </c>
    </row>
    <row r="144" spans="1:25" x14ac:dyDescent="0.25">
      <c r="A144" s="56"/>
      <c r="B144" s="159" t="s">
        <v>128</v>
      </c>
      <c r="C144" s="160">
        <v>47</v>
      </c>
      <c r="D144" s="160">
        <v>0</v>
      </c>
      <c r="E144" s="160">
        <v>43</v>
      </c>
      <c r="F144" s="160">
        <v>46</v>
      </c>
      <c r="G144" s="160">
        <v>0</v>
      </c>
      <c r="H144" s="160">
        <v>0</v>
      </c>
      <c r="I144" s="161" t="str">
        <f t="shared" si="94"/>
        <v>-</v>
      </c>
      <c r="J144" s="161">
        <f t="shared" si="91"/>
        <v>0</v>
      </c>
      <c r="K144" s="160">
        <v>424</v>
      </c>
      <c r="L144" s="160">
        <v>0</v>
      </c>
      <c r="M144" s="160">
        <v>327</v>
      </c>
      <c r="N144" s="160">
        <v>750</v>
      </c>
      <c r="O144" s="160">
        <v>544</v>
      </c>
      <c r="P144" s="160">
        <v>538</v>
      </c>
      <c r="Q144" s="161">
        <f t="shared" si="95"/>
        <v>-1.1029411764705843E-2</v>
      </c>
      <c r="R144" s="161">
        <f t="shared" si="93"/>
        <v>1.975109218400088E-3</v>
      </c>
      <c r="S144" s="160">
        <v>471</v>
      </c>
      <c r="T144" s="160">
        <v>370</v>
      </c>
      <c r="U144" s="160">
        <v>796</v>
      </c>
      <c r="V144" s="160">
        <v>544</v>
      </c>
      <c r="W144" s="160">
        <v>538</v>
      </c>
      <c r="X144" s="161">
        <f t="shared" si="96"/>
        <v>-1.1029411764705843E-2</v>
      </c>
      <c r="Y144" s="161">
        <f t="shared" si="97"/>
        <v>1.5989776053972925E-3</v>
      </c>
    </row>
    <row r="145" spans="1:25" x14ac:dyDescent="0.25">
      <c r="A145" s="56"/>
      <c r="B145" s="159" t="s">
        <v>131</v>
      </c>
      <c r="C145" s="160">
        <v>213</v>
      </c>
      <c r="D145" s="160">
        <v>0</v>
      </c>
      <c r="E145" s="160">
        <v>18</v>
      </c>
      <c r="F145" s="160">
        <v>40</v>
      </c>
      <c r="G145" s="160">
        <v>30</v>
      </c>
      <c r="H145" s="160">
        <v>0</v>
      </c>
      <c r="I145" s="161">
        <f t="shared" si="94"/>
        <v>-1</v>
      </c>
      <c r="J145" s="161">
        <f t="shared" si="91"/>
        <v>0</v>
      </c>
      <c r="K145" s="160">
        <v>817</v>
      </c>
      <c r="L145" s="160">
        <v>0</v>
      </c>
      <c r="M145" s="160">
        <v>189</v>
      </c>
      <c r="N145" s="160">
        <v>430</v>
      </c>
      <c r="O145" s="160">
        <v>364</v>
      </c>
      <c r="P145" s="160">
        <v>241</v>
      </c>
      <c r="Q145" s="161">
        <f t="shared" si="95"/>
        <v>-0.33791208791208793</v>
      </c>
      <c r="R145" s="161">
        <f t="shared" si="93"/>
        <v>8.8476082088182384E-4</v>
      </c>
      <c r="S145" s="160">
        <v>1030</v>
      </c>
      <c r="T145" s="160">
        <v>207</v>
      </c>
      <c r="U145" s="160">
        <v>470</v>
      </c>
      <c r="V145" s="160">
        <v>394</v>
      </c>
      <c r="W145" s="160">
        <v>241</v>
      </c>
      <c r="X145" s="161">
        <f t="shared" si="96"/>
        <v>-0.3883248730964467</v>
      </c>
      <c r="Y145" s="161">
        <f t="shared" si="97"/>
        <v>7.1627063736198412E-4</v>
      </c>
    </row>
    <row r="146" spans="1:25" x14ac:dyDescent="0.25">
      <c r="A146" s="56"/>
      <c r="B146" s="164" t="s">
        <v>145</v>
      </c>
      <c r="C146" s="165">
        <f t="shared" ref="C146:H146" si="98">C138-SUM(C139:C145)</f>
        <v>299</v>
      </c>
      <c r="D146" s="165">
        <f t="shared" si="98"/>
        <v>0</v>
      </c>
      <c r="E146" s="165">
        <f t="shared" si="98"/>
        <v>796</v>
      </c>
      <c r="F146" s="165">
        <f t="shared" si="98"/>
        <v>668</v>
      </c>
      <c r="G146" s="165">
        <f t="shared" si="98"/>
        <v>852</v>
      </c>
      <c r="H146" s="165">
        <f t="shared" si="98"/>
        <v>781</v>
      </c>
      <c r="I146" s="166">
        <f t="shared" si="94"/>
        <v>-8.333333333333337E-2</v>
      </c>
      <c r="J146" s="166">
        <f t="shared" si="91"/>
        <v>1.2188841201716738E-2</v>
      </c>
      <c r="K146" s="165">
        <f t="shared" ref="K146:P146" si="99">K138-SUM(K139:K145)</f>
        <v>4259</v>
      </c>
      <c r="L146" s="165">
        <f t="shared" si="99"/>
        <v>0</v>
      </c>
      <c r="M146" s="165">
        <f t="shared" si="99"/>
        <v>3609</v>
      </c>
      <c r="N146" s="165">
        <f t="shared" si="99"/>
        <v>5237</v>
      </c>
      <c r="O146" s="165">
        <f t="shared" si="99"/>
        <v>5410</v>
      </c>
      <c r="P146" s="165">
        <f t="shared" si="99"/>
        <v>5314</v>
      </c>
      <c r="Q146" s="166">
        <f t="shared" si="95"/>
        <v>-1.774491682070245E-2</v>
      </c>
      <c r="R146" s="166">
        <f t="shared" si="93"/>
        <v>1.9508792540107935E-2</v>
      </c>
      <c r="S146" s="165">
        <f>S138-SUM(S139:S145)</f>
        <v>4558</v>
      </c>
      <c r="T146" s="165">
        <f>T138-SUM(T139:T145)</f>
        <v>4405</v>
      </c>
      <c r="U146" s="165">
        <f>U138-SUM(U139:U145)</f>
        <v>5905</v>
      </c>
      <c r="V146" s="165">
        <f>V138-SUM(V139:V145)</f>
        <v>6262</v>
      </c>
      <c r="W146" s="165">
        <f>W138-SUM(W139:W145)</f>
        <v>6095</v>
      </c>
      <c r="X146" s="166">
        <f t="shared" si="96"/>
        <v>-2.666879591184923E-2</v>
      </c>
      <c r="Y146" s="166">
        <f t="shared" si="97"/>
        <v>1.811481134739126E-2</v>
      </c>
    </row>
    <row r="147" spans="1:25" x14ac:dyDescent="0.25">
      <c r="A147" s="56"/>
      <c r="B147" s="151" t="s">
        <v>53</v>
      </c>
      <c r="C147" s="149"/>
      <c r="D147" s="149"/>
      <c r="E147" s="149"/>
      <c r="F147" s="149"/>
      <c r="G147" s="149"/>
      <c r="H147" s="149"/>
      <c r="I147" s="149"/>
      <c r="J147" s="149"/>
      <c r="K147" s="149"/>
      <c r="L147" s="149"/>
      <c r="M147" s="149"/>
      <c r="N147" s="149"/>
      <c r="O147" s="149"/>
      <c r="P147" s="149"/>
      <c r="Q147" s="149"/>
      <c r="R147" s="149"/>
      <c r="S147" s="149"/>
      <c r="T147" s="149"/>
      <c r="U147" s="149"/>
      <c r="V147" s="149"/>
      <c r="W147" s="149"/>
      <c r="X147" s="149"/>
      <c r="Y147" s="149"/>
    </row>
    <row r="148" spans="1:25" x14ac:dyDescent="0.25">
      <c r="A148" s="56"/>
      <c r="B148" s="152" t="s">
        <v>68</v>
      </c>
      <c r="C148" s="172">
        <f t="shared" ref="C148:H148" si="100">C149+C152</f>
        <v>2520</v>
      </c>
      <c r="D148" s="172">
        <f t="shared" si="100"/>
        <v>615</v>
      </c>
      <c r="E148" s="172">
        <f t="shared" si="100"/>
        <v>1974</v>
      </c>
      <c r="F148" s="172">
        <f t="shared" si="100"/>
        <v>2702</v>
      </c>
      <c r="G148" s="172">
        <f t="shared" si="100"/>
        <v>2915</v>
      </c>
      <c r="H148" s="172">
        <f t="shared" si="100"/>
        <v>3402</v>
      </c>
      <c r="I148" s="173">
        <f>IFERROR(H148/G148-1,"-")</f>
        <v>0.16706689536878216</v>
      </c>
      <c r="J148" s="173">
        <f t="shared" ref="J148:J160" si="101">H148/H$8</f>
        <v>5.3094030433086227E-2</v>
      </c>
      <c r="K148" s="172">
        <f t="shared" ref="K148:P148" si="102">K149+K152</f>
        <v>6125</v>
      </c>
      <c r="L148" s="172">
        <f t="shared" si="102"/>
        <v>1532</v>
      </c>
      <c r="M148" s="172">
        <f t="shared" si="102"/>
        <v>5210</v>
      </c>
      <c r="N148" s="172">
        <f t="shared" si="102"/>
        <v>6493</v>
      </c>
      <c r="O148" s="172">
        <f t="shared" si="102"/>
        <v>7035</v>
      </c>
      <c r="P148" s="172">
        <f t="shared" si="102"/>
        <v>5741</v>
      </c>
      <c r="Q148" s="173">
        <f>IFERROR(P148/O148-1,"-")</f>
        <v>-0.18393745557924668</v>
      </c>
      <c r="R148" s="173">
        <f t="shared" ref="R148:R160" si="103">P148/P$8</f>
        <v>2.107639781196079E-2</v>
      </c>
      <c r="S148" s="172">
        <f>S149+S152</f>
        <v>8645</v>
      </c>
      <c r="T148" s="172">
        <f>T149+T152</f>
        <v>7184</v>
      </c>
      <c r="U148" s="172">
        <f>U149+U152</f>
        <v>9195</v>
      </c>
      <c r="V148" s="172">
        <f>V149+V152</f>
        <v>9950</v>
      </c>
      <c r="W148" s="172">
        <f>W149+W152</f>
        <v>9143</v>
      </c>
      <c r="X148" s="173">
        <f>IFERROR(W148/V148-1,"-")</f>
        <v>-8.11055276381909E-2</v>
      </c>
      <c r="Y148" s="173">
        <f>W148/W$8</f>
        <v>2.7173703059753616E-2</v>
      </c>
    </row>
    <row r="149" spans="1:25" x14ac:dyDescent="0.25">
      <c r="A149" s="56"/>
      <c r="B149" s="155" t="s">
        <v>97</v>
      </c>
      <c r="C149" s="156">
        <v>1572</v>
      </c>
      <c r="D149" s="156">
        <v>370</v>
      </c>
      <c r="E149" s="156">
        <v>806</v>
      </c>
      <c r="F149" s="156">
        <v>1385</v>
      </c>
      <c r="G149" s="156">
        <v>1137</v>
      </c>
      <c r="H149" s="156">
        <v>1129</v>
      </c>
      <c r="I149" s="157">
        <f>IFERROR(H149/G149-1,"-")</f>
        <v>-7.0360598065083435E-3</v>
      </c>
      <c r="J149" s="157">
        <f t="shared" si="101"/>
        <v>1.761997658993367E-2</v>
      </c>
      <c r="K149" s="156">
        <v>741</v>
      </c>
      <c r="L149" s="156">
        <v>1153</v>
      </c>
      <c r="M149" s="156">
        <v>2253</v>
      </c>
      <c r="N149" s="156">
        <v>2361</v>
      </c>
      <c r="O149" s="156">
        <v>2481</v>
      </c>
      <c r="P149" s="156">
        <v>2014</v>
      </c>
      <c r="Q149" s="157">
        <f>IFERROR(P149/O149-1,"-")</f>
        <v>-0.18823055219669493</v>
      </c>
      <c r="R149" s="157">
        <f t="shared" si="103"/>
        <v>7.3938103454605532E-3</v>
      </c>
      <c r="S149" s="156">
        <v>2313</v>
      </c>
      <c r="T149" s="156">
        <v>3059</v>
      </c>
      <c r="U149" s="156">
        <v>3746</v>
      </c>
      <c r="V149" s="156">
        <v>3618</v>
      </c>
      <c r="W149" s="156">
        <v>3143</v>
      </c>
      <c r="X149" s="157">
        <f>IFERROR(W149/V149-1,"-")</f>
        <v>-0.13128800442233279</v>
      </c>
      <c r="Y149" s="157">
        <f>W149/W$8</f>
        <v>9.3412390590403155E-3</v>
      </c>
    </row>
    <row r="150" spans="1:25" x14ac:dyDescent="0.25">
      <c r="A150" s="56"/>
      <c r="B150" s="159" t="s">
        <v>103</v>
      </c>
      <c r="C150" s="160">
        <v>277</v>
      </c>
      <c r="D150" s="160">
        <v>311</v>
      </c>
      <c r="E150" s="160">
        <v>271</v>
      </c>
      <c r="F150" s="160">
        <v>416</v>
      </c>
      <c r="G150" s="160">
        <v>360</v>
      </c>
      <c r="H150" s="160">
        <v>378</v>
      </c>
      <c r="I150" s="161">
        <f>IFERROR(H150/G150-1,"-")</f>
        <v>5.0000000000000044E-2</v>
      </c>
      <c r="J150" s="161">
        <f t="shared" si="101"/>
        <v>5.8993367147873585E-3</v>
      </c>
      <c r="K150" s="160">
        <v>259</v>
      </c>
      <c r="L150" s="160">
        <v>965</v>
      </c>
      <c r="M150" s="160">
        <v>2072</v>
      </c>
      <c r="N150" s="160">
        <v>2177</v>
      </c>
      <c r="O150" s="160">
        <v>2388</v>
      </c>
      <c r="P150" s="160">
        <v>1763</v>
      </c>
      <c r="Q150" s="161">
        <f>IFERROR(P150/O150-1,"-")</f>
        <v>-0.26172529313232828</v>
      </c>
      <c r="R150" s="161">
        <f t="shared" si="103"/>
        <v>6.4723374573222216E-3</v>
      </c>
      <c r="S150" s="160">
        <v>536</v>
      </c>
      <c r="T150" s="160">
        <v>2343</v>
      </c>
      <c r="U150" s="160">
        <v>2593</v>
      </c>
      <c r="V150" s="160">
        <v>2748</v>
      </c>
      <c r="W150" s="160">
        <v>2141</v>
      </c>
      <c r="X150" s="161">
        <f>IFERROR(W150/V150-1,"-")</f>
        <v>-0.22088791848617173</v>
      </c>
      <c r="Y150" s="161">
        <f>W150/W$8</f>
        <v>6.3632175709211957E-3</v>
      </c>
    </row>
    <row r="151" spans="1:25" x14ac:dyDescent="0.25">
      <c r="A151" s="56"/>
      <c r="B151" s="159" t="s">
        <v>100</v>
      </c>
      <c r="C151" s="160">
        <v>1295</v>
      </c>
      <c r="D151" s="160">
        <v>59</v>
      </c>
      <c r="E151" s="160">
        <v>535</v>
      </c>
      <c r="F151" s="160">
        <v>969</v>
      </c>
      <c r="G151" s="160">
        <v>777</v>
      </c>
      <c r="H151" s="160">
        <v>751</v>
      </c>
      <c r="I151" s="161">
        <f>IFERROR(H151/G151-1,"-")</f>
        <v>-3.3462033462033469E-2</v>
      </c>
      <c r="J151" s="161">
        <f t="shared" si="101"/>
        <v>1.1720639875146313E-2</v>
      </c>
      <c r="K151" s="160">
        <v>482</v>
      </c>
      <c r="L151" s="160">
        <v>188</v>
      </c>
      <c r="M151" s="160">
        <v>181</v>
      </c>
      <c r="N151" s="160">
        <v>184</v>
      </c>
      <c r="O151" s="160">
        <v>93</v>
      </c>
      <c r="P151" s="160">
        <v>251</v>
      </c>
      <c r="Q151" s="161">
        <f>IFERROR(P151/O151-1,"-")</f>
        <v>1.6989247311827955</v>
      </c>
      <c r="R151" s="161">
        <f t="shared" si="103"/>
        <v>9.2147288813833111E-4</v>
      </c>
      <c r="S151" s="160">
        <v>1777</v>
      </c>
      <c r="T151" s="160">
        <v>716</v>
      </c>
      <c r="U151" s="160">
        <v>1153</v>
      </c>
      <c r="V151" s="160">
        <v>870</v>
      </c>
      <c r="W151" s="160">
        <v>1002</v>
      </c>
      <c r="X151" s="161">
        <f>IFERROR(W151/V151-1,"-")</f>
        <v>0.15172413793103456</v>
      </c>
      <c r="Y151" s="161">
        <f>W151/W$8</f>
        <v>2.978021488119121E-3</v>
      </c>
    </row>
    <row r="152" spans="1:25" x14ac:dyDescent="0.25">
      <c r="A152" s="56"/>
      <c r="B152" s="155" t="s">
        <v>107</v>
      </c>
      <c r="C152" s="156">
        <v>948</v>
      </c>
      <c r="D152" s="156">
        <v>245</v>
      </c>
      <c r="E152" s="156">
        <v>1168</v>
      </c>
      <c r="F152" s="156">
        <v>1317</v>
      </c>
      <c r="G152" s="156">
        <v>1778</v>
      </c>
      <c r="H152" s="156">
        <v>2273</v>
      </c>
      <c r="I152" s="157">
        <f>IFERROR(H152/G152-1,"-")</f>
        <v>0.27840269966254216</v>
      </c>
      <c r="J152" s="157">
        <f t="shared" si="101"/>
        <v>3.5474053843152553E-2</v>
      </c>
      <c r="K152" s="156">
        <v>5384</v>
      </c>
      <c r="L152" s="156">
        <v>379</v>
      </c>
      <c r="M152" s="156">
        <v>2957</v>
      </c>
      <c r="N152" s="156">
        <v>4132</v>
      </c>
      <c r="O152" s="156">
        <v>4554</v>
      </c>
      <c r="P152" s="156">
        <v>3727</v>
      </c>
      <c r="Q152" s="157">
        <f>IFERROR(P152/O152-1,"-")</f>
        <v>-0.18159859464207295</v>
      </c>
      <c r="R152" s="157">
        <f t="shared" si="103"/>
        <v>1.3682587466500239E-2</v>
      </c>
      <c r="S152" s="156">
        <v>6332</v>
      </c>
      <c r="T152" s="156">
        <v>4125</v>
      </c>
      <c r="U152" s="156">
        <v>5449</v>
      </c>
      <c r="V152" s="156">
        <v>6332</v>
      </c>
      <c r="W152" s="156">
        <v>6000</v>
      </c>
      <c r="X152" s="157">
        <f>IFERROR(W152/V152-1,"-")</f>
        <v>-5.243209096651924E-2</v>
      </c>
      <c r="Y152" s="157">
        <f>W152/W$8</f>
        <v>1.78324640007133E-2</v>
      </c>
    </row>
    <row r="153" spans="1:25" s="56" customFormat="1" x14ac:dyDescent="0.25">
      <c r="B153" s="159" t="s">
        <v>110</v>
      </c>
      <c r="C153" s="160">
        <v>81</v>
      </c>
      <c r="D153" s="160">
        <v>13</v>
      </c>
      <c r="E153" s="160">
        <v>99</v>
      </c>
      <c r="F153" s="160">
        <v>96</v>
      </c>
      <c r="G153" s="160">
        <v>168</v>
      </c>
      <c r="H153" s="160">
        <v>171</v>
      </c>
      <c r="I153" s="161">
        <f t="shared" ref="I153:I160" si="104">IFERROR(H153/G153-1,"-")</f>
        <v>1.7857142857142794E-2</v>
      </c>
      <c r="J153" s="161">
        <f t="shared" si="101"/>
        <v>2.6687475614514239E-3</v>
      </c>
      <c r="K153" s="160">
        <v>2051</v>
      </c>
      <c r="L153" s="160">
        <v>12</v>
      </c>
      <c r="M153" s="160">
        <v>1257</v>
      </c>
      <c r="N153" s="160">
        <v>1653</v>
      </c>
      <c r="O153" s="160">
        <v>1869</v>
      </c>
      <c r="P153" s="160">
        <v>974</v>
      </c>
      <c r="Q153" s="161">
        <f t="shared" ref="Q153:Q160" si="105">IFERROR(P153/O153-1,"-")</f>
        <v>-0.47886570358480474</v>
      </c>
      <c r="R153" s="161">
        <f t="shared" si="103"/>
        <v>3.5757553507838025E-3</v>
      </c>
      <c r="S153" s="160">
        <v>2132</v>
      </c>
      <c r="T153" s="160">
        <v>1356</v>
      </c>
      <c r="U153" s="160">
        <v>1749</v>
      </c>
      <c r="V153" s="160">
        <v>2037</v>
      </c>
      <c r="W153" s="160">
        <v>1145</v>
      </c>
      <c r="X153" s="161">
        <f t="shared" ref="X153:X160" si="106">IFERROR(W153/V153-1,"-")</f>
        <v>-0.43789887088856161</v>
      </c>
      <c r="Y153" s="161">
        <f t="shared" ref="Y153:Y160" si="107">W153/W$8</f>
        <v>3.4030285468027877E-3</v>
      </c>
    </row>
    <row r="154" spans="1:25" s="56" customFormat="1" x14ac:dyDescent="0.25">
      <c r="B154" s="159" t="s">
        <v>113</v>
      </c>
      <c r="C154" s="160">
        <v>201</v>
      </c>
      <c r="D154" s="160">
        <v>46</v>
      </c>
      <c r="E154" s="160">
        <v>259</v>
      </c>
      <c r="F154" s="160">
        <v>339</v>
      </c>
      <c r="G154" s="160">
        <v>441</v>
      </c>
      <c r="H154" s="160">
        <v>462</v>
      </c>
      <c r="I154" s="161">
        <f t="shared" si="104"/>
        <v>4.7619047619047672E-2</v>
      </c>
      <c r="J154" s="161">
        <f t="shared" si="101"/>
        <v>7.2103004291845492E-3</v>
      </c>
      <c r="K154" s="160">
        <v>1426</v>
      </c>
      <c r="L154" s="160">
        <v>118</v>
      </c>
      <c r="M154" s="160">
        <v>593</v>
      </c>
      <c r="N154" s="160">
        <v>729</v>
      </c>
      <c r="O154" s="160">
        <v>713</v>
      </c>
      <c r="P154" s="160">
        <v>634</v>
      </c>
      <c r="Q154" s="161">
        <f t="shared" si="105"/>
        <v>-0.1107994389901823</v>
      </c>
      <c r="R154" s="161">
        <f t="shared" si="103"/>
        <v>2.3275450640625572E-3</v>
      </c>
      <c r="S154" s="160">
        <v>1627</v>
      </c>
      <c r="T154" s="160">
        <v>852</v>
      </c>
      <c r="U154" s="160">
        <v>1068</v>
      </c>
      <c r="V154" s="160">
        <v>1154</v>
      </c>
      <c r="W154" s="160">
        <v>1096</v>
      </c>
      <c r="X154" s="161">
        <f t="shared" si="106"/>
        <v>-5.0259965337954959E-2</v>
      </c>
      <c r="Y154" s="161">
        <f t="shared" si="107"/>
        <v>3.2573967574636292E-3</v>
      </c>
    </row>
    <row r="155" spans="1:25" x14ac:dyDescent="0.25">
      <c r="A155" s="56"/>
      <c r="B155" s="159" t="s">
        <v>116</v>
      </c>
      <c r="C155" s="160">
        <v>128</v>
      </c>
      <c r="D155" s="160">
        <v>62</v>
      </c>
      <c r="E155" s="160">
        <v>164</v>
      </c>
      <c r="F155" s="160">
        <v>226</v>
      </c>
      <c r="G155" s="160">
        <v>242</v>
      </c>
      <c r="H155" s="160">
        <v>391</v>
      </c>
      <c r="I155" s="161">
        <f t="shared" si="104"/>
        <v>0.61570247933884303</v>
      </c>
      <c r="J155" s="161">
        <f t="shared" si="101"/>
        <v>6.1022239563012096E-3</v>
      </c>
      <c r="K155" s="160">
        <v>611</v>
      </c>
      <c r="L155" s="160">
        <v>74</v>
      </c>
      <c r="M155" s="160">
        <v>244</v>
      </c>
      <c r="N155" s="160">
        <v>515</v>
      </c>
      <c r="O155" s="160">
        <v>572</v>
      </c>
      <c r="P155" s="160">
        <v>806</v>
      </c>
      <c r="Q155" s="161">
        <f t="shared" si="105"/>
        <v>0.40909090909090917</v>
      </c>
      <c r="R155" s="161">
        <f t="shared" si="103"/>
        <v>2.9589926208744813E-3</v>
      </c>
      <c r="S155" s="160">
        <v>739</v>
      </c>
      <c r="T155" s="160">
        <v>408</v>
      </c>
      <c r="U155" s="160">
        <v>741</v>
      </c>
      <c r="V155" s="160">
        <v>814</v>
      </c>
      <c r="W155" s="160">
        <v>1197</v>
      </c>
      <c r="X155" s="161">
        <f t="shared" si="106"/>
        <v>0.47051597051597049</v>
      </c>
      <c r="Y155" s="161">
        <f t="shared" si="107"/>
        <v>3.557576568142303E-3</v>
      </c>
    </row>
    <row r="156" spans="1:25" x14ac:dyDescent="0.25">
      <c r="A156" s="56"/>
      <c r="B156" s="159" t="s">
        <v>123</v>
      </c>
      <c r="C156" s="160">
        <v>82</v>
      </c>
      <c r="D156" s="160">
        <v>3</v>
      </c>
      <c r="E156" s="160">
        <v>69</v>
      </c>
      <c r="F156" s="160">
        <v>80</v>
      </c>
      <c r="G156" s="160">
        <v>113</v>
      </c>
      <c r="H156" s="160">
        <v>178</v>
      </c>
      <c r="I156" s="161">
        <f t="shared" si="104"/>
        <v>0.5752212389380531</v>
      </c>
      <c r="J156" s="161">
        <f t="shared" si="101"/>
        <v>2.7779945376511898E-3</v>
      </c>
      <c r="K156" s="160">
        <v>114</v>
      </c>
      <c r="L156" s="160">
        <v>9</v>
      </c>
      <c r="M156" s="160">
        <v>79</v>
      </c>
      <c r="N156" s="160">
        <v>94</v>
      </c>
      <c r="O156" s="160">
        <v>125</v>
      </c>
      <c r="P156" s="160">
        <v>134</v>
      </c>
      <c r="Q156" s="161">
        <f t="shared" si="105"/>
        <v>7.2000000000000064E-2</v>
      </c>
      <c r="R156" s="161">
        <f t="shared" si="103"/>
        <v>4.9194170123719664E-4</v>
      </c>
      <c r="S156" s="160">
        <v>196</v>
      </c>
      <c r="T156" s="160">
        <v>148</v>
      </c>
      <c r="U156" s="160">
        <v>174</v>
      </c>
      <c r="V156" s="160">
        <v>238</v>
      </c>
      <c r="W156" s="160">
        <v>312</v>
      </c>
      <c r="X156" s="161">
        <f t="shared" si="106"/>
        <v>0.31092436974789917</v>
      </c>
      <c r="Y156" s="161">
        <f t="shared" si="107"/>
        <v>9.2728812803709152E-4</v>
      </c>
    </row>
    <row r="157" spans="1:25" x14ac:dyDescent="0.25">
      <c r="A157" s="56"/>
      <c r="B157" s="159" t="s">
        <v>119</v>
      </c>
      <c r="C157" s="160">
        <v>54</v>
      </c>
      <c r="D157" s="160">
        <v>17</v>
      </c>
      <c r="E157" s="160">
        <v>50</v>
      </c>
      <c r="F157" s="160">
        <v>54</v>
      </c>
      <c r="G157" s="160">
        <v>93</v>
      </c>
      <c r="H157" s="160">
        <v>107</v>
      </c>
      <c r="I157" s="161">
        <f t="shared" si="104"/>
        <v>0.15053763440860224</v>
      </c>
      <c r="J157" s="161">
        <f t="shared" si="101"/>
        <v>1.6699180647678502E-3</v>
      </c>
      <c r="K157" s="160">
        <v>143</v>
      </c>
      <c r="L157" s="160">
        <v>9</v>
      </c>
      <c r="M157" s="160">
        <v>146</v>
      </c>
      <c r="N157" s="160">
        <v>216</v>
      </c>
      <c r="O157" s="160">
        <v>215</v>
      </c>
      <c r="P157" s="160">
        <v>239</v>
      </c>
      <c r="Q157" s="161">
        <f t="shared" si="105"/>
        <v>0.1116279069767443</v>
      </c>
      <c r="R157" s="161">
        <f t="shared" si="103"/>
        <v>8.7741840743052241E-4</v>
      </c>
      <c r="S157" s="160">
        <v>197</v>
      </c>
      <c r="T157" s="160">
        <v>196</v>
      </c>
      <c r="U157" s="160">
        <v>270</v>
      </c>
      <c r="V157" s="160">
        <v>308</v>
      </c>
      <c r="W157" s="160">
        <v>346</v>
      </c>
      <c r="X157" s="161">
        <f t="shared" si="106"/>
        <v>0.12337662337662336</v>
      </c>
      <c r="Y157" s="161">
        <f t="shared" si="107"/>
        <v>1.0283387573744669E-3</v>
      </c>
    </row>
    <row r="158" spans="1:25" x14ac:dyDescent="0.25">
      <c r="A158" s="56"/>
      <c r="B158" s="159" t="s">
        <v>128</v>
      </c>
      <c r="C158" s="160">
        <v>20</v>
      </c>
      <c r="D158" s="160">
        <v>4</v>
      </c>
      <c r="E158" s="160">
        <v>31</v>
      </c>
      <c r="F158" s="160">
        <v>15</v>
      </c>
      <c r="G158" s="160">
        <v>16</v>
      </c>
      <c r="H158" s="160">
        <v>14</v>
      </c>
      <c r="I158" s="161">
        <f t="shared" si="104"/>
        <v>-0.125</v>
      </c>
      <c r="J158" s="161">
        <f t="shared" si="101"/>
        <v>2.1849395239953179E-4</v>
      </c>
      <c r="K158" s="160">
        <v>96</v>
      </c>
      <c r="L158" s="160">
        <v>2</v>
      </c>
      <c r="M158" s="160">
        <v>65</v>
      </c>
      <c r="N158" s="160">
        <v>38</v>
      </c>
      <c r="O158" s="160">
        <v>109</v>
      </c>
      <c r="P158" s="160">
        <v>43</v>
      </c>
      <c r="Q158" s="161">
        <f t="shared" si="105"/>
        <v>-0.60550458715596323</v>
      </c>
      <c r="R158" s="161">
        <f t="shared" si="103"/>
        <v>1.5786188920298102E-4</v>
      </c>
      <c r="S158" s="160">
        <v>116</v>
      </c>
      <c r="T158" s="160">
        <v>96</v>
      </c>
      <c r="U158" s="160">
        <v>53</v>
      </c>
      <c r="V158" s="160">
        <v>125</v>
      </c>
      <c r="W158" s="160">
        <v>57</v>
      </c>
      <c r="X158" s="161">
        <f t="shared" si="106"/>
        <v>-0.54400000000000004</v>
      </c>
      <c r="Y158" s="161">
        <f t="shared" si="107"/>
        <v>1.6940840800677633E-4</v>
      </c>
    </row>
    <row r="159" spans="1:25" x14ac:dyDescent="0.25">
      <c r="A159" s="56"/>
      <c r="B159" s="159" t="s">
        <v>131</v>
      </c>
      <c r="C159" s="160">
        <v>29</v>
      </c>
      <c r="D159" s="160">
        <v>5</v>
      </c>
      <c r="E159" s="160">
        <v>10</v>
      </c>
      <c r="F159" s="160">
        <v>12</v>
      </c>
      <c r="G159" s="160">
        <v>16</v>
      </c>
      <c r="H159" s="160">
        <v>19</v>
      </c>
      <c r="I159" s="161">
        <f t="shared" si="104"/>
        <v>0.1875</v>
      </c>
      <c r="J159" s="161">
        <f t="shared" si="101"/>
        <v>2.96527506827936E-4</v>
      </c>
      <c r="K159" s="160">
        <v>114</v>
      </c>
      <c r="L159" s="160">
        <v>5</v>
      </c>
      <c r="M159" s="160">
        <v>114</v>
      </c>
      <c r="N159" s="160">
        <v>198</v>
      </c>
      <c r="O159" s="160">
        <v>105</v>
      </c>
      <c r="P159" s="160">
        <v>58</v>
      </c>
      <c r="Q159" s="161">
        <f t="shared" si="105"/>
        <v>-0.44761904761904758</v>
      </c>
      <c r="R159" s="161">
        <f t="shared" si="103"/>
        <v>2.1292999008774185E-4</v>
      </c>
      <c r="S159" s="160">
        <v>143</v>
      </c>
      <c r="T159" s="160">
        <v>124</v>
      </c>
      <c r="U159" s="160">
        <v>210</v>
      </c>
      <c r="V159" s="160">
        <v>121</v>
      </c>
      <c r="W159" s="160">
        <v>77</v>
      </c>
      <c r="X159" s="161">
        <f t="shared" si="106"/>
        <v>-0.36363636363636365</v>
      </c>
      <c r="Y159" s="161">
        <f t="shared" si="107"/>
        <v>2.2884995467582067E-4</v>
      </c>
    </row>
    <row r="160" spans="1:25" x14ac:dyDescent="0.25">
      <c r="A160" s="56"/>
      <c r="B160" s="164" t="s">
        <v>145</v>
      </c>
      <c r="C160" s="165">
        <f t="shared" ref="C160:H160" si="108">C152-SUM(C153:C159)</f>
        <v>353</v>
      </c>
      <c r="D160" s="165">
        <f t="shared" si="108"/>
        <v>95</v>
      </c>
      <c r="E160" s="165">
        <f t="shared" si="108"/>
        <v>486</v>
      </c>
      <c r="F160" s="165">
        <f t="shared" si="108"/>
        <v>495</v>
      </c>
      <c r="G160" s="165">
        <f t="shared" si="108"/>
        <v>689</v>
      </c>
      <c r="H160" s="165">
        <f t="shared" si="108"/>
        <v>931</v>
      </c>
      <c r="I160" s="166">
        <f t="shared" si="104"/>
        <v>0.35123367198838906</v>
      </c>
      <c r="J160" s="166">
        <f t="shared" si="101"/>
        <v>1.4529847834568864E-2</v>
      </c>
      <c r="K160" s="165">
        <f t="shared" ref="K160:P160" si="109">K152-SUM(K153:K159)</f>
        <v>829</v>
      </c>
      <c r="L160" s="165">
        <f t="shared" si="109"/>
        <v>150</v>
      </c>
      <c r="M160" s="165">
        <f t="shared" si="109"/>
        <v>459</v>
      </c>
      <c r="N160" s="165">
        <f t="shared" si="109"/>
        <v>689</v>
      </c>
      <c r="O160" s="165">
        <f t="shared" si="109"/>
        <v>846</v>
      </c>
      <c r="P160" s="165">
        <f t="shared" si="109"/>
        <v>839</v>
      </c>
      <c r="Q160" s="166">
        <f t="shared" si="105"/>
        <v>-8.2742316784869541E-3</v>
      </c>
      <c r="R160" s="166">
        <f t="shared" si="103"/>
        <v>3.0801424428209554E-3</v>
      </c>
      <c r="S160" s="165">
        <f>S152-SUM(S153:S159)</f>
        <v>1182</v>
      </c>
      <c r="T160" s="165">
        <f>T152-SUM(T153:T159)</f>
        <v>945</v>
      </c>
      <c r="U160" s="165">
        <f>U152-SUM(U153:U159)</f>
        <v>1184</v>
      </c>
      <c r="V160" s="165">
        <f>V152-SUM(V153:V159)</f>
        <v>1535</v>
      </c>
      <c r="W160" s="165">
        <f>W152-SUM(W153:W159)</f>
        <v>1770</v>
      </c>
      <c r="X160" s="166">
        <f t="shared" si="106"/>
        <v>0.15309446254071668</v>
      </c>
      <c r="Y160" s="166">
        <f t="shared" si="107"/>
        <v>5.2605768802104231E-3</v>
      </c>
    </row>
    <row r="161" spans="1:25" ht="6" customHeight="1" x14ac:dyDescent="0.25">
      <c r="A161" s="56"/>
      <c r="C161" s="79"/>
      <c r="D161" s="79"/>
      <c r="E161" s="79"/>
      <c r="F161" s="79"/>
      <c r="G161" s="79"/>
      <c r="H161" s="79"/>
      <c r="I161" s="79"/>
      <c r="K161" s="79"/>
      <c r="L161" s="79"/>
      <c r="M161" s="79"/>
      <c r="N161" s="79"/>
      <c r="O161" s="79"/>
      <c r="P161" s="79"/>
      <c r="Q161" s="79"/>
      <c r="S161" s="79"/>
      <c r="T161" s="79"/>
      <c r="U161" s="79"/>
      <c r="V161" s="79"/>
      <c r="W161" s="79"/>
      <c r="X161" s="79"/>
    </row>
    <row r="162" spans="1:25" ht="6" customHeight="1" x14ac:dyDescent="0.25">
      <c r="A162" s="56"/>
      <c r="B162" s="167"/>
      <c r="C162" s="167"/>
      <c r="D162" s="167"/>
      <c r="E162" s="167"/>
      <c r="F162" s="167"/>
      <c r="G162" s="167"/>
      <c r="H162" s="167"/>
      <c r="I162" s="167"/>
      <c r="J162" s="167"/>
      <c r="K162" s="167"/>
      <c r="L162" s="167"/>
      <c r="M162" s="167"/>
      <c r="N162" s="167"/>
      <c r="O162" s="167"/>
      <c r="P162" s="167"/>
      <c r="Q162" s="167"/>
      <c r="R162" s="167"/>
      <c r="S162" s="167"/>
      <c r="T162" s="167"/>
      <c r="U162" s="167"/>
      <c r="V162" s="167"/>
      <c r="W162" s="167"/>
      <c r="X162" s="167"/>
      <c r="Y162" s="167"/>
    </row>
    <row r="163" spans="1:25" x14ac:dyDescent="0.25">
      <c r="B163" s="105" t="s">
        <v>55</v>
      </c>
      <c r="C163" s="105"/>
      <c r="D163" s="105"/>
      <c r="E163" s="105"/>
      <c r="F163" s="105"/>
      <c r="G163" s="105"/>
      <c r="H163" s="105"/>
      <c r="I163" s="105"/>
      <c r="J163" s="105"/>
      <c r="K163" s="105"/>
      <c r="L163" s="105"/>
      <c r="M163" s="105"/>
      <c r="N163" s="105"/>
      <c r="O163" s="105"/>
      <c r="P163" s="105"/>
      <c r="Q163" s="105"/>
      <c r="R163" s="105"/>
      <c r="S163" s="105"/>
      <c r="T163" s="105"/>
      <c r="U163" s="105"/>
      <c r="V163" s="105"/>
      <c r="W163" s="105"/>
      <c r="X163" s="105"/>
      <c r="Y163" s="105"/>
    </row>
  </sheetData>
  <mergeCells count="3">
    <mergeCell ref="C5:J5"/>
    <mergeCell ref="K5:R5"/>
    <mergeCell ref="S5:Y5"/>
  </mergeCells>
  <pageMargins left="0.25" right="0.25" top="0.75" bottom="0.75" header="0.3" footer="0.3"/>
  <pageSetup paperSize="9" scale="20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B5E9B9-9628-4680-8C96-C40F840D6769}">
  <sheetPr codeName="Hoja19">
    <tabColor theme="7" tint="0.79998168889431442"/>
    <pageSetUpPr fitToPage="1"/>
  </sheetPr>
  <dimension ref="A1:Z164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26" width="10.5703125" customWidth="1"/>
  </cols>
  <sheetData>
    <row r="1" spans="1:26" ht="42.75" customHeight="1" x14ac:dyDescent="0.25"/>
    <row r="4" spans="1:26" ht="42" customHeight="1" thickBot="1" x14ac:dyDescent="0.3">
      <c r="B4" s="62" t="str">
        <f>CONCATENATE("Viajeros entrados en los establecimientos hoteleros de Tenerife según lugar de residencia, categoría y municipio del alojamiento")</f>
        <v>Viajeros entrados en los establecimientos hoteleros de Tenerife según lugar de residencia, categoría y municipio del alojamiento</v>
      </c>
      <c r="C4" s="140"/>
      <c r="D4" s="140"/>
      <c r="E4" s="140"/>
      <c r="F4" s="140"/>
      <c r="G4" s="140"/>
      <c r="H4" s="140"/>
      <c r="I4" s="140"/>
      <c r="J4" s="140"/>
      <c r="K4" s="140"/>
      <c r="L4" s="140"/>
      <c r="M4" s="140"/>
      <c r="N4" s="140"/>
      <c r="O4" s="140"/>
      <c r="P4" s="140"/>
      <c r="Q4" s="140"/>
      <c r="R4" s="140"/>
      <c r="S4" s="140"/>
      <c r="T4" s="140"/>
      <c r="U4" s="140"/>
      <c r="V4" s="140"/>
      <c r="W4" s="140"/>
      <c r="X4" s="140"/>
      <c r="Y4" s="140"/>
      <c r="Z4" s="140"/>
    </row>
    <row r="5" spans="1:26" ht="6" customHeight="1" x14ac:dyDescent="0.25"/>
    <row r="6" spans="1:26" ht="15.75" x14ac:dyDescent="0.25">
      <c r="B6" s="180"/>
      <c r="C6" s="298" t="s">
        <v>62</v>
      </c>
      <c r="D6" s="299"/>
      <c r="E6" s="299"/>
      <c r="F6" s="299"/>
      <c r="G6" s="299"/>
      <c r="H6" s="299"/>
      <c r="I6" s="299"/>
      <c r="J6" s="299"/>
      <c r="K6" s="298" t="s">
        <v>61</v>
      </c>
      <c r="L6" s="299"/>
      <c r="M6" s="299"/>
      <c r="N6" s="299"/>
      <c r="O6" s="299"/>
      <c r="P6" s="299"/>
      <c r="Q6" s="299"/>
      <c r="R6" s="299"/>
      <c r="S6" s="298" t="s">
        <v>137</v>
      </c>
      <c r="T6" s="299"/>
      <c r="U6" s="299"/>
      <c r="V6" s="299"/>
      <c r="W6" s="299"/>
      <c r="X6" s="299"/>
      <c r="Y6" s="299"/>
      <c r="Z6" s="299"/>
    </row>
    <row r="7" spans="1:26" s="142" customFormat="1" ht="72" customHeight="1" x14ac:dyDescent="0.25">
      <c r="B7" s="143"/>
      <c r="C7" s="181">
        <f>D7-1</f>
        <v>2020</v>
      </c>
      <c r="D7" s="181">
        <f>E7-1</f>
        <v>2021</v>
      </c>
      <c r="E7" s="181">
        <f>F7-1</f>
        <v>2022</v>
      </c>
      <c r="F7" s="181">
        <f>G7-1</f>
        <v>2023</v>
      </c>
      <c r="G7" s="181">
        <v>2024</v>
      </c>
      <c r="H7" s="169" t="str">
        <f>CONCATENATE("var. ",RIGHT(G7,2),"/",RIGHT(F7,2))</f>
        <v>var. 24/23</v>
      </c>
      <c r="I7" s="169" t="str">
        <f>CONCATENATE("var. ",RIGHT(G7,2),"/",RIGHT(C7,2))</f>
        <v>var. 24/20</v>
      </c>
      <c r="J7" s="169" t="str">
        <f>CONCATENATE("Cuota s/ total lugares de residencia ",RIGHT(G7,4))</f>
        <v>Cuota s/ total lugares de residencia 2024</v>
      </c>
      <c r="K7" s="181">
        <f>L7-1</f>
        <v>2020</v>
      </c>
      <c r="L7" s="181">
        <f>M7-1</f>
        <v>2021</v>
      </c>
      <c r="M7" s="181">
        <f>N7-1</f>
        <v>2022</v>
      </c>
      <c r="N7" s="181">
        <f>O7-1</f>
        <v>2023</v>
      </c>
      <c r="O7" s="181">
        <v>2024</v>
      </c>
      <c r="P7" s="169" t="str">
        <f>CONCATENATE("var. ",RIGHT(O7,2),"/",RIGHT(N7,2))</f>
        <v>var. 24/23</v>
      </c>
      <c r="Q7" s="169" t="str">
        <f>CONCATENATE("var. ",RIGHT(O7,2),"/",RIGHT(K7,2))</f>
        <v>var. 24/20</v>
      </c>
      <c r="R7" s="169" t="str">
        <f>CONCATENATE("Cuota s/ total lugares de residencia ",RIGHT(O7,4))</f>
        <v>Cuota s/ total lugares de residencia 2024</v>
      </c>
      <c r="S7" s="181">
        <f>T7-1</f>
        <v>2020</v>
      </c>
      <c r="T7" s="181">
        <f>U7-1</f>
        <v>2021</v>
      </c>
      <c r="U7" s="181">
        <f>V7-1</f>
        <v>2022</v>
      </c>
      <c r="V7" s="181">
        <f>W7-1</f>
        <v>2023</v>
      </c>
      <c r="W7" s="181">
        <v>2024</v>
      </c>
      <c r="X7" s="169" t="str">
        <f>CONCATENATE("var. ",RIGHT(W7,2),"/",RIGHT(V7,2))</f>
        <v>var. 24/23</v>
      </c>
      <c r="Y7" s="169" t="str">
        <f>CONCATENATE("var. ",RIGHT(W7,2),"/",RIGHT(S7,2))</f>
        <v>var. 24/20</v>
      </c>
      <c r="Z7" s="169" t="str">
        <f>CONCATENATE("Cuota s/ total lugares de residencia ",RIGHT(U7,4))</f>
        <v>Cuota s/ total lugares de residencia 2022</v>
      </c>
    </row>
    <row r="8" spans="1:26" x14ac:dyDescent="0.25">
      <c r="A8" s="1"/>
      <c r="B8" s="148" t="s">
        <v>43</v>
      </c>
      <c r="C8" s="149"/>
      <c r="D8" s="149"/>
      <c r="E8" s="149"/>
      <c r="F8" s="149"/>
      <c r="G8" s="149"/>
      <c r="H8" s="149"/>
      <c r="I8" s="149"/>
      <c r="J8" s="149"/>
      <c r="K8" s="149"/>
      <c r="L8" s="149"/>
      <c r="M8" s="149"/>
      <c r="N8" s="149"/>
      <c r="O8" s="149"/>
      <c r="P8" s="149"/>
      <c r="Q8" s="149"/>
      <c r="R8" s="149"/>
      <c r="S8" s="149"/>
      <c r="T8" s="149"/>
      <c r="U8" s="149"/>
      <c r="V8" s="149"/>
      <c r="W8" s="149"/>
      <c r="X8" s="149"/>
      <c r="Y8" s="149"/>
      <c r="Z8" s="149"/>
    </row>
    <row r="9" spans="1:26" x14ac:dyDescent="0.25">
      <c r="A9" s="1" t="s">
        <v>0</v>
      </c>
      <c r="B9" s="152" t="s">
        <v>68</v>
      </c>
      <c r="C9" s="172">
        <f>C10+C13</f>
        <v>244233</v>
      </c>
      <c r="D9" s="172">
        <f>D10+D13</f>
        <v>332855</v>
      </c>
      <c r="E9" s="172">
        <f>E10+E13</f>
        <v>672483</v>
      </c>
      <c r="F9" s="172">
        <f>F10+F13</f>
        <v>738404</v>
      </c>
      <c r="G9" s="172">
        <f>G10+G13</f>
        <v>758810</v>
      </c>
      <c r="H9" s="173">
        <f>IFERROR(G9/F9-1,"-")</f>
        <v>2.763527824876344E-2</v>
      </c>
      <c r="I9" s="173">
        <f>IFERROR(G9/C9-1,"-")</f>
        <v>2.1069102045997061</v>
      </c>
      <c r="J9" s="173">
        <f>G9/G$9</f>
        <v>1</v>
      </c>
      <c r="K9" s="172">
        <f>K10+K13</f>
        <v>956053</v>
      </c>
      <c r="L9" s="172">
        <f>L10+L13</f>
        <v>1525176</v>
      </c>
      <c r="M9" s="172">
        <f>M10+M13</f>
        <v>3104390</v>
      </c>
      <c r="N9" s="172">
        <f>N10+N13</f>
        <v>3350154</v>
      </c>
      <c r="O9" s="172">
        <f>O10+O13</f>
        <v>3520830</v>
      </c>
      <c r="P9" s="173">
        <f>IFERROR(O9/N9-1,"-")</f>
        <v>5.0945717719245165E-2</v>
      </c>
      <c r="Q9" s="173">
        <f>IFERROR(O9/K9-1,"-")</f>
        <v>2.6826724041449586</v>
      </c>
      <c r="R9" s="173">
        <f>O9/O$9</f>
        <v>1</v>
      </c>
      <c r="S9" s="172">
        <f>S10+S13</f>
        <v>1200286</v>
      </c>
      <c r="T9" s="172">
        <f>T10+T13</f>
        <v>1858031</v>
      </c>
      <c r="U9" s="172">
        <f>U10+U13</f>
        <v>3776873</v>
      </c>
      <c r="V9" s="172">
        <f>V10+V13</f>
        <v>4088558</v>
      </c>
      <c r="W9" s="172">
        <f>W10+W13</f>
        <v>4279640</v>
      </c>
      <c r="X9" s="173">
        <f>IFERROR(W9/V9-1,"-")</f>
        <v>4.6735792912806939E-2</v>
      </c>
      <c r="Y9" s="173">
        <f>IFERROR(W9/S9-1,"-")</f>
        <v>2.5655168851423742</v>
      </c>
      <c r="Z9" s="173">
        <f t="shared" ref="Z9:Z21" si="0">U9/U$9</f>
        <v>1</v>
      </c>
    </row>
    <row r="10" spans="1:26" x14ac:dyDescent="0.25">
      <c r="A10" s="1" t="s">
        <v>96</v>
      </c>
      <c r="B10" s="155" t="s">
        <v>97</v>
      </c>
      <c r="C10" s="156">
        <v>79595</v>
      </c>
      <c r="D10" s="156">
        <v>119848</v>
      </c>
      <c r="E10" s="156">
        <v>173672</v>
      </c>
      <c r="F10" s="156">
        <v>206738</v>
      </c>
      <c r="G10" s="156">
        <v>212287</v>
      </c>
      <c r="H10" s="157">
        <f>IFERROR(G10/F10-1,"-")</f>
        <v>2.684073561706124E-2</v>
      </c>
      <c r="I10" s="174">
        <f t="shared" ref="I10:I73" si="1">IFERROR(G10/C10-1,"-")</f>
        <v>1.6670896413091274</v>
      </c>
      <c r="J10" s="157">
        <f>G10/G$9</f>
        <v>0.27976305003887664</v>
      </c>
      <c r="K10" s="156">
        <v>297299</v>
      </c>
      <c r="L10" s="156">
        <v>549418</v>
      </c>
      <c r="M10" s="156">
        <v>688398</v>
      </c>
      <c r="N10" s="156">
        <v>674557</v>
      </c>
      <c r="O10" s="156">
        <v>676316</v>
      </c>
      <c r="P10" s="157">
        <f>IFERROR(O10/N10-1,"-")</f>
        <v>2.6076373086336702E-3</v>
      </c>
      <c r="Q10" s="174">
        <f t="shared" ref="Q10:Q21" si="2">IFERROR(O10/K10-1,"-")</f>
        <v>1.2748680621192805</v>
      </c>
      <c r="R10" s="157">
        <f>O10/O$9</f>
        <v>0.19208993333958185</v>
      </c>
      <c r="S10" s="156">
        <v>376894</v>
      </c>
      <c r="T10" s="156">
        <v>669266</v>
      </c>
      <c r="U10" s="156">
        <v>862070</v>
      </c>
      <c r="V10" s="156">
        <v>881295</v>
      </c>
      <c r="W10" s="156">
        <v>888603</v>
      </c>
      <c r="X10" s="157">
        <f>IFERROR(W10/V10-1,"-")</f>
        <v>8.2923425186798294E-3</v>
      </c>
      <c r="Y10" s="174">
        <f t="shared" ref="Y10:Y21" si="3">IFERROR(W10/S10-1,"-")</f>
        <v>1.3577000429829078</v>
      </c>
      <c r="Z10" s="157">
        <f t="shared" si="0"/>
        <v>0.2282496657949579</v>
      </c>
    </row>
    <row r="11" spans="1:26" x14ac:dyDescent="0.25">
      <c r="A11" s="158" t="s">
        <v>103</v>
      </c>
      <c r="B11" s="159" t="s">
        <v>103</v>
      </c>
      <c r="C11" s="160">
        <v>38726</v>
      </c>
      <c r="D11" s="160">
        <v>76913</v>
      </c>
      <c r="E11" s="160">
        <v>97401</v>
      </c>
      <c r="F11" s="160">
        <v>116854</v>
      </c>
      <c r="G11" s="160">
        <v>118239</v>
      </c>
      <c r="H11" s="161">
        <f>IFERROR(G11/F11-1,"-")</f>
        <v>1.1852397008232485E-2</v>
      </c>
      <c r="I11" s="175">
        <f t="shared" si="1"/>
        <v>2.0532200588751741</v>
      </c>
      <c r="J11" s="161">
        <f>G11/G$9</f>
        <v>0.15582161542415096</v>
      </c>
      <c r="K11" s="160">
        <v>112436</v>
      </c>
      <c r="L11" s="160">
        <v>248239</v>
      </c>
      <c r="M11" s="160">
        <v>235468</v>
      </c>
      <c r="N11" s="160">
        <v>223216</v>
      </c>
      <c r="O11" s="160">
        <v>221092</v>
      </c>
      <c r="P11" s="161">
        <f>IFERROR(O11/N11-1,"-")</f>
        <v>-9.5154469213676318E-3</v>
      </c>
      <c r="Q11" s="175">
        <f t="shared" si="2"/>
        <v>0.96638087445302223</v>
      </c>
      <c r="R11" s="161">
        <f>O11/O$9</f>
        <v>6.279542039803114E-2</v>
      </c>
      <c r="S11" s="160">
        <v>151162</v>
      </c>
      <c r="T11" s="160">
        <v>325152</v>
      </c>
      <c r="U11" s="160">
        <v>332869</v>
      </c>
      <c r="V11" s="160">
        <v>340070</v>
      </c>
      <c r="W11" s="160">
        <v>339331</v>
      </c>
      <c r="X11" s="161">
        <f>IFERROR(W11/V11-1,"-")</f>
        <v>-2.1730820125268613E-3</v>
      </c>
      <c r="Y11" s="175">
        <f t="shared" si="3"/>
        <v>1.2448168190418225</v>
      </c>
      <c r="Z11" s="161">
        <f t="shared" si="0"/>
        <v>8.8133490323873742E-2</v>
      </c>
    </row>
    <row r="12" spans="1:26" x14ac:dyDescent="0.25">
      <c r="A12" s="158" t="s">
        <v>100</v>
      </c>
      <c r="B12" s="159" t="s">
        <v>100</v>
      </c>
      <c r="C12" s="160">
        <v>40869</v>
      </c>
      <c r="D12" s="160">
        <v>42935</v>
      </c>
      <c r="E12" s="160">
        <v>76271</v>
      </c>
      <c r="F12" s="160">
        <v>89884</v>
      </c>
      <c r="G12" s="160">
        <v>94048</v>
      </c>
      <c r="H12" s="161">
        <f>IFERROR(G12/F12-1,"-")</f>
        <v>4.6326376218236875E-2</v>
      </c>
      <c r="I12" s="175">
        <f t="shared" si="1"/>
        <v>1.3012062932785242</v>
      </c>
      <c r="J12" s="161">
        <f>G12/G$9</f>
        <v>0.12394143461472569</v>
      </c>
      <c r="K12" s="160">
        <v>184863</v>
      </c>
      <c r="L12" s="160">
        <v>301179</v>
      </c>
      <c r="M12" s="160">
        <v>452930</v>
      </c>
      <c r="N12" s="160">
        <v>451341</v>
      </c>
      <c r="O12" s="160">
        <v>455224</v>
      </c>
      <c r="P12" s="161">
        <f>IFERROR(O12/N12-1,"-")</f>
        <v>8.6032512003120232E-3</v>
      </c>
      <c r="Q12" s="175">
        <f t="shared" si="2"/>
        <v>1.4624938467946533</v>
      </c>
      <c r="R12" s="161">
        <f>O12/O$9</f>
        <v>0.12929451294155073</v>
      </c>
      <c r="S12" s="160">
        <v>225732</v>
      </c>
      <c r="T12" s="160">
        <v>344114</v>
      </c>
      <c r="U12" s="160">
        <v>529201</v>
      </c>
      <c r="V12" s="160">
        <v>541225</v>
      </c>
      <c r="W12" s="160">
        <v>549272</v>
      </c>
      <c r="X12" s="161">
        <f>IFERROR(W12/V12-1,"-")</f>
        <v>1.4868123238948705E-2</v>
      </c>
      <c r="Y12" s="175">
        <f t="shared" si="3"/>
        <v>1.4332925770382579</v>
      </c>
      <c r="Z12" s="161">
        <f t="shared" si="0"/>
        <v>0.14011617547108415</v>
      </c>
    </row>
    <row r="13" spans="1:26" x14ac:dyDescent="0.25">
      <c r="A13" s="1" t="s">
        <v>146</v>
      </c>
      <c r="B13" s="155" t="s">
        <v>107</v>
      </c>
      <c r="C13" s="156">
        <v>164638</v>
      </c>
      <c r="D13" s="156">
        <v>213007</v>
      </c>
      <c r="E13" s="156">
        <v>498811</v>
      </c>
      <c r="F13" s="156">
        <v>531666</v>
      </c>
      <c r="G13" s="156">
        <v>546523</v>
      </c>
      <c r="H13" s="157">
        <f>IFERROR(G13/F13-1,"-")</f>
        <v>2.7944235666753192E-2</v>
      </c>
      <c r="I13" s="174">
        <f t="shared" si="1"/>
        <v>2.3195434832784656</v>
      </c>
      <c r="J13" s="157">
        <f>G13/G$9</f>
        <v>0.72023694996112331</v>
      </c>
      <c r="K13" s="156">
        <v>658754</v>
      </c>
      <c r="L13" s="156">
        <v>975758</v>
      </c>
      <c r="M13" s="156">
        <v>2415992</v>
      </c>
      <c r="N13" s="156">
        <v>2675597</v>
      </c>
      <c r="O13" s="156">
        <v>2844514</v>
      </c>
      <c r="P13" s="157">
        <f>IFERROR(O13/N13-1,"-")</f>
        <v>6.3132452308774401E-2</v>
      </c>
      <c r="Q13" s="174">
        <f t="shared" si="2"/>
        <v>3.3180215983508257</v>
      </c>
      <c r="R13" s="157">
        <f>O13/O$9</f>
        <v>0.80791006666041809</v>
      </c>
      <c r="S13" s="156">
        <v>823392</v>
      </c>
      <c r="T13" s="156">
        <v>1188765</v>
      </c>
      <c r="U13" s="156">
        <v>2914803</v>
      </c>
      <c r="V13" s="156">
        <v>3207263</v>
      </c>
      <c r="W13" s="156">
        <v>3391037</v>
      </c>
      <c r="X13" s="157">
        <f>IFERROR(W13/V13-1,"-")</f>
        <v>5.7299323441825534E-2</v>
      </c>
      <c r="Y13" s="174">
        <f t="shared" si="3"/>
        <v>3.1183749659943256</v>
      </c>
      <c r="Z13" s="157">
        <f t="shared" si="0"/>
        <v>0.77175033420504213</v>
      </c>
    </row>
    <row r="14" spans="1:26" x14ac:dyDescent="0.25">
      <c r="A14" s="158" t="s">
        <v>110</v>
      </c>
      <c r="B14" s="159" t="s">
        <v>110</v>
      </c>
      <c r="C14" s="160">
        <v>55984</v>
      </c>
      <c r="D14" s="160">
        <v>51463</v>
      </c>
      <c r="E14" s="160">
        <v>185404</v>
      </c>
      <c r="F14" s="160">
        <v>205688</v>
      </c>
      <c r="G14" s="160">
        <v>204540</v>
      </c>
      <c r="H14" s="161">
        <f t="shared" ref="H14:H21" si="4">IFERROR(G14/F14-1,"-")</f>
        <v>-5.5812687176695075E-3</v>
      </c>
      <c r="I14" s="175">
        <f t="shared" si="1"/>
        <v>2.6535438696770508</v>
      </c>
      <c r="J14" s="161">
        <f t="shared" ref="J14:J21" si="5">G14/G$9</f>
        <v>0.26955364320449127</v>
      </c>
      <c r="K14" s="160">
        <v>260474</v>
      </c>
      <c r="L14" s="160">
        <v>284717</v>
      </c>
      <c r="M14" s="160">
        <v>1132692</v>
      </c>
      <c r="N14" s="160">
        <v>1254072</v>
      </c>
      <c r="O14" s="160">
        <v>1327265</v>
      </c>
      <c r="P14" s="161">
        <f t="shared" ref="P14:P21" si="6">IFERROR(O14/N14-1,"-")</f>
        <v>5.8364272545754936E-2</v>
      </c>
      <c r="Q14" s="175">
        <f t="shared" si="2"/>
        <v>4.0955757580411101</v>
      </c>
      <c r="R14" s="161">
        <f t="shared" ref="R14:R21" si="7">O14/O$9</f>
        <v>0.37697503145565109</v>
      </c>
      <c r="S14" s="160">
        <v>316458</v>
      </c>
      <c r="T14" s="160">
        <v>336180</v>
      </c>
      <c r="U14" s="160">
        <v>1318096</v>
      </c>
      <c r="V14" s="160">
        <v>1459760</v>
      </c>
      <c r="W14" s="160">
        <v>1531805</v>
      </c>
      <c r="X14" s="161">
        <f t="shared" ref="X14:X21" si="8">IFERROR(W14/V14-1,"-")</f>
        <v>4.9354003397818813E-2</v>
      </c>
      <c r="Y14" s="175">
        <f t="shared" si="3"/>
        <v>3.8404685613888727</v>
      </c>
      <c r="Z14" s="161">
        <f t="shared" si="0"/>
        <v>0.34899134813376037</v>
      </c>
    </row>
    <row r="15" spans="1:26" x14ac:dyDescent="0.25">
      <c r="A15" s="158" t="s">
        <v>113</v>
      </c>
      <c r="B15" s="159" t="s">
        <v>113</v>
      </c>
      <c r="C15" s="160">
        <v>24167</v>
      </c>
      <c r="D15" s="160">
        <v>38221</v>
      </c>
      <c r="E15" s="160">
        <v>64721</v>
      </c>
      <c r="F15" s="160">
        <v>72627</v>
      </c>
      <c r="G15" s="160">
        <v>73563</v>
      </c>
      <c r="H15" s="161">
        <f t="shared" si="4"/>
        <v>1.2887769011524552E-2</v>
      </c>
      <c r="I15" s="175">
        <f t="shared" si="1"/>
        <v>2.0439442214590144</v>
      </c>
      <c r="J15" s="161">
        <f t="shared" si="5"/>
        <v>9.6945216852703575E-2</v>
      </c>
      <c r="K15" s="160">
        <v>92917</v>
      </c>
      <c r="L15" s="160">
        <v>156330</v>
      </c>
      <c r="M15" s="160">
        <v>274306</v>
      </c>
      <c r="N15" s="160">
        <v>309168</v>
      </c>
      <c r="O15" s="160">
        <v>317350</v>
      </c>
      <c r="P15" s="161">
        <f t="shared" si="6"/>
        <v>2.6464575894012299E-2</v>
      </c>
      <c r="Q15" s="175">
        <f t="shared" si="2"/>
        <v>2.4154137563632059</v>
      </c>
      <c r="R15" s="161">
        <f t="shared" si="7"/>
        <v>9.0134996577511547E-2</v>
      </c>
      <c r="S15" s="160">
        <v>117084</v>
      </c>
      <c r="T15" s="160">
        <v>194551</v>
      </c>
      <c r="U15" s="160">
        <v>339027</v>
      </c>
      <c r="V15" s="160">
        <v>381795</v>
      </c>
      <c r="W15" s="160">
        <v>390913</v>
      </c>
      <c r="X15" s="161">
        <f t="shared" si="8"/>
        <v>2.388192616456486E-2</v>
      </c>
      <c r="Y15" s="175">
        <f t="shared" si="3"/>
        <v>2.3387397082436543</v>
      </c>
      <c r="Z15" s="161">
        <f t="shared" si="0"/>
        <v>8.9763939640014376E-2</v>
      </c>
    </row>
    <row r="16" spans="1:26" x14ac:dyDescent="0.25">
      <c r="A16" s="158" t="s">
        <v>116</v>
      </c>
      <c r="B16" s="159" t="s">
        <v>116</v>
      </c>
      <c r="C16" s="160">
        <v>11046</v>
      </c>
      <c r="D16" s="160">
        <v>21498</v>
      </c>
      <c r="E16" s="160">
        <v>31998</v>
      </c>
      <c r="F16" s="160">
        <v>34482</v>
      </c>
      <c r="G16" s="160">
        <v>33626</v>
      </c>
      <c r="H16" s="161">
        <f t="shared" si="4"/>
        <v>-2.4824546140015058E-2</v>
      </c>
      <c r="I16" s="175">
        <f t="shared" si="1"/>
        <v>2.044178888285352</v>
      </c>
      <c r="J16" s="161">
        <f t="shared" si="5"/>
        <v>4.4314123430107669E-2</v>
      </c>
      <c r="K16" s="160">
        <v>37740</v>
      </c>
      <c r="L16" s="160">
        <v>83736</v>
      </c>
      <c r="M16" s="160">
        <v>134432</v>
      </c>
      <c r="N16" s="160">
        <v>142823</v>
      </c>
      <c r="O16" s="160">
        <v>158899</v>
      </c>
      <c r="P16" s="161">
        <f t="shared" si="6"/>
        <v>0.11255890157747706</v>
      </c>
      <c r="Q16" s="175">
        <f t="shared" si="2"/>
        <v>3.2103603603603608</v>
      </c>
      <c r="R16" s="161">
        <f t="shared" si="7"/>
        <v>4.5131119650764169E-2</v>
      </c>
      <c r="S16" s="160">
        <v>48786</v>
      </c>
      <c r="T16" s="160">
        <v>105234</v>
      </c>
      <c r="U16" s="160">
        <v>166430</v>
      </c>
      <c r="V16" s="160">
        <v>177305</v>
      </c>
      <c r="W16" s="160">
        <v>192525</v>
      </c>
      <c r="X16" s="161">
        <f t="shared" si="8"/>
        <v>8.5840782831843487E-2</v>
      </c>
      <c r="Y16" s="175">
        <f t="shared" si="3"/>
        <v>2.9463165662280164</v>
      </c>
      <c r="Z16" s="161">
        <f t="shared" si="0"/>
        <v>4.4065553700111178E-2</v>
      </c>
    </row>
    <row r="17" spans="1:26" x14ac:dyDescent="0.25">
      <c r="A17" s="158" t="s">
        <v>123</v>
      </c>
      <c r="B17" s="159" t="s">
        <v>123</v>
      </c>
      <c r="C17" s="160">
        <v>4317</v>
      </c>
      <c r="D17" s="160">
        <v>10076</v>
      </c>
      <c r="E17" s="160">
        <v>19335</v>
      </c>
      <c r="F17" s="160">
        <v>14809</v>
      </c>
      <c r="G17" s="160">
        <v>14135</v>
      </c>
      <c r="H17" s="161">
        <f t="shared" si="4"/>
        <v>-4.551286379904107E-2</v>
      </c>
      <c r="I17" s="175">
        <f t="shared" si="1"/>
        <v>2.2742645355570996</v>
      </c>
      <c r="J17" s="161">
        <f t="shared" si="5"/>
        <v>1.8627851504329145E-2</v>
      </c>
      <c r="K17" s="160">
        <v>23237</v>
      </c>
      <c r="L17" s="160">
        <v>56946</v>
      </c>
      <c r="M17" s="160">
        <v>104116</v>
      </c>
      <c r="N17" s="160">
        <v>102844</v>
      </c>
      <c r="O17" s="160">
        <v>113442</v>
      </c>
      <c r="P17" s="161">
        <f t="shared" si="6"/>
        <v>0.10304927851892187</v>
      </c>
      <c r="Q17" s="175">
        <f t="shared" si="2"/>
        <v>3.8819555020011185</v>
      </c>
      <c r="R17" s="161">
        <f t="shared" si="7"/>
        <v>3.2220243522124048E-2</v>
      </c>
      <c r="S17" s="160">
        <v>27554</v>
      </c>
      <c r="T17" s="160">
        <v>67022</v>
      </c>
      <c r="U17" s="160">
        <v>123451</v>
      </c>
      <c r="V17" s="160">
        <v>117653</v>
      </c>
      <c r="W17" s="160">
        <v>127577</v>
      </c>
      <c r="X17" s="161">
        <f t="shared" si="8"/>
        <v>8.4349740338112822E-2</v>
      </c>
      <c r="Y17" s="175">
        <f t="shared" si="3"/>
        <v>3.6300718588952599</v>
      </c>
      <c r="Z17" s="161">
        <f t="shared" si="0"/>
        <v>3.2686034187540861E-2</v>
      </c>
    </row>
    <row r="18" spans="1:26" x14ac:dyDescent="0.25">
      <c r="A18" s="158" t="s">
        <v>119</v>
      </c>
      <c r="B18" s="159" t="s">
        <v>119</v>
      </c>
      <c r="C18" s="160">
        <v>5016</v>
      </c>
      <c r="D18" s="160">
        <v>6294</v>
      </c>
      <c r="E18" s="160">
        <v>10411</v>
      </c>
      <c r="F18" s="160">
        <v>10569</v>
      </c>
      <c r="G18" s="160">
        <v>9946</v>
      </c>
      <c r="H18" s="161">
        <f t="shared" si="4"/>
        <v>-5.8945974075125362E-2</v>
      </c>
      <c r="I18" s="175">
        <f t="shared" si="1"/>
        <v>0.98285486443381176</v>
      </c>
      <c r="J18" s="161">
        <f t="shared" si="5"/>
        <v>1.3107365480159724E-2</v>
      </c>
      <c r="K18" s="160">
        <v>43640</v>
      </c>
      <c r="L18" s="160">
        <v>77431</v>
      </c>
      <c r="M18" s="160">
        <v>120097</v>
      </c>
      <c r="N18" s="160">
        <v>123841</v>
      </c>
      <c r="O18" s="160">
        <v>130344</v>
      </c>
      <c r="P18" s="161">
        <f t="shared" si="6"/>
        <v>5.2510880887589817E-2</v>
      </c>
      <c r="Q18" s="175">
        <f t="shared" si="2"/>
        <v>1.986801099908341</v>
      </c>
      <c r="R18" s="161">
        <f t="shared" si="7"/>
        <v>3.702081611438212E-2</v>
      </c>
      <c r="S18" s="160">
        <v>48656</v>
      </c>
      <c r="T18" s="160">
        <v>83725</v>
      </c>
      <c r="U18" s="160">
        <v>130508</v>
      </c>
      <c r="V18" s="160">
        <v>134410</v>
      </c>
      <c r="W18" s="160">
        <v>140290</v>
      </c>
      <c r="X18" s="161">
        <f t="shared" si="8"/>
        <v>4.3746745033851564E-2</v>
      </c>
      <c r="Y18" s="175">
        <f t="shared" si="3"/>
        <v>1.883303189740217</v>
      </c>
      <c r="Z18" s="161">
        <f t="shared" si="0"/>
        <v>3.4554511099525981E-2</v>
      </c>
    </row>
    <row r="19" spans="1:26" x14ac:dyDescent="0.25">
      <c r="A19" s="158" t="s">
        <v>128</v>
      </c>
      <c r="B19" s="159" t="s">
        <v>128</v>
      </c>
      <c r="C19" s="160">
        <v>3325</v>
      </c>
      <c r="D19" s="160">
        <v>2149</v>
      </c>
      <c r="E19" s="160">
        <v>5595</v>
      </c>
      <c r="F19" s="160">
        <v>6021</v>
      </c>
      <c r="G19" s="160">
        <v>5523</v>
      </c>
      <c r="H19" s="161">
        <f t="shared" si="4"/>
        <v>-8.2710513203786751E-2</v>
      </c>
      <c r="I19" s="175">
        <f t="shared" si="1"/>
        <v>0.66105263157894734</v>
      </c>
      <c r="J19" s="161">
        <f t="shared" si="5"/>
        <v>7.2785018647619302E-3</v>
      </c>
      <c r="K19" s="160">
        <v>14961</v>
      </c>
      <c r="L19" s="160">
        <v>12822</v>
      </c>
      <c r="M19" s="160">
        <v>35340</v>
      </c>
      <c r="N19" s="160">
        <v>38436</v>
      </c>
      <c r="O19" s="160">
        <v>36028</v>
      </c>
      <c r="P19" s="161">
        <f t="shared" si="6"/>
        <v>-6.2649599333957751E-2</v>
      </c>
      <c r="Q19" s="175">
        <f t="shared" si="2"/>
        <v>1.4081277989439207</v>
      </c>
      <c r="R19" s="161">
        <f t="shared" si="7"/>
        <v>1.0232814421599453E-2</v>
      </c>
      <c r="S19" s="160">
        <v>18286</v>
      </c>
      <c r="T19" s="160">
        <v>14971</v>
      </c>
      <c r="U19" s="160">
        <v>40935</v>
      </c>
      <c r="V19" s="160">
        <v>44457</v>
      </c>
      <c r="W19" s="160">
        <v>41551</v>
      </c>
      <c r="X19" s="161">
        <f t="shared" si="8"/>
        <v>-6.5366533954157924E-2</v>
      </c>
      <c r="Y19" s="175">
        <f t="shared" si="3"/>
        <v>1.2722848080498741</v>
      </c>
      <c r="Z19" s="161">
        <f t="shared" si="0"/>
        <v>1.0838331074409967E-2</v>
      </c>
    </row>
    <row r="20" spans="1:26" x14ac:dyDescent="0.25">
      <c r="A20" s="158" t="s">
        <v>131</v>
      </c>
      <c r="B20" s="159" t="s">
        <v>131</v>
      </c>
      <c r="C20" s="160">
        <v>3428</v>
      </c>
      <c r="D20" s="160">
        <v>1763</v>
      </c>
      <c r="E20" s="160">
        <v>3453</v>
      </c>
      <c r="F20" s="160">
        <v>4406</v>
      </c>
      <c r="G20" s="160">
        <v>3638</v>
      </c>
      <c r="H20" s="161">
        <f t="shared" si="4"/>
        <v>-0.17430776214253296</v>
      </c>
      <c r="I20" s="175">
        <f t="shared" si="1"/>
        <v>6.1260210035005924E-2</v>
      </c>
      <c r="J20" s="161">
        <f t="shared" si="5"/>
        <v>4.7943490465333881E-3</v>
      </c>
      <c r="K20" s="160">
        <v>22112</v>
      </c>
      <c r="L20" s="160">
        <v>10721</v>
      </c>
      <c r="M20" s="160">
        <v>31821</v>
      </c>
      <c r="N20" s="160">
        <v>40312</v>
      </c>
      <c r="O20" s="160">
        <v>37135</v>
      </c>
      <c r="P20" s="161">
        <f t="shared" si="6"/>
        <v>-7.8810279817424056E-2</v>
      </c>
      <c r="Q20" s="175">
        <f t="shared" si="2"/>
        <v>0.67940484804630974</v>
      </c>
      <c r="R20" s="161">
        <f t="shared" si="7"/>
        <v>1.0547228920453415E-2</v>
      </c>
      <c r="S20" s="160">
        <v>25540</v>
      </c>
      <c r="T20" s="160">
        <v>12484</v>
      </c>
      <c r="U20" s="160">
        <v>35274</v>
      </c>
      <c r="V20" s="160">
        <v>44718</v>
      </c>
      <c r="W20" s="160">
        <v>40773</v>
      </c>
      <c r="X20" s="161">
        <f t="shared" si="8"/>
        <v>-8.8219508922581458E-2</v>
      </c>
      <c r="Y20" s="175">
        <f t="shared" si="3"/>
        <v>0.59643696162881743</v>
      </c>
      <c r="Z20" s="161">
        <f t="shared" si="0"/>
        <v>9.3394720976850421E-3</v>
      </c>
    </row>
    <row r="21" spans="1:26" x14ac:dyDescent="0.25">
      <c r="A21" s="163" t="s">
        <v>145</v>
      </c>
      <c r="B21" s="164" t="s">
        <v>145</v>
      </c>
      <c r="C21" s="165">
        <f>C13-SUM(C14:C20)</f>
        <v>57355</v>
      </c>
      <c r="D21" s="165">
        <f>D13-SUM(D14:D20)</f>
        <v>81543</v>
      </c>
      <c r="E21" s="165">
        <f>E13-SUM(E14:E20)</f>
        <v>177894</v>
      </c>
      <c r="F21" s="165">
        <f>F13-SUM(F14:F20)</f>
        <v>183064</v>
      </c>
      <c r="G21" s="165">
        <f>G13-SUM(G14:G20)</f>
        <v>201552</v>
      </c>
      <c r="H21" s="166">
        <f t="shared" si="4"/>
        <v>0.10099200279683607</v>
      </c>
      <c r="I21" s="176">
        <f t="shared" si="1"/>
        <v>2.5141138523232498</v>
      </c>
      <c r="J21" s="166">
        <f t="shared" si="5"/>
        <v>0.26561589857803664</v>
      </c>
      <c r="K21" s="165">
        <f>K13-SUM(K14:K20)</f>
        <v>163673</v>
      </c>
      <c r="L21" s="165">
        <f>L13-SUM(L14:L20)</f>
        <v>293055</v>
      </c>
      <c r="M21" s="165">
        <f>M13-SUM(M14:M20)</f>
        <v>583188</v>
      </c>
      <c r="N21" s="165">
        <f>N13-SUM(N14:N20)</f>
        <v>664101</v>
      </c>
      <c r="O21" s="165">
        <f>O13-SUM(O14:O20)</f>
        <v>724051</v>
      </c>
      <c r="P21" s="166">
        <f t="shared" si="6"/>
        <v>9.0272413382904038E-2</v>
      </c>
      <c r="Q21" s="176">
        <f t="shared" si="2"/>
        <v>3.4237656791285058</v>
      </c>
      <c r="R21" s="166">
        <f t="shared" si="7"/>
        <v>0.2056478159979323</v>
      </c>
      <c r="S21" s="165">
        <f>S13-SUM(S14:S20)</f>
        <v>221028</v>
      </c>
      <c r="T21" s="165">
        <f>T13-SUM(T14:T20)</f>
        <v>374598</v>
      </c>
      <c r="U21" s="165">
        <f>U13-SUM(U14:U20)</f>
        <v>761082</v>
      </c>
      <c r="V21" s="165">
        <f>V13-SUM(V14:V20)</f>
        <v>847165</v>
      </c>
      <c r="W21" s="165">
        <f>W13-SUM(W14:W20)</f>
        <v>925603</v>
      </c>
      <c r="X21" s="166">
        <f t="shared" si="8"/>
        <v>9.258881091640947E-2</v>
      </c>
      <c r="Y21" s="176">
        <f t="shared" si="3"/>
        <v>3.1877182981341727</v>
      </c>
      <c r="Z21" s="166">
        <f t="shared" si="0"/>
        <v>0.20151114427199432</v>
      </c>
    </row>
    <row r="22" spans="1:26" x14ac:dyDescent="0.25">
      <c r="A22" s="1"/>
      <c r="B22" s="151" t="s">
        <v>44</v>
      </c>
      <c r="C22" s="149"/>
      <c r="D22" s="149"/>
      <c r="E22" s="149"/>
      <c r="F22" s="149"/>
      <c r="G22" s="149"/>
      <c r="H22" s="149"/>
      <c r="I22" s="149"/>
      <c r="J22" s="149"/>
      <c r="K22" s="149"/>
      <c r="L22" s="149"/>
      <c r="M22" s="149"/>
      <c r="N22" s="149"/>
      <c r="O22" s="149"/>
      <c r="P22" s="149"/>
      <c r="Q22" s="149"/>
      <c r="R22" s="149"/>
      <c r="S22" s="149"/>
      <c r="T22" s="149"/>
      <c r="U22" s="149"/>
      <c r="V22" s="149"/>
      <c r="W22" s="149"/>
      <c r="X22" s="149"/>
      <c r="Y22" s="149"/>
      <c r="Z22" s="149"/>
    </row>
    <row r="23" spans="1:26" x14ac:dyDescent="0.25">
      <c r="A23" s="1" t="s">
        <v>0</v>
      </c>
      <c r="B23" s="152" t="s">
        <v>68</v>
      </c>
      <c r="C23" s="172">
        <f>C24+C27</f>
        <v>42852</v>
      </c>
      <c r="D23" s="172">
        <f>D24+D27</f>
        <v>64946</v>
      </c>
      <c r="E23" s="172">
        <f>E24+E27</f>
        <v>165265</v>
      </c>
      <c r="F23" s="172">
        <f>F24+F27</f>
        <v>165616</v>
      </c>
      <c r="G23" s="172">
        <f>G24+G27</f>
        <v>152897</v>
      </c>
      <c r="H23" s="173">
        <f>IFERROR(G23/F23-1,"-")</f>
        <v>-7.6798135445850679E-2</v>
      </c>
      <c r="I23" s="173">
        <f t="shared" si="1"/>
        <v>2.568024829646224</v>
      </c>
      <c r="J23" s="173">
        <f>G23/G$9</f>
        <v>0.20149576310275299</v>
      </c>
      <c r="K23" s="172">
        <f>K24+K27</f>
        <v>398770</v>
      </c>
      <c r="L23" s="172">
        <f>L24+L27</f>
        <v>687822</v>
      </c>
      <c r="M23" s="172">
        <f>M24+M27</f>
        <v>1325364</v>
      </c>
      <c r="N23" s="172">
        <f>N24+N27</f>
        <v>1377487</v>
      </c>
      <c r="O23" s="172">
        <f>O24+O27</f>
        <v>1420992</v>
      </c>
      <c r="P23" s="173">
        <f>IFERROR(O23/N23-1,"-")</f>
        <v>3.158287519228864E-2</v>
      </c>
      <c r="Q23" s="173">
        <f t="shared" ref="Q23:Q86" si="9">IFERROR(O23/K23-1,"-")</f>
        <v>2.5634375705293779</v>
      </c>
      <c r="R23" s="173">
        <f>O23/O$9</f>
        <v>0.40359574304922419</v>
      </c>
      <c r="S23" s="172">
        <f>S24+S27</f>
        <v>441622</v>
      </c>
      <c r="T23" s="172">
        <f>T24+T27</f>
        <v>752768</v>
      </c>
      <c r="U23" s="172">
        <f>U24+U27</f>
        <v>1490629</v>
      </c>
      <c r="V23" s="172">
        <f>V24+V27</f>
        <v>1543103</v>
      </c>
      <c r="W23" s="172">
        <f>W24+W27</f>
        <v>1573889</v>
      </c>
      <c r="X23" s="173">
        <f>IFERROR(W23/V23-1,"-")</f>
        <v>1.9950709706351377E-2</v>
      </c>
      <c r="Y23" s="173">
        <f t="shared" ref="Y23:Y86" si="10">IFERROR(W23/S23-1,"-")</f>
        <v>2.5638826870038178</v>
      </c>
      <c r="Z23" s="173">
        <f t="shared" ref="Z23:Z35" si="11">U23/U$9</f>
        <v>0.39467278883880924</v>
      </c>
    </row>
    <row r="24" spans="1:26" x14ac:dyDescent="0.25">
      <c r="A24" s="1" t="s">
        <v>96</v>
      </c>
      <c r="B24" s="155" t="s">
        <v>97</v>
      </c>
      <c r="C24" s="156">
        <v>2953</v>
      </c>
      <c r="D24" s="156">
        <v>8952</v>
      </c>
      <c r="E24" s="156">
        <v>12689</v>
      </c>
      <c r="F24" s="156">
        <v>11581</v>
      </c>
      <c r="G24" s="156">
        <v>7728</v>
      </c>
      <c r="H24" s="157">
        <f>IFERROR(G24/F24-1,"-")</f>
        <v>-0.33270011225282792</v>
      </c>
      <c r="I24" s="174">
        <f t="shared" si="1"/>
        <v>1.6169996613613273</v>
      </c>
      <c r="J24" s="157">
        <f>G24/G$9</f>
        <v>1.0184367628260039E-2</v>
      </c>
      <c r="K24" s="156">
        <v>90143</v>
      </c>
      <c r="L24" s="156">
        <v>198275</v>
      </c>
      <c r="M24" s="156">
        <v>161372</v>
      </c>
      <c r="N24" s="156">
        <v>131261</v>
      </c>
      <c r="O24" s="156">
        <v>120636</v>
      </c>
      <c r="P24" s="157">
        <f>IFERROR(O24/N24-1,"-")</f>
        <v>-8.0945596940446896E-2</v>
      </c>
      <c r="Q24" s="174">
        <f t="shared" si="9"/>
        <v>0.33827363189598758</v>
      </c>
      <c r="R24" s="157">
        <f>O24/O$9</f>
        <v>3.42635117287685E-2</v>
      </c>
      <c r="S24" s="156">
        <v>93096</v>
      </c>
      <c r="T24" s="156">
        <v>207227</v>
      </c>
      <c r="U24" s="156">
        <v>174061</v>
      </c>
      <c r="V24" s="156">
        <v>142842</v>
      </c>
      <c r="W24" s="156">
        <v>128364</v>
      </c>
      <c r="X24" s="157">
        <f>IFERROR(W24/V24-1,"-")</f>
        <v>-0.10135674381484439</v>
      </c>
      <c r="Y24" s="174">
        <f t="shared" si="10"/>
        <v>0.37883475122454247</v>
      </c>
      <c r="Z24" s="157">
        <f t="shared" si="11"/>
        <v>4.6086008187196124E-2</v>
      </c>
    </row>
    <row r="25" spans="1:26" x14ac:dyDescent="0.25">
      <c r="A25" s="158" t="s">
        <v>103</v>
      </c>
      <c r="B25" s="159" t="s">
        <v>103</v>
      </c>
      <c r="C25" s="160">
        <v>1786</v>
      </c>
      <c r="D25" s="160">
        <v>4418</v>
      </c>
      <c r="E25" s="160">
        <v>6088</v>
      </c>
      <c r="F25" s="160">
        <v>5359</v>
      </c>
      <c r="G25" s="160">
        <v>2401</v>
      </c>
      <c r="H25" s="161">
        <f>IFERROR(G25/F25-1,"-")</f>
        <v>-0.5519686508676992</v>
      </c>
      <c r="I25" s="175">
        <f t="shared" si="1"/>
        <v>0.34434490481522961</v>
      </c>
      <c r="J25" s="161">
        <f>G25/G$9</f>
        <v>3.1641649424757187E-3</v>
      </c>
      <c r="K25" s="160">
        <v>45044</v>
      </c>
      <c r="L25" s="160">
        <v>92809</v>
      </c>
      <c r="M25" s="160">
        <v>62381</v>
      </c>
      <c r="N25" s="160">
        <v>49573</v>
      </c>
      <c r="O25" s="160">
        <v>41582</v>
      </c>
      <c r="P25" s="161">
        <f>IFERROR(O25/N25-1,"-")</f>
        <v>-0.16119661912734751</v>
      </c>
      <c r="Q25" s="175">
        <f t="shared" si="9"/>
        <v>-7.6858183109848155E-2</v>
      </c>
      <c r="R25" s="161">
        <f>O25/O$9</f>
        <v>1.1810283370682481E-2</v>
      </c>
      <c r="S25" s="160">
        <v>46830</v>
      </c>
      <c r="T25" s="160">
        <v>97227</v>
      </c>
      <c r="U25" s="160">
        <v>68469</v>
      </c>
      <c r="V25" s="160">
        <v>54932</v>
      </c>
      <c r="W25" s="160">
        <v>43983</v>
      </c>
      <c r="X25" s="161">
        <f>IFERROR(W25/V25-1,"-")</f>
        <v>-0.19931915823199597</v>
      </c>
      <c r="Y25" s="175">
        <f t="shared" si="10"/>
        <v>-6.0794362588084572E-2</v>
      </c>
      <c r="Z25" s="161">
        <f t="shared" si="11"/>
        <v>1.812848883189877E-2</v>
      </c>
    </row>
    <row r="26" spans="1:26" x14ac:dyDescent="0.25">
      <c r="A26" s="158" t="s">
        <v>100</v>
      </c>
      <c r="B26" s="159" t="s">
        <v>100</v>
      </c>
      <c r="C26" s="160">
        <v>1167</v>
      </c>
      <c r="D26" s="160">
        <v>4534</v>
      </c>
      <c r="E26" s="160">
        <v>6601</v>
      </c>
      <c r="F26" s="160">
        <v>6222</v>
      </c>
      <c r="G26" s="160">
        <v>5327</v>
      </c>
      <c r="H26" s="161">
        <f>IFERROR(G26/F26-1,"-")</f>
        <v>-0.14384442301510769</v>
      </c>
      <c r="I26" s="175">
        <f t="shared" si="1"/>
        <v>3.5646958011996572</v>
      </c>
      <c r="J26" s="161">
        <f>G26/G$9</f>
        <v>7.0202026857843205E-3</v>
      </c>
      <c r="K26" s="160">
        <v>45099</v>
      </c>
      <c r="L26" s="160">
        <v>105466</v>
      </c>
      <c r="M26" s="160">
        <v>98991</v>
      </c>
      <c r="N26" s="160">
        <v>81688</v>
      </c>
      <c r="O26" s="160">
        <v>79054</v>
      </c>
      <c r="P26" s="161">
        <f>IFERROR(O26/N26-1,"-")</f>
        <v>-3.2244638135344283E-2</v>
      </c>
      <c r="Q26" s="175">
        <f t="shared" si="9"/>
        <v>0.75289917736535172</v>
      </c>
      <c r="R26" s="161">
        <f>O26/O$9</f>
        <v>2.2453228358086018E-2</v>
      </c>
      <c r="S26" s="160">
        <v>46266</v>
      </c>
      <c r="T26" s="160">
        <v>110000</v>
      </c>
      <c r="U26" s="160">
        <v>105592</v>
      </c>
      <c r="V26" s="160">
        <v>87910</v>
      </c>
      <c r="W26" s="160">
        <v>84381</v>
      </c>
      <c r="X26" s="161">
        <f>IFERROR(W26/V26-1,"-")</f>
        <v>-4.014332840404955E-2</v>
      </c>
      <c r="Y26" s="175">
        <f t="shared" si="10"/>
        <v>0.82382310984308127</v>
      </c>
      <c r="Z26" s="161">
        <f t="shared" si="11"/>
        <v>2.7957519355297358E-2</v>
      </c>
    </row>
    <row r="27" spans="1:26" x14ac:dyDescent="0.25">
      <c r="A27" s="1" t="s">
        <v>146</v>
      </c>
      <c r="B27" s="155" t="s">
        <v>107</v>
      </c>
      <c r="C27" s="156">
        <v>39899</v>
      </c>
      <c r="D27" s="156">
        <v>55994</v>
      </c>
      <c r="E27" s="156">
        <v>152576</v>
      </c>
      <c r="F27" s="156">
        <v>154035</v>
      </c>
      <c r="G27" s="156">
        <v>145169</v>
      </c>
      <c r="H27" s="157">
        <f>IFERROR(G27/F27-1,"-")</f>
        <v>-5.755834712889929E-2</v>
      </c>
      <c r="I27" s="174">
        <f t="shared" si="1"/>
        <v>2.6384119902754457</v>
      </c>
      <c r="J27" s="157">
        <f>G27/G$9</f>
        <v>0.19131139547449297</v>
      </c>
      <c r="K27" s="156">
        <v>308627</v>
      </c>
      <c r="L27" s="156">
        <v>489547</v>
      </c>
      <c r="M27" s="156">
        <v>1163992</v>
      </c>
      <c r="N27" s="156">
        <v>1246226</v>
      </c>
      <c r="O27" s="156">
        <v>1300356</v>
      </c>
      <c r="P27" s="157">
        <f>IFERROR(O27/N27-1,"-")</f>
        <v>4.3435139372794307E-2</v>
      </c>
      <c r="Q27" s="174">
        <f t="shared" si="9"/>
        <v>3.2133578721239555</v>
      </c>
      <c r="R27" s="157">
        <f>O27/O$9</f>
        <v>0.36933223132045567</v>
      </c>
      <c r="S27" s="156">
        <v>348526</v>
      </c>
      <c r="T27" s="156">
        <v>545541</v>
      </c>
      <c r="U27" s="156">
        <v>1316568</v>
      </c>
      <c r="V27" s="156">
        <v>1400261</v>
      </c>
      <c r="W27" s="156">
        <v>1445525</v>
      </c>
      <c r="X27" s="157">
        <f>IFERROR(W27/V27-1,"-")</f>
        <v>3.232540219287694E-2</v>
      </c>
      <c r="Y27" s="174">
        <f t="shared" si="10"/>
        <v>3.1475384906721446</v>
      </c>
      <c r="Z27" s="157">
        <f t="shared" si="11"/>
        <v>0.34858678065161314</v>
      </c>
    </row>
    <row r="28" spans="1:26" x14ac:dyDescent="0.25">
      <c r="A28" s="158" t="s">
        <v>110</v>
      </c>
      <c r="B28" s="159" t="s">
        <v>110</v>
      </c>
      <c r="C28" s="160">
        <v>14793</v>
      </c>
      <c r="D28" s="160">
        <v>16270</v>
      </c>
      <c r="E28" s="160">
        <v>66823</v>
      </c>
      <c r="F28" s="160">
        <v>69319</v>
      </c>
      <c r="G28" s="160">
        <v>63618</v>
      </c>
      <c r="H28" s="161">
        <f t="shared" ref="H28:H35" si="12">IFERROR(G28/F28-1,"-")</f>
        <v>-8.2242963689608928E-2</v>
      </c>
      <c r="I28" s="175">
        <f t="shared" si="1"/>
        <v>3.3005475562766176</v>
      </c>
      <c r="J28" s="161">
        <f t="shared" ref="J28:J35" si="13">G28/G$9</f>
        <v>8.383916922549782E-2</v>
      </c>
      <c r="K28" s="160">
        <v>128801</v>
      </c>
      <c r="L28" s="160">
        <v>159037</v>
      </c>
      <c r="M28" s="160">
        <v>590382</v>
      </c>
      <c r="N28" s="160">
        <v>640574</v>
      </c>
      <c r="O28" s="160">
        <v>669764</v>
      </c>
      <c r="P28" s="161">
        <f t="shared" ref="P28:P35" si="14">IFERROR(O28/N28-1,"-")</f>
        <v>4.5568505746408583E-2</v>
      </c>
      <c r="Q28" s="175">
        <f t="shared" si="9"/>
        <v>4.1999906833021479</v>
      </c>
      <c r="R28" s="161">
        <f t="shared" ref="R28:R35" si="15">O28/O$9</f>
        <v>0.19022900850083646</v>
      </c>
      <c r="S28" s="160">
        <v>143594</v>
      </c>
      <c r="T28" s="160">
        <v>175307</v>
      </c>
      <c r="U28" s="160">
        <v>657205</v>
      </c>
      <c r="V28" s="160">
        <v>709893</v>
      </c>
      <c r="W28" s="160">
        <v>733382</v>
      </c>
      <c r="X28" s="161">
        <f t="shared" ref="X28:X35" si="16">IFERROR(W28/V28-1,"-")</f>
        <v>3.3088085105783538E-2</v>
      </c>
      <c r="Y28" s="175">
        <f t="shared" si="10"/>
        <v>4.1073303898491584</v>
      </c>
      <c r="Z28" s="161">
        <f t="shared" si="11"/>
        <v>0.17400770425693424</v>
      </c>
    </row>
    <row r="29" spans="1:26" x14ac:dyDescent="0.25">
      <c r="A29" s="158" t="s">
        <v>113</v>
      </c>
      <c r="B29" s="159" t="s">
        <v>113</v>
      </c>
      <c r="C29" s="160">
        <v>7836</v>
      </c>
      <c r="D29" s="160">
        <v>14336</v>
      </c>
      <c r="E29" s="160">
        <v>27397</v>
      </c>
      <c r="F29" s="160">
        <v>30224</v>
      </c>
      <c r="G29" s="160">
        <v>29376</v>
      </c>
      <c r="H29" s="161">
        <f t="shared" si="12"/>
        <v>-2.8057173107464251E-2</v>
      </c>
      <c r="I29" s="175">
        <f t="shared" si="1"/>
        <v>2.7488514548238898</v>
      </c>
      <c r="J29" s="161">
        <f t="shared" si="13"/>
        <v>3.8713248375746231E-2</v>
      </c>
      <c r="K29" s="160">
        <v>41673</v>
      </c>
      <c r="L29" s="160">
        <v>81095</v>
      </c>
      <c r="M29" s="160">
        <v>128496</v>
      </c>
      <c r="N29" s="160">
        <v>137331</v>
      </c>
      <c r="O29" s="160">
        <v>137486</v>
      </c>
      <c r="P29" s="161">
        <f t="shared" si="14"/>
        <v>1.1286599529602981E-3</v>
      </c>
      <c r="Q29" s="175">
        <f t="shared" si="9"/>
        <v>2.2991625272958509</v>
      </c>
      <c r="R29" s="161">
        <f t="shared" si="15"/>
        <v>3.9049315076274627E-2</v>
      </c>
      <c r="S29" s="160">
        <v>49509</v>
      </c>
      <c r="T29" s="160">
        <v>95431</v>
      </c>
      <c r="U29" s="160">
        <v>155893</v>
      </c>
      <c r="V29" s="160">
        <v>167555</v>
      </c>
      <c r="W29" s="160">
        <v>166862</v>
      </c>
      <c r="X29" s="161">
        <f t="shared" si="16"/>
        <v>-4.1359553579422004E-3</v>
      </c>
      <c r="Y29" s="175">
        <f t="shared" si="10"/>
        <v>2.3703367064574117</v>
      </c>
      <c r="Z29" s="161">
        <f t="shared" si="11"/>
        <v>4.1275679642921538E-2</v>
      </c>
    </row>
    <row r="30" spans="1:26" x14ac:dyDescent="0.25">
      <c r="A30" s="158" t="s">
        <v>116</v>
      </c>
      <c r="B30" s="159" t="s">
        <v>116</v>
      </c>
      <c r="C30" s="160">
        <v>3230</v>
      </c>
      <c r="D30" s="160">
        <v>4987</v>
      </c>
      <c r="E30" s="160">
        <v>4132</v>
      </c>
      <c r="F30" s="160">
        <v>2982</v>
      </c>
      <c r="G30" s="160">
        <v>3034</v>
      </c>
      <c r="H30" s="161">
        <f t="shared" si="12"/>
        <v>1.7437961099932897E-2</v>
      </c>
      <c r="I30" s="175">
        <f t="shared" si="1"/>
        <v>-6.0681114551083604E-2</v>
      </c>
      <c r="J30" s="161">
        <f t="shared" si="13"/>
        <v>3.9983658623370805E-3</v>
      </c>
      <c r="K30" s="160">
        <v>13936</v>
      </c>
      <c r="L30" s="160">
        <v>30800</v>
      </c>
      <c r="M30" s="160">
        <v>48228</v>
      </c>
      <c r="N30" s="160">
        <v>43489</v>
      </c>
      <c r="O30" s="160">
        <v>39137</v>
      </c>
      <c r="P30" s="161">
        <f t="shared" si="14"/>
        <v>-0.10007128239324892</v>
      </c>
      <c r="Q30" s="175">
        <f t="shared" si="9"/>
        <v>1.8083381171067736</v>
      </c>
      <c r="R30" s="161">
        <f t="shared" si="15"/>
        <v>1.1115844843403402E-2</v>
      </c>
      <c r="S30" s="160">
        <v>17166</v>
      </c>
      <c r="T30" s="160">
        <v>35787</v>
      </c>
      <c r="U30" s="160">
        <v>52360</v>
      </c>
      <c r="V30" s="160">
        <v>46471</v>
      </c>
      <c r="W30" s="160">
        <v>42171</v>
      </c>
      <c r="X30" s="161">
        <f t="shared" si="16"/>
        <v>-9.2530825676228168E-2</v>
      </c>
      <c r="Y30" s="175">
        <f t="shared" si="10"/>
        <v>1.4566585110101364</v>
      </c>
      <c r="Z30" s="161">
        <f t="shared" si="11"/>
        <v>1.3863320265203516E-2</v>
      </c>
    </row>
    <row r="31" spans="1:26" x14ac:dyDescent="0.25">
      <c r="A31" s="158" t="s">
        <v>123</v>
      </c>
      <c r="B31" s="159" t="s">
        <v>123</v>
      </c>
      <c r="C31" s="160">
        <v>1736</v>
      </c>
      <c r="D31" s="160">
        <v>3938</v>
      </c>
      <c r="E31" s="160">
        <v>7950</v>
      </c>
      <c r="F31" s="160">
        <v>4040</v>
      </c>
      <c r="G31" s="160">
        <v>3255</v>
      </c>
      <c r="H31" s="161">
        <f t="shared" si="12"/>
        <v>-0.19430693069306926</v>
      </c>
      <c r="I31" s="175">
        <f t="shared" si="1"/>
        <v>0.875</v>
      </c>
      <c r="J31" s="161">
        <f t="shared" si="13"/>
        <v>4.2896113651638753E-3</v>
      </c>
      <c r="K31" s="160">
        <v>12314</v>
      </c>
      <c r="L31" s="160">
        <v>32115</v>
      </c>
      <c r="M31" s="160">
        <v>56445</v>
      </c>
      <c r="N31" s="160">
        <v>53434</v>
      </c>
      <c r="O31" s="160">
        <v>57796</v>
      </c>
      <c r="P31" s="161">
        <f t="shared" si="14"/>
        <v>8.1633416925553037E-2</v>
      </c>
      <c r="Q31" s="175">
        <f t="shared" si="9"/>
        <v>3.6935195712197499</v>
      </c>
      <c r="R31" s="161">
        <f t="shared" si="15"/>
        <v>1.6415447493914787E-2</v>
      </c>
      <c r="S31" s="160">
        <v>14050</v>
      </c>
      <c r="T31" s="160">
        <v>36053</v>
      </c>
      <c r="U31" s="160">
        <v>64395</v>
      </c>
      <c r="V31" s="160">
        <v>57474</v>
      </c>
      <c r="W31" s="160">
        <v>61051</v>
      </c>
      <c r="X31" s="161">
        <f t="shared" si="16"/>
        <v>6.2236837526533639E-2</v>
      </c>
      <c r="Y31" s="175">
        <f t="shared" si="10"/>
        <v>3.3452669039145908</v>
      </c>
      <c r="Z31" s="161">
        <f t="shared" si="11"/>
        <v>1.7049818725702454E-2</v>
      </c>
    </row>
    <row r="32" spans="1:26" x14ac:dyDescent="0.25">
      <c r="A32" s="158" t="s">
        <v>119</v>
      </c>
      <c r="B32" s="159" t="s">
        <v>119</v>
      </c>
      <c r="C32" s="160">
        <v>1403</v>
      </c>
      <c r="D32" s="160">
        <v>2232</v>
      </c>
      <c r="E32" s="160">
        <v>4497</v>
      </c>
      <c r="F32" s="160">
        <v>3231</v>
      </c>
      <c r="G32" s="160">
        <v>2567</v>
      </c>
      <c r="H32" s="161">
        <f t="shared" si="12"/>
        <v>-0.20550913030021667</v>
      </c>
      <c r="I32" s="175">
        <f t="shared" si="1"/>
        <v>0.8296507483962936</v>
      </c>
      <c r="J32" s="161">
        <f t="shared" si="13"/>
        <v>3.3829285328343065E-3</v>
      </c>
      <c r="K32" s="160">
        <v>25064</v>
      </c>
      <c r="L32" s="160">
        <v>46414</v>
      </c>
      <c r="M32" s="160">
        <v>73182</v>
      </c>
      <c r="N32" s="160">
        <v>71382</v>
      </c>
      <c r="O32" s="160">
        <v>73828</v>
      </c>
      <c r="P32" s="161">
        <f t="shared" si="14"/>
        <v>3.4266341654758836E-2</v>
      </c>
      <c r="Q32" s="175">
        <f t="shared" si="9"/>
        <v>1.9455793169486117</v>
      </c>
      <c r="R32" s="161">
        <f t="shared" si="15"/>
        <v>2.0968919260515275E-2</v>
      </c>
      <c r="S32" s="160">
        <v>26467</v>
      </c>
      <c r="T32" s="160">
        <v>48646</v>
      </c>
      <c r="U32" s="160">
        <v>77679</v>
      </c>
      <c r="V32" s="160">
        <v>74613</v>
      </c>
      <c r="W32" s="160">
        <v>76395</v>
      </c>
      <c r="X32" s="161">
        <f t="shared" si="16"/>
        <v>2.3883237505528454E-2</v>
      </c>
      <c r="Y32" s="175">
        <f t="shared" si="10"/>
        <v>1.8864246042241279</v>
      </c>
      <c r="Z32" s="161">
        <f t="shared" si="11"/>
        <v>2.0567014035155536E-2</v>
      </c>
    </row>
    <row r="33" spans="1:26" x14ac:dyDescent="0.25">
      <c r="A33" s="158" t="s">
        <v>128</v>
      </c>
      <c r="B33" s="159" t="s">
        <v>128</v>
      </c>
      <c r="C33" s="160">
        <v>1376</v>
      </c>
      <c r="D33" s="160">
        <v>590</v>
      </c>
      <c r="E33" s="160">
        <v>1708</v>
      </c>
      <c r="F33" s="160">
        <v>2116</v>
      </c>
      <c r="G33" s="160">
        <v>2577</v>
      </c>
      <c r="H33" s="161">
        <f t="shared" si="12"/>
        <v>0.21786389413988649</v>
      </c>
      <c r="I33" s="175">
        <f t="shared" si="1"/>
        <v>0.87281976744186052</v>
      </c>
      <c r="J33" s="161">
        <f t="shared" si="13"/>
        <v>3.3961070623739803E-3</v>
      </c>
      <c r="K33" s="160">
        <v>8223</v>
      </c>
      <c r="L33" s="160">
        <v>5697</v>
      </c>
      <c r="M33" s="160">
        <v>18357</v>
      </c>
      <c r="N33" s="160">
        <v>18861</v>
      </c>
      <c r="O33" s="160">
        <v>18273</v>
      </c>
      <c r="P33" s="161">
        <f t="shared" si="14"/>
        <v>-3.1175441386989022E-2</v>
      </c>
      <c r="Q33" s="175">
        <f t="shared" si="9"/>
        <v>1.2221816855162349</v>
      </c>
      <c r="R33" s="161">
        <f t="shared" si="15"/>
        <v>5.1899694106219271E-3</v>
      </c>
      <c r="S33" s="160">
        <v>9599</v>
      </c>
      <c r="T33" s="160">
        <v>6287</v>
      </c>
      <c r="U33" s="160">
        <v>20065</v>
      </c>
      <c r="V33" s="160">
        <v>20977</v>
      </c>
      <c r="W33" s="160">
        <v>20850</v>
      </c>
      <c r="X33" s="161">
        <f t="shared" si="16"/>
        <v>-6.054249892739616E-3</v>
      </c>
      <c r="Y33" s="175">
        <f t="shared" si="10"/>
        <v>1.1721012605479739</v>
      </c>
      <c r="Z33" s="161">
        <f t="shared" si="11"/>
        <v>5.3125958961288879E-3</v>
      </c>
    </row>
    <row r="34" spans="1:26" x14ac:dyDescent="0.25">
      <c r="A34" s="158" t="s">
        <v>131</v>
      </c>
      <c r="B34" s="159" t="s">
        <v>131</v>
      </c>
      <c r="C34" s="160">
        <v>669</v>
      </c>
      <c r="D34" s="160">
        <v>195</v>
      </c>
      <c r="E34" s="160">
        <v>794</v>
      </c>
      <c r="F34" s="160">
        <v>833</v>
      </c>
      <c r="G34" s="160">
        <v>620</v>
      </c>
      <c r="H34" s="161">
        <f t="shared" si="12"/>
        <v>-0.25570228091236491</v>
      </c>
      <c r="I34" s="175">
        <f t="shared" si="1"/>
        <v>-7.3243647234678577E-2</v>
      </c>
      <c r="J34" s="161">
        <f t="shared" si="13"/>
        <v>8.1706883145978568E-4</v>
      </c>
      <c r="K34" s="160">
        <v>10880</v>
      </c>
      <c r="L34" s="160">
        <v>4211</v>
      </c>
      <c r="M34" s="160">
        <v>16482</v>
      </c>
      <c r="N34" s="160">
        <v>21199</v>
      </c>
      <c r="O34" s="160">
        <v>19378</v>
      </c>
      <c r="P34" s="161">
        <f t="shared" si="14"/>
        <v>-8.59002783150149E-2</v>
      </c>
      <c r="Q34" s="175">
        <f t="shared" si="9"/>
        <v>0.78106617647058818</v>
      </c>
      <c r="R34" s="161">
        <f t="shared" si="15"/>
        <v>5.5038158616008154E-3</v>
      </c>
      <c r="S34" s="160">
        <v>11549</v>
      </c>
      <c r="T34" s="160">
        <v>4406</v>
      </c>
      <c r="U34" s="160">
        <v>17276</v>
      </c>
      <c r="V34" s="160">
        <v>22032</v>
      </c>
      <c r="W34" s="160">
        <v>19998</v>
      </c>
      <c r="X34" s="161">
        <f t="shared" si="16"/>
        <v>-9.2320261437908502E-2</v>
      </c>
      <c r="Y34" s="175">
        <f t="shared" si="10"/>
        <v>0.73157849164429822</v>
      </c>
      <c r="Z34" s="161">
        <f t="shared" si="11"/>
        <v>4.5741543334922828E-3</v>
      </c>
    </row>
    <row r="35" spans="1:26" x14ac:dyDescent="0.25">
      <c r="A35" s="163" t="s">
        <v>145</v>
      </c>
      <c r="B35" s="164" t="s">
        <v>145</v>
      </c>
      <c r="C35" s="165">
        <f>C27-SUM(C28:C34)</f>
        <v>8856</v>
      </c>
      <c r="D35" s="165">
        <f>D27-SUM(D28:D34)</f>
        <v>13446</v>
      </c>
      <c r="E35" s="165">
        <f>E27-SUM(E28:E34)</f>
        <v>39275</v>
      </c>
      <c r="F35" s="165">
        <f>F27-SUM(F28:F34)</f>
        <v>41290</v>
      </c>
      <c r="G35" s="165">
        <f>G27-SUM(G28:G34)</f>
        <v>40122</v>
      </c>
      <c r="H35" s="166">
        <f t="shared" si="12"/>
        <v>-2.8287720997820287E-2</v>
      </c>
      <c r="I35" s="176">
        <f t="shared" si="1"/>
        <v>3.5304878048780486</v>
      </c>
      <c r="J35" s="166">
        <f t="shared" si="13"/>
        <v>5.2874896219079877E-2</v>
      </c>
      <c r="K35" s="165">
        <f>K27-SUM(K28:K34)</f>
        <v>67736</v>
      </c>
      <c r="L35" s="165">
        <f>L27-SUM(L28:L34)</f>
        <v>130178</v>
      </c>
      <c r="M35" s="165">
        <f>M27-SUM(M28:M34)</f>
        <v>232420</v>
      </c>
      <c r="N35" s="165">
        <f>N27-SUM(N28:N34)</f>
        <v>259956</v>
      </c>
      <c r="O35" s="165">
        <f>O27-SUM(O28:O34)</f>
        <v>284694</v>
      </c>
      <c r="P35" s="166">
        <f t="shared" si="14"/>
        <v>9.5162258228315588E-2</v>
      </c>
      <c r="Q35" s="176">
        <f t="shared" si="9"/>
        <v>3.2029939766150939</v>
      </c>
      <c r="R35" s="166">
        <f t="shared" si="15"/>
        <v>8.0859910873288407E-2</v>
      </c>
      <c r="S35" s="165">
        <f>S27-SUM(S28:S34)</f>
        <v>76592</v>
      </c>
      <c r="T35" s="165">
        <f>T27-SUM(T28:T34)</f>
        <v>143624</v>
      </c>
      <c r="U35" s="165">
        <f>U27-SUM(U28:U34)</f>
        <v>271695</v>
      </c>
      <c r="V35" s="165">
        <f>V27-SUM(V28:V34)</f>
        <v>301246</v>
      </c>
      <c r="W35" s="165">
        <f>W27-SUM(W28:W34)</f>
        <v>324816</v>
      </c>
      <c r="X35" s="166">
        <f t="shared" si="16"/>
        <v>7.8241702794394019E-2</v>
      </c>
      <c r="Y35" s="176">
        <f t="shared" si="10"/>
        <v>3.2408606642991433</v>
      </c>
      <c r="Z35" s="166">
        <f t="shared" si="11"/>
        <v>7.1936493496074658E-2</v>
      </c>
    </row>
    <row r="36" spans="1:26" x14ac:dyDescent="0.25">
      <c r="A36" s="1"/>
      <c r="B36" s="151" t="s">
        <v>45</v>
      </c>
      <c r="C36" s="149"/>
      <c r="D36" s="149"/>
      <c r="E36" s="149"/>
      <c r="F36" s="149"/>
      <c r="G36" s="149"/>
      <c r="H36" s="149"/>
      <c r="I36" s="149"/>
      <c r="J36" s="149"/>
      <c r="K36" s="149"/>
      <c r="L36" s="149"/>
      <c r="M36" s="149"/>
      <c r="N36" s="149"/>
      <c r="O36" s="149"/>
      <c r="P36" s="149"/>
      <c r="Q36" s="149"/>
      <c r="R36" s="149"/>
      <c r="S36" s="149"/>
      <c r="T36" s="149"/>
      <c r="U36" s="149"/>
      <c r="V36" s="149"/>
      <c r="W36" s="149"/>
      <c r="X36" s="149"/>
      <c r="Y36" s="149"/>
      <c r="Z36" s="149"/>
    </row>
    <row r="37" spans="1:26" x14ac:dyDescent="0.25">
      <c r="A37" s="1" t="s">
        <v>0</v>
      </c>
      <c r="B37" s="152" t="s">
        <v>68</v>
      </c>
      <c r="C37" s="172">
        <f>C38+C41</f>
        <v>54285</v>
      </c>
      <c r="D37" s="172">
        <f>D38+D41</f>
        <v>50672</v>
      </c>
      <c r="E37" s="172">
        <f>E38+E41</f>
        <v>179190</v>
      </c>
      <c r="F37" s="172">
        <f>F38+F41</f>
        <v>201287</v>
      </c>
      <c r="G37" s="172">
        <f>G38+G41</f>
        <v>210210</v>
      </c>
      <c r="H37" s="173">
        <f>IFERROR(G37/F37-1,"-")</f>
        <v>4.432973813510066E-2</v>
      </c>
      <c r="I37" s="173">
        <f t="shared" si="1"/>
        <v>2.8723404255319149</v>
      </c>
      <c r="J37" s="173">
        <f>G37/G$9</f>
        <v>0.2770258694534864</v>
      </c>
      <c r="K37" s="172">
        <f>K38+K41</f>
        <v>151994</v>
      </c>
      <c r="L37" s="172">
        <f>L38+L41</f>
        <v>206077</v>
      </c>
      <c r="M37" s="172">
        <f>M38+M41</f>
        <v>573367</v>
      </c>
      <c r="N37" s="172">
        <f>N38+N41</f>
        <v>609226</v>
      </c>
      <c r="O37" s="172">
        <f>O38+O41</f>
        <v>651257</v>
      </c>
      <c r="P37" s="173">
        <f>IFERROR(O37/N37-1,"-")</f>
        <v>6.8990817857412567E-2</v>
      </c>
      <c r="Q37" s="173">
        <f t="shared" si="9"/>
        <v>3.2847546613682121</v>
      </c>
      <c r="R37" s="173">
        <f>O37/O$9</f>
        <v>0.18497257748883075</v>
      </c>
      <c r="S37" s="172">
        <f>S38+S41</f>
        <v>206279</v>
      </c>
      <c r="T37" s="172">
        <f>T38+T41</f>
        <v>256749</v>
      </c>
      <c r="U37" s="172">
        <f>U38+U41</f>
        <v>752557</v>
      </c>
      <c r="V37" s="172">
        <f>V38+V41</f>
        <v>810513</v>
      </c>
      <c r="W37" s="172">
        <f>W38+W41</f>
        <v>861467</v>
      </c>
      <c r="X37" s="173">
        <f>IFERROR(W37/V37-1,"-")</f>
        <v>6.2866357479768986E-2</v>
      </c>
      <c r="Y37" s="173">
        <f t="shared" si="10"/>
        <v>3.1762224947764919</v>
      </c>
      <c r="Z37" s="173">
        <f t="shared" ref="Z37:Z49" si="17">U37/U$9</f>
        <v>0.19925398603553787</v>
      </c>
    </row>
    <row r="38" spans="1:26" x14ac:dyDescent="0.25">
      <c r="A38" s="1" t="s">
        <v>96</v>
      </c>
      <c r="B38" s="155" t="s">
        <v>97</v>
      </c>
      <c r="C38" s="156">
        <v>5529</v>
      </c>
      <c r="D38" s="156">
        <v>6062</v>
      </c>
      <c r="E38" s="156">
        <v>22234</v>
      </c>
      <c r="F38" s="156">
        <v>28331</v>
      </c>
      <c r="G38" s="156">
        <v>31527</v>
      </c>
      <c r="H38" s="157">
        <f>IFERROR(G38/F38-1,"-")</f>
        <v>0.11280929017683805</v>
      </c>
      <c r="I38" s="174">
        <f t="shared" si="1"/>
        <v>4.7021161150298427</v>
      </c>
      <c r="J38" s="157">
        <f>G38/G$9</f>
        <v>4.1547950079730105E-2</v>
      </c>
      <c r="K38" s="156">
        <v>19247</v>
      </c>
      <c r="L38" s="156">
        <v>33772</v>
      </c>
      <c r="M38" s="156">
        <v>60854</v>
      </c>
      <c r="N38" s="156">
        <v>52810</v>
      </c>
      <c r="O38" s="156">
        <v>49280</v>
      </c>
      <c r="P38" s="157">
        <f>IFERROR(O38/N38-1,"-")</f>
        <v>-6.6843400871047121E-2</v>
      </c>
      <c r="Q38" s="174">
        <f t="shared" si="9"/>
        <v>1.5603990232243987</v>
      </c>
      <c r="R38" s="157">
        <f>O38/O$9</f>
        <v>1.3996699641845814E-2</v>
      </c>
      <c r="S38" s="156">
        <v>24776</v>
      </c>
      <c r="T38" s="156">
        <v>39834</v>
      </c>
      <c r="U38" s="156">
        <v>83088</v>
      </c>
      <c r="V38" s="156">
        <v>81141</v>
      </c>
      <c r="W38" s="156">
        <v>80807</v>
      </c>
      <c r="X38" s="157">
        <f>IFERROR(W38/V38-1,"-")</f>
        <v>-4.1162913939931656E-3</v>
      </c>
      <c r="Y38" s="174">
        <f t="shared" si="10"/>
        <v>2.2615030674846626</v>
      </c>
      <c r="Z38" s="157">
        <f t="shared" si="17"/>
        <v>2.1999151149641516E-2</v>
      </c>
    </row>
    <row r="39" spans="1:26" x14ac:dyDescent="0.25">
      <c r="A39" s="158" t="s">
        <v>103</v>
      </c>
      <c r="B39" s="159" t="s">
        <v>103</v>
      </c>
      <c r="C39" s="160">
        <v>2180</v>
      </c>
      <c r="D39" s="160">
        <v>4351</v>
      </c>
      <c r="E39" s="160">
        <v>9363</v>
      </c>
      <c r="F39" s="160">
        <v>15562</v>
      </c>
      <c r="G39" s="160">
        <v>21291</v>
      </c>
      <c r="H39" s="161">
        <f>IFERROR(G39/F39-1,"-")</f>
        <v>0.36814034185837285</v>
      </c>
      <c r="I39" s="175">
        <f t="shared" si="1"/>
        <v>8.7665137614678894</v>
      </c>
      <c r="J39" s="161">
        <f>G39/G$9</f>
        <v>2.8058407242919834E-2</v>
      </c>
      <c r="K39" s="160">
        <v>1767</v>
      </c>
      <c r="L39" s="160">
        <v>4726</v>
      </c>
      <c r="M39" s="160">
        <v>9315</v>
      </c>
      <c r="N39" s="160">
        <v>13363</v>
      </c>
      <c r="O39" s="160">
        <v>10110</v>
      </c>
      <c r="P39" s="161">
        <f>IFERROR(O39/N39-1,"-")</f>
        <v>-0.24343336077228173</v>
      </c>
      <c r="Q39" s="175">
        <f t="shared" si="9"/>
        <v>4.7215619694397279</v>
      </c>
      <c r="R39" s="161">
        <f>O39/O$9</f>
        <v>2.8714820085036768E-3</v>
      </c>
      <c r="S39" s="160">
        <v>3947</v>
      </c>
      <c r="T39" s="160">
        <v>9077</v>
      </c>
      <c r="U39" s="160">
        <v>18678</v>
      </c>
      <c r="V39" s="160">
        <v>28925</v>
      </c>
      <c r="W39" s="160">
        <v>31401</v>
      </c>
      <c r="X39" s="161">
        <f>IFERROR(W39/V39-1,"-")</f>
        <v>8.5600691443388E-2</v>
      </c>
      <c r="Y39" s="175">
        <f t="shared" si="10"/>
        <v>6.9556625285026605</v>
      </c>
      <c r="Z39" s="161">
        <f t="shared" si="17"/>
        <v>4.945360884520078E-3</v>
      </c>
    </row>
    <row r="40" spans="1:26" x14ac:dyDescent="0.25">
      <c r="A40" s="158" t="s">
        <v>100</v>
      </c>
      <c r="B40" s="159" t="s">
        <v>100</v>
      </c>
      <c r="C40" s="160">
        <v>3349</v>
      </c>
      <c r="D40" s="160">
        <v>1711</v>
      </c>
      <c r="E40" s="160">
        <v>12871</v>
      </c>
      <c r="F40" s="160">
        <v>12769</v>
      </c>
      <c r="G40" s="160">
        <v>10236</v>
      </c>
      <c r="H40" s="161">
        <f>IFERROR(G40/F40-1,"-")</f>
        <v>-0.19837105489858253</v>
      </c>
      <c r="I40" s="175">
        <f t="shared" si="1"/>
        <v>2.0564347566437742</v>
      </c>
      <c r="J40" s="161">
        <f>G40/G$9</f>
        <v>1.3489542836810269E-2</v>
      </c>
      <c r="K40" s="160">
        <v>17480</v>
      </c>
      <c r="L40" s="160">
        <v>29046</v>
      </c>
      <c r="M40" s="160">
        <v>51539</v>
      </c>
      <c r="N40" s="160">
        <v>39447</v>
      </c>
      <c r="O40" s="160">
        <v>39170</v>
      </c>
      <c r="P40" s="161">
        <f>IFERROR(O40/N40-1,"-")</f>
        <v>-7.0220802595888365E-3</v>
      </c>
      <c r="Q40" s="175">
        <f t="shared" si="9"/>
        <v>1.2408466819221968</v>
      </c>
      <c r="R40" s="161">
        <f>O40/O$9</f>
        <v>1.1125217633342139E-2</v>
      </c>
      <c r="S40" s="160">
        <v>20829</v>
      </c>
      <c r="T40" s="160">
        <v>30757</v>
      </c>
      <c r="U40" s="160">
        <v>64410</v>
      </c>
      <c r="V40" s="160">
        <v>52216</v>
      </c>
      <c r="W40" s="160">
        <v>49406</v>
      </c>
      <c r="X40" s="161">
        <f>IFERROR(W40/V40-1,"-")</f>
        <v>-5.3814922629079165E-2</v>
      </c>
      <c r="Y40" s="175">
        <f t="shared" si="10"/>
        <v>1.3719813721254019</v>
      </c>
      <c r="Z40" s="161">
        <f t="shared" si="17"/>
        <v>1.7053790265121438E-2</v>
      </c>
    </row>
    <row r="41" spans="1:26" x14ac:dyDescent="0.25">
      <c r="A41" s="1" t="s">
        <v>146</v>
      </c>
      <c r="B41" s="155" t="s">
        <v>107</v>
      </c>
      <c r="C41" s="156">
        <v>48756</v>
      </c>
      <c r="D41" s="156">
        <v>44610</v>
      </c>
      <c r="E41" s="156">
        <v>156956</v>
      </c>
      <c r="F41" s="156">
        <v>172956</v>
      </c>
      <c r="G41" s="156">
        <v>178683</v>
      </c>
      <c r="H41" s="157">
        <f>IFERROR(G41/F41-1,"-")</f>
        <v>3.3112467910913823E-2</v>
      </c>
      <c r="I41" s="174">
        <f t="shared" si="1"/>
        <v>2.6648412503076546</v>
      </c>
      <c r="J41" s="157">
        <f>G41/G$9</f>
        <v>0.23547791937375628</v>
      </c>
      <c r="K41" s="156">
        <v>132747</v>
      </c>
      <c r="L41" s="156">
        <v>172305</v>
      </c>
      <c r="M41" s="156">
        <v>512513</v>
      </c>
      <c r="N41" s="156">
        <v>556416</v>
      </c>
      <c r="O41" s="156">
        <v>601977</v>
      </c>
      <c r="P41" s="157">
        <f>IFERROR(O41/N41-1,"-")</f>
        <v>8.1882979641131781E-2</v>
      </c>
      <c r="Q41" s="174">
        <f t="shared" si="9"/>
        <v>3.5347691473253633</v>
      </c>
      <c r="R41" s="157">
        <f>O41/O$9</f>
        <v>0.17097587784698495</v>
      </c>
      <c r="S41" s="156">
        <v>181503</v>
      </c>
      <c r="T41" s="156">
        <v>216915</v>
      </c>
      <c r="U41" s="156">
        <v>669469</v>
      </c>
      <c r="V41" s="156">
        <v>729372</v>
      </c>
      <c r="W41" s="156">
        <v>780660</v>
      </c>
      <c r="X41" s="157">
        <f>IFERROR(W41/V41-1,"-")</f>
        <v>7.0318027015021212E-2</v>
      </c>
      <c r="Y41" s="174">
        <f t="shared" si="10"/>
        <v>3.3010859324639261</v>
      </c>
      <c r="Z41" s="157">
        <f t="shared" si="17"/>
        <v>0.17725483488589636</v>
      </c>
    </row>
    <row r="42" spans="1:26" x14ac:dyDescent="0.25">
      <c r="A42" s="158" t="s">
        <v>110</v>
      </c>
      <c r="B42" s="159" t="s">
        <v>110</v>
      </c>
      <c r="C42" s="160">
        <v>24960</v>
      </c>
      <c r="D42" s="160">
        <v>17021</v>
      </c>
      <c r="E42" s="160">
        <v>75160</v>
      </c>
      <c r="F42" s="160">
        <v>74709</v>
      </c>
      <c r="G42" s="160">
        <v>75962</v>
      </c>
      <c r="H42" s="161">
        <f t="shared" ref="H42:H49" si="18">IFERROR(G42/F42-1,"-")</f>
        <v>1.6771741021831321E-2</v>
      </c>
      <c r="I42" s="175">
        <f t="shared" si="1"/>
        <v>2.0433493589743588</v>
      </c>
      <c r="J42" s="161">
        <f t="shared" ref="J42:J49" si="19">G42/G$9</f>
        <v>0.10010674608927136</v>
      </c>
      <c r="K42" s="160">
        <v>63301</v>
      </c>
      <c r="L42" s="160">
        <v>63769</v>
      </c>
      <c r="M42" s="160">
        <v>269103</v>
      </c>
      <c r="N42" s="160">
        <v>299592</v>
      </c>
      <c r="O42" s="160">
        <v>337098</v>
      </c>
      <c r="P42" s="161">
        <f t="shared" ref="P42:P49" si="20">IFERROR(O42/N42-1,"-")</f>
        <v>0.12519025875190248</v>
      </c>
      <c r="Q42" s="175">
        <f t="shared" si="9"/>
        <v>4.3253187153441495</v>
      </c>
      <c r="R42" s="161">
        <f t="shared" ref="R42:R49" si="21">O42/O$9</f>
        <v>9.574390129600123E-2</v>
      </c>
      <c r="S42" s="160">
        <v>88261</v>
      </c>
      <c r="T42" s="160">
        <v>80790</v>
      </c>
      <c r="U42" s="160">
        <v>344263</v>
      </c>
      <c r="V42" s="160">
        <v>374301</v>
      </c>
      <c r="W42" s="160">
        <v>413060</v>
      </c>
      <c r="X42" s="161">
        <f t="shared" ref="X42:X49" si="22">IFERROR(W42/V42-1,"-")</f>
        <v>0.10355035118794764</v>
      </c>
      <c r="Y42" s="175">
        <f t="shared" si="10"/>
        <v>3.6799832315518746</v>
      </c>
      <c r="Z42" s="161">
        <f t="shared" si="17"/>
        <v>9.1150271666534721E-2</v>
      </c>
    </row>
    <row r="43" spans="1:26" x14ac:dyDescent="0.25">
      <c r="A43" s="158" t="s">
        <v>113</v>
      </c>
      <c r="B43" s="159" t="s">
        <v>113</v>
      </c>
      <c r="C43" s="160">
        <v>3221</v>
      </c>
      <c r="D43" s="160">
        <v>2578</v>
      </c>
      <c r="E43" s="160">
        <v>7845</v>
      </c>
      <c r="F43" s="160">
        <v>10865</v>
      </c>
      <c r="G43" s="160">
        <v>11127</v>
      </c>
      <c r="H43" s="161">
        <f t="shared" si="18"/>
        <v>2.4114127933732243E-2</v>
      </c>
      <c r="I43" s="175">
        <f t="shared" si="1"/>
        <v>2.4545172306737038</v>
      </c>
      <c r="J43" s="161">
        <f t="shared" si="19"/>
        <v>1.4663749818795219E-2</v>
      </c>
      <c r="K43" s="160">
        <v>7570</v>
      </c>
      <c r="L43" s="160">
        <v>10918</v>
      </c>
      <c r="M43" s="160">
        <v>19949</v>
      </c>
      <c r="N43" s="160">
        <v>22563</v>
      </c>
      <c r="O43" s="160">
        <v>20333</v>
      </c>
      <c r="P43" s="161">
        <f t="shared" si="20"/>
        <v>-9.883437486149893E-2</v>
      </c>
      <c r="Q43" s="175">
        <f t="shared" si="9"/>
        <v>1.6859973579920742</v>
      </c>
      <c r="R43" s="161">
        <f t="shared" si="21"/>
        <v>5.775058721949086E-3</v>
      </c>
      <c r="S43" s="160">
        <v>10791</v>
      </c>
      <c r="T43" s="160">
        <v>13496</v>
      </c>
      <c r="U43" s="160">
        <v>27794</v>
      </c>
      <c r="V43" s="160">
        <v>33428</v>
      </c>
      <c r="W43" s="160">
        <v>31460</v>
      </c>
      <c r="X43" s="161">
        <f t="shared" si="22"/>
        <v>-5.88728012444657E-2</v>
      </c>
      <c r="Y43" s="175">
        <f t="shared" si="10"/>
        <v>1.9153924566768605</v>
      </c>
      <c r="Z43" s="161">
        <f t="shared" si="17"/>
        <v>7.3589977740845403E-3</v>
      </c>
    </row>
    <row r="44" spans="1:26" x14ac:dyDescent="0.25">
      <c r="A44" s="158" t="s">
        <v>116</v>
      </c>
      <c r="B44" s="159" t="s">
        <v>116</v>
      </c>
      <c r="C44" s="160">
        <v>1995</v>
      </c>
      <c r="D44" s="160">
        <v>1781</v>
      </c>
      <c r="E44" s="160">
        <v>5675</v>
      </c>
      <c r="F44" s="160">
        <v>7865</v>
      </c>
      <c r="G44" s="160">
        <v>8232</v>
      </c>
      <c r="H44" s="161">
        <f t="shared" si="18"/>
        <v>4.6662428480610307E-2</v>
      </c>
      <c r="I44" s="175">
        <f t="shared" si="1"/>
        <v>3.1263157894736846</v>
      </c>
      <c r="J44" s="161">
        <f t="shared" si="19"/>
        <v>1.0848565517059606E-2</v>
      </c>
      <c r="K44" s="160">
        <v>3970</v>
      </c>
      <c r="L44" s="160">
        <v>8252</v>
      </c>
      <c r="M44" s="160">
        <v>12032</v>
      </c>
      <c r="N44" s="160">
        <v>11886</v>
      </c>
      <c r="O44" s="160">
        <v>11380</v>
      </c>
      <c r="P44" s="161">
        <f t="shared" si="20"/>
        <v>-4.2571092041056691E-2</v>
      </c>
      <c r="Q44" s="175">
        <f t="shared" si="9"/>
        <v>1.8664987405541562</v>
      </c>
      <c r="R44" s="161">
        <f t="shared" si="21"/>
        <v>3.2321924091762455E-3</v>
      </c>
      <c r="S44" s="160">
        <v>5965</v>
      </c>
      <c r="T44" s="160">
        <v>10033</v>
      </c>
      <c r="U44" s="160">
        <v>17707</v>
      </c>
      <c r="V44" s="160">
        <v>19751</v>
      </c>
      <c r="W44" s="160">
        <v>19612</v>
      </c>
      <c r="X44" s="161">
        <f t="shared" si="22"/>
        <v>-7.0376183484380794E-3</v>
      </c>
      <c r="Y44" s="175">
        <f t="shared" si="10"/>
        <v>2.2878457669740149</v>
      </c>
      <c r="Z44" s="161">
        <f t="shared" si="17"/>
        <v>4.688269899464451E-3</v>
      </c>
    </row>
    <row r="45" spans="1:26" x14ac:dyDescent="0.25">
      <c r="A45" s="158" t="s">
        <v>123</v>
      </c>
      <c r="B45" s="159" t="s">
        <v>123</v>
      </c>
      <c r="C45" s="160">
        <v>885</v>
      </c>
      <c r="D45" s="160">
        <v>1430</v>
      </c>
      <c r="E45" s="160">
        <v>3236</v>
      </c>
      <c r="F45" s="160">
        <v>3482</v>
      </c>
      <c r="G45" s="160">
        <v>3809</v>
      </c>
      <c r="H45" s="161">
        <f t="shared" si="18"/>
        <v>9.3911545089029325E-2</v>
      </c>
      <c r="I45" s="175">
        <f t="shared" si="1"/>
        <v>3.303954802259887</v>
      </c>
      <c r="J45" s="161">
        <f t="shared" si="19"/>
        <v>5.0197019016618126E-3</v>
      </c>
      <c r="K45" s="160">
        <v>6712</v>
      </c>
      <c r="L45" s="160">
        <v>13570</v>
      </c>
      <c r="M45" s="160">
        <v>27358</v>
      </c>
      <c r="N45" s="160">
        <v>26160</v>
      </c>
      <c r="O45" s="160">
        <v>28369</v>
      </c>
      <c r="P45" s="161">
        <f t="shared" si="20"/>
        <v>8.4441896024464835E-2</v>
      </c>
      <c r="Q45" s="175">
        <f t="shared" si="9"/>
        <v>3.2266090584028602</v>
      </c>
      <c r="R45" s="161">
        <f t="shared" si="21"/>
        <v>8.0574750840000792E-3</v>
      </c>
      <c r="S45" s="160">
        <v>7597</v>
      </c>
      <c r="T45" s="160">
        <v>15000</v>
      </c>
      <c r="U45" s="160">
        <v>30594</v>
      </c>
      <c r="V45" s="160">
        <v>29642</v>
      </c>
      <c r="W45" s="160">
        <v>32178</v>
      </c>
      <c r="X45" s="161">
        <f t="shared" si="22"/>
        <v>8.5554281087645956E-2</v>
      </c>
      <c r="Y45" s="175">
        <f t="shared" si="10"/>
        <v>3.2356193234171382</v>
      </c>
      <c r="Z45" s="161">
        <f t="shared" si="17"/>
        <v>8.100351798961734E-3</v>
      </c>
    </row>
    <row r="46" spans="1:26" x14ac:dyDescent="0.25">
      <c r="A46" s="158" t="s">
        <v>119</v>
      </c>
      <c r="B46" s="159" t="s">
        <v>119</v>
      </c>
      <c r="C46" s="160">
        <v>1080</v>
      </c>
      <c r="D46" s="160">
        <v>722</v>
      </c>
      <c r="E46" s="160">
        <v>1778</v>
      </c>
      <c r="F46" s="160">
        <v>2269</v>
      </c>
      <c r="G46" s="160">
        <v>2413</v>
      </c>
      <c r="H46" s="161">
        <f t="shared" si="18"/>
        <v>6.3464081092992508E-2</v>
      </c>
      <c r="I46" s="175">
        <f t="shared" si="1"/>
        <v>1.2342592592592592</v>
      </c>
      <c r="J46" s="161">
        <f t="shared" si="19"/>
        <v>3.1799791779233274E-3</v>
      </c>
      <c r="K46" s="160">
        <v>11022</v>
      </c>
      <c r="L46" s="160">
        <v>16968</v>
      </c>
      <c r="M46" s="160">
        <v>29000</v>
      </c>
      <c r="N46" s="160">
        <v>33231</v>
      </c>
      <c r="O46" s="160">
        <v>33087</v>
      </c>
      <c r="P46" s="161">
        <f t="shared" si="20"/>
        <v>-4.3333032409497152E-3</v>
      </c>
      <c r="Q46" s="175">
        <f t="shared" si="9"/>
        <v>2.0019052803483941</v>
      </c>
      <c r="R46" s="161">
        <f t="shared" si="21"/>
        <v>9.397500021301795E-3</v>
      </c>
      <c r="S46" s="160">
        <v>12102</v>
      </c>
      <c r="T46" s="160">
        <v>17690</v>
      </c>
      <c r="U46" s="160">
        <v>30778</v>
      </c>
      <c r="V46" s="160">
        <v>35500</v>
      </c>
      <c r="W46" s="160">
        <v>35500</v>
      </c>
      <c r="X46" s="161">
        <f t="shared" si="22"/>
        <v>0</v>
      </c>
      <c r="Y46" s="175">
        <f t="shared" si="10"/>
        <v>1.9333994381094035</v>
      </c>
      <c r="Z46" s="161">
        <f t="shared" si="17"/>
        <v>8.1490693491679499E-3</v>
      </c>
    </row>
    <row r="47" spans="1:26" x14ac:dyDescent="0.25">
      <c r="A47" s="158" t="s">
        <v>128</v>
      </c>
      <c r="B47" s="159" t="s">
        <v>128</v>
      </c>
      <c r="C47" s="160">
        <v>1099</v>
      </c>
      <c r="D47" s="160">
        <v>749</v>
      </c>
      <c r="E47" s="160">
        <v>2218</v>
      </c>
      <c r="F47" s="160">
        <v>2218</v>
      </c>
      <c r="G47" s="160">
        <v>1673</v>
      </c>
      <c r="H47" s="161">
        <f t="shared" si="18"/>
        <v>-0.24571686203787191</v>
      </c>
      <c r="I47" s="175">
        <f t="shared" si="1"/>
        <v>0.52229299363057335</v>
      </c>
      <c r="J47" s="161">
        <f t="shared" si="19"/>
        <v>2.2047679919874538E-3</v>
      </c>
      <c r="K47" s="160">
        <v>2296</v>
      </c>
      <c r="L47" s="160">
        <v>2639</v>
      </c>
      <c r="M47" s="160">
        <v>6605</v>
      </c>
      <c r="N47" s="160">
        <v>7002</v>
      </c>
      <c r="O47" s="160">
        <v>6960</v>
      </c>
      <c r="P47" s="161">
        <f t="shared" si="20"/>
        <v>-5.9982862039417162E-3</v>
      </c>
      <c r="Q47" s="175">
        <f t="shared" si="9"/>
        <v>2.0313588850174216</v>
      </c>
      <c r="R47" s="161">
        <f t="shared" si="21"/>
        <v>1.9768066052606912E-3</v>
      </c>
      <c r="S47" s="160">
        <v>3395</v>
      </c>
      <c r="T47" s="160">
        <v>3388</v>
      </c>
      <c r="U47" s="160">
        <v>8823</v>
      </c>
      <c r="V47" s="160">
        <v>9220</v>
      </c>
      <c r="W47" s="160">
        <v>8633</v>
      </c>
      <c r="X47" s="161">
        <f t="shared" si="22"/>
        <v>-6.3665943600867636E-2</v>
      </c>
      <c r="Y47" s="175">
        <f t="shared" si="10"/>
        <v>1.5428571428571427</v>
      </c>
      <c r="Z47" s="161">
        <f t="shared" si="17"/>
        <v>2.336059486246956E-3</v>
      </c>
    </row>
    <row r="48" spans="1:26" x14ac:dyDescent="0.25">
      <c r="A48" s="158" t="s">
        <v>131</v>
      </c>
      <c r="B48" s="159" t="s">
        <v>131</v>
      </c>
      <c r="C48" s="160">
        <v>1080</v>
      </c>
      <c r="D48" s="160">
        <v>761</v>
      </c>
      <c r="E48" s="160">
        <v>1311</v>
      </c>
      <c r="F48" s="160">
        <v>1982</v>
      </c>
      <c r="G48" s="160">
        <v>1393</v>
      </c>
      <c r="H48" s="161">
        <f t="shared" si="18"/>
        <v>-0.29717457114026236</v>
      </c>
      <c r="I48" s="175">
        <f t="shared" si="1"/>
        <v>0.28981481481481475</v>
      </c>
      <c r="J48" s="161">
        <f t="shared" si="19"/>
        <v>1.835769164876583E-3</v>
      </c>
      <c r="K48" s="160">
        <v>4136</v>
      </c>
      <c r="L48" s="160">
        <v>3019</v>
      </c>
      <c r="M48" s="160">
        <v>6804</v>
      </c>
      <c r="N48" s="160">
        <v>8431</v>
      </c>
      <c r="O48" s="160">
        <v>7038</v>
      </c>
      <c r="P48" s="161">
        <f t="shared" si="20"/>
        <v>-0.16522357964654255</v>
      </c>
      <c r="Q48" s="175">
        <f t="shared" si="9"/>
        <v>0.70164410058027071</v>
      </c>
      <c r="R48" s="161">
        <f t="shared" si="21"/>
        <v>1.9989604723886127E-3</v>
      </c>
      <c r="S48" s="160">
        <v>5216</v>
      </c>
      <c r="T48" s="160">
        <v>3780</v>
      </c>
      <c r="U48" s="160">
        <v>8115</v>
      </c>
      <c r="V48" s="160">
        <v>10413</v>
      </c>
      <c r="W48" s="160">
        <v>8431</v>
      </c>
      <c r="X48" s="161">
        <f t="shared" si="22"/>
        <v>-0.19033899932776333</v>
      </c>
      <c r="Y48" s="175">
        <f t="shared" si="10"/>
        <v>0.61637269938650308</v>
      </c>
      <c r="Z48" s="161">
        <f t="shared" si="17"/>
        <v>2.1486028256708658E-3</v>
      </c>
    </row>
    <row r="49" spans="1:26" x14ac:dyDescent="0.25">
      <c r="A49" s="163" t="s">
        <v>145</v>
      </c>
      <c r="B49" s="164" t="s">
        <v>145</v>
      </c>
      <c r="C49" s="165">
        <f>C41-SUM(C42:C48)</f>
        <v>14436</v>
      </c>
      <c r="D49" s="165">
        <f>D41-SUM(D42:D48)</f>
        <v>19568</v>
      </c>
      <c r="E49" s="165">
        <f>E41-SUM(E42:E48)</f>
        <v>59733</v>
      </c>
      <c r="F49" s="165">
        <f>F41-SUM(F42:F48)</f>
        <v>69566</v>
      </c>
      <c r="G49" s="165">
        <f>G41-SUM(G42:G48)</f>
        <v>74074</v>
      </c>
      <c r="H49" s="166">
        <f t="shared" si="18"/>
        <v>6.4801770980076556E-2</v>
      </c>
      <c r="I49" s="176">
        <f t="shared" si="1"/>
        <v>4.1311997783319478</v>
      </c>
      <c r="J49" s="166">
        <f t="shared" si="19"/>
        <v>9.7618639712180919E-2</v>
      </c>
      <c r="K49" s="165">
        <f>K41-SUM(K42:K48)</f>
        <v>33740</v>
      </c>
      <c r="L49" s="165">
        <f>L41-SUM(L42:L48)</f>
        <v>53170</v>
      </c>
      <c r="M49" s="165">
        <f>M41-SUM(M42:M48)</f>
        <v>141662</v>
      </c>
      <c r="N49" s="165">
        <f>N41-SUM(N42:N48)</f>
        <v>147551</v>
      </c>
      <c r="O49" s="165">
        <f>O41-SUM(O42:O48)</f>
        <v>157712</v>
      </c>
      <c r="P49" s="166">
        <f t="shared" si="20"/>
        <v>6.8864324877500049E-2</v>
      </c>
      <c r="Q49" s="176">
        <f t="shared" si="9"/>
        <v>3.6743331357439244</v>
      </c>
      <c r="R49" s="166">
        <f t="shared" si="21"/>
        <v>4.4793983236907205E-2</v>
      </c>
      <c r="S49" s="165">
        <f>S41-SUM(S42:S48)</f>
        <v>48176</v>
      </c>
      <c r="T49" s="165">
        <f>T41-SUM(T42:T48)</f>
        <v>72738</v>
      </c>
      <c r="U49" s="165">
        <f>U41-SUM(U42:U48)</f>
        <v>201395</v>
      </c>
      <c r="V49" s="165">
        <f>V41-SUM(V42:V48)</f>
        <v>217117</v>
      </c>
      <c r="W49" s="165">
        <f>W41-SUM(W42:W48)</f>
        <v>231786</v>
      </c>
      <c r="X49" s="166">
        <f t="shared" si="22"/>
        <v>6.7562650552467129E-2</v>
      </c>
      <c r="Y49" s="176">
        <f t="shared" si="10"/>
        <v>3.8112338093656595</v>
      </c>
      <c r="Z49" s="166">
        <f t="shared" si="17"/>
        <v>5.3323212085765126E-2</v>
      </c>
    </row>
    <row r="50" spans="1:26" x14ac:dyDescent="0.25">
      <c r="A50" s="1"/>
      <c r="B50" s="151" t="s">
        <v>46</v>
      </c>
      <c r="C50" s="149"/>
      <c r="D50" s="149"/>
      <c r="E50" s="149"/>
      <c r="F50" s="149"/>
      <c r="G50" s="149"/>
      <c r="H50" s="149"/>
      <c r="I50" s="149"/>
      <c r="J50" s="149"/>
      <c r="K50" s="149"/>
      <c r="L50" s="149"/>
      <c r="M50" s="149"/>
      <c r="N50" s="149"/>
      <c r="O50" s="149"/>
      <c r="P50" s="149"/>
      <c r="Q50" s="149"/>
      <c r="R50" s="149"/>
      <c r="S50" s="149"/>
      <c r="T50" s="149"/>
      <c r="U50" s="149"/>
      <c r="V50" s="149"/>
      <c r="W50" s="149"/>
      <c r="X50" s="149"/>
      <c r="Y50" s="149"/>
      <c r="Z50" s="149"/>
    </row>
    <row r="51" spans="1:26" x14ac:dyDescent="0.25">
      <c r="A51" s="1" t="s">
        <v>0</v>
      </c>
      <c r="B51" s="152" t="s">
        <v>68</v>
      </c>
      <c r="C51" s="172">
        <f>C52+C55</f>
        <v>0</v>
      </c>
      <c r="D51" s="172">
        <f>D52+D55</f>
        <v>0</v>
      </c>
      <c r="E51" s="172">
        <f>E52+E55</f>
        <v>0</v>
      </c>
      <c r="F51" s="172">
        <f>F52+F55</f>
        <v>0</v>
      </c>
      <c r="G51" s="172">
        <f>G52+G55</f>
        <v>0</v>
      </c>
      <c r="H51" s="173" t="str">
        <f>IFERROR(G51/F51-1,"-")</f>
        <v>-</v>
      </c>
      <c r="I51" s="173" t="str">
        <f t="shared" si="1"/>
        <v>-</v>
      </c>
      <c r="J51" s="173">
        <f>G51/G$9</f>
        <v>0</v>
      </c>
      <c r="K51" s="172">
        <f>K52+K55</f>
        <v>0</v>
      </c>
      <c r="L51" s="172">
        <f>L52+L55</f>
        <v>0</v>
      </c>
      <c r="M51" s="172">
        <f>M52+M55</f>
        <v>0</v>
      </c>
      <c r="N51" s="172">
        <f>N52+N55</f>
        <v>0</v>
      </c>
      <c r="O51" s="172">
        <f>O52+O55</f>
        <v>0</v>
      </c>
      <c r="P51" s="173" t="str">
        <f>IFERROR(O51/N51-1,"-")</f>
        <v>-</v>
      </c>
      <c r="Q51" s="173" t="str">
        <f t="shared" si="9"/>
        <v>-</v>
      </c>
      <c r="R51" s="173">
        <f>O51/O$9</f>
        <v>0</v>
      </c>
      <c r="S51" s="172">
        <f>S52+S55</f>
        <v>10755</v>
      </c>
      <c r="T51" s="172">
        <f>T52+T55</f>
        <v>20161</v>
      </c>
      <c r="U51" s="172">
        <f>U52+U55</f>
        <v>37638</v>
      </c>
      <c r="V51" s="172">
        <f>V52+V55</f>
        <v>50521</v>
      </c>
      <c r="W51" s="172">
        <f>W52+W55</f>
        <v>43075</v>
      </c>
      <c r="X51" s="173">
        <f>IFERROR(W51/V51-1,"-")</f>
        <v>-0.14738425605193883</v>
      </c>
      <c r="Y51" s="173">
        <f t="shared" si="10"/>
        <v>3.0051139005113905</v>
      </c>
      <c r="Z51" s="173">
        <f t="shared" ref="Z51:Z63" si="23">U51/U$9</f>
        <v>9.9653867101170725E-3</v>
      </c>
    </row>
    <row r="52" spans="1:26" x14ac:dyDescent="0.25">
      <c r="A52" s="1" t="s">
        <v>96</v>
      </c>
      <c r="B52" s="155" t="s">
        <v>97</v>
      </c>
      <c r="C52" s="156">
        <v>0</v>
      </c>
      <c r="D52" s="156">
        <v>0</v>
      </c>
      <c r="E52" s="156">
        <v>0</v>
      </c>
      <c r="F52" s="156">
        <v>0</v>
      </c>
      <c r="G52" s="156">
        <v>0</v>
      </c>
      <c r="H52" s="157" t="str">
        <f>IFERROR(G52/F52-1,"-")</f>
        <v>-</v>
      </c>
      <c r="I52" s="174" t="str">
        <f t="shared" si="1"/>
        <v>-</v>
      </c>
      <c r="J52" s="157">
        <f>G52/G$9</f>
        <v>0</v>
      </c>
      <c r="K52" s="156">
        <v>0</v>
      </c>
      <c r="L52" s="156">
        <v>0</v>
      </c>
      <c r="M52" s="156">
        <v>0</v>
      </c>
      <c r="N52" s="156">
        <v>0</v>
      </c>
      <c r="O52" s="156">
        <v>0</v>
      </c>
      <c r="P52" s="157" t="str">
        <f>IFERROR(O52/N52-1,"-")</f>
        <v>-</v>
      </c>
      <c r="Q52" s="174" t="str">
        <f t="shared" si="9"/>
        <v>-</v>
      </c>
      <c r="R52" s="157">
        <f>O52/O$9</f>
        <v>0</v>
      </c>
      <c r="S52" s="156">
        <v>1989</v>
      </c>
      <c r="T52" s="156">
        <v>4950</v>
      </c>
      <c r="U52" s="156">
        <v>6738</v>
      </c>
      <c r="V52" s="156">
        <v>20078</v>
      </c>
      <c r="W52" s="156">
        <v>10886</v>
      </c>
      <c r="X52" s="157">
        <f>IFERROR(W52/V52-1,"-")</f>
        <v>-0.45781452335890027</v>
      </c>
      <c r="Y52" s="174">
        <f t="shared" si="10"/>
        <v>4.4731020613373556</v>
      </c>
      <c r="Z52" s="157">
        <f t="shared" si="23"/>
        <v>1.7840155070080461E-3</v>
      </c>
    </row>
    <row r="53" spans="1:26" x14ac:dyDescent="0.25">
      <c r="A53" s="158" t="s">
        <v>103</v>
      </c>
      <c r="B53" s="159" t="s">
        <v>103</v>
      </c>
      <c r="C53" s="160">
        <v>0</v>
      </c>
      <c r="D53" s="160">
        <v>0</v>
      </c>
      <c r="E53" s="160">
        <v>0</v>
      </c>
      <c r="F53" s="160">
        <v>0</v>
      </c>
      <c r="G53" s="160">
        <v>0</v>
      </c>
      <c r="H53" s="161" t="str">
        <f>IFERROR(G53/F53-1,"-")</f>
        <v>-</v>
      </c>
      <c r="I53" s="175" t="str">
        <f t="shared" si="1"/>
        <v>-</v>
      </c>
      <c r="J53" s="161">
        <f>G53/G$9</f>
        <v>0</v>
      </c>
      <c r="K53" s="160">
        <v>0</v>
      </c>
      <c r="L53" s="160">
        <v>0</v>
      </c>
      <c r="M53" s="160">
        <v>0</v>
      </c>
      <c r="N53" s="160">
        <v>0</v>
      </c>
      <c r="O53" s="160">
        <v>0</v>
      </c>
      <c r="P53" s="161" t="str">
        <f>IFERROR(O53/N53-1,"-")</f>
        <v>-</v>
      </c>
      <c r="Q53" s="175" t="str">
        <f t="shared" si="9"/>
        <v>-</v>
      </c>
      <c r="R53" s="161">
        <f>O53/O$9</f>
        <v>0</v>
      </c>
      <c r="S53" s="160">
        <v>1487</v>
      </c>
      <c r="T53" s="160">
        <v>2415</v>
      </c>
      <c r="U53" s="160">
        <v>3508</v>
      </c>
      <c r="V53" s="160">
        <v>14700</v>
      </c>
      <c r="W53" s="160">
        <v>7147</v>
      </c>
      <c r="X53" s="161">
        <f>IFERROR(W53/V53-1,"-")</f>
        <v>-0.51380952380952383</v>
      </c>
      <c r="Y53" s="175">
        <f t="shared" si="10"/>
        <v>3.8063214525891054</v>
      </c>
      <c r="Z53" s="161">
        <f t="shared" si="23"/>
        <v>9.2881068545328373E-4</v>
      </c>
    </row>
    <row r="54" spans="1:26" x14ac:dyDescent="0.25">
      <c r="A54" s="158" t="s">
        <v>100</v>
      </c>
      <c r="B54" s="159" t="s">
        <v>100</v>
      </c>
      <c r="C54" s="160">
        <v>0</v>
      </c>
      <c r="D54" s="160">
        <v>0</v>
      </c>
      <c r="E54" s="160">
        <v>0</v>
      </c>
      <c r="F54" s="160">
        <v>0</v>
      </c>
      <c r="G54" s="160">
        <v>0</v>
      </c>
      <c r="H54" s="161" t="str">
        <f>IFERROR(G54/F54-1,"-")</f>
        <v>-</v>
      </c>
      <c r="I54" s="175" t="str">
        <f t="shared" si="1"/>
        <v>-</v>
      </c>
      <c r="J54" s="161">
        <f>G54/G$9</f>
        <v>0</v>
      </c>
      <c r="K54" s="160">
        <v>0</v>
      </c>
      <c r="L54" s="160">
        <v>0</v>
      </c>
      <c r="M54" s="160">
        <v>0</v>
      </c>
      <c r="N54" s="160">
        <v>0</v>
      </c>
      <c r="O54" s="160">
        <v>0</v>
      </c>
      <c r="P54" s="161" t="str">
        <f>IFERROR(O54/N54-1,"-")</f>
        <v>-</v>
      </c>
      <c r="Q54" s="175" t="str">
        <f t="shared" si="9"/>
        <v>-</v>
      </c>
      <c r="R54" s="161">
        <f>O54/O$9</f>
        <v>0</v>
      </c>
      <c r="S54" s="160">
        <v>502</v>
      </c>
      <c r="T54" s="160">
        <v>2535</v>
      </c>
      <c r="U54" s="160">
        <v>3230</v>
      </c>
      <c r="V54" s="160">
        <v>5378</v>
      </c>
      <c r="W54" s="160">
        <v>3739</v>
      </c>
      <c r="X54" s="161">
        <f>IFERROR(W54/V54-1,"-")</f>
        <v>-0.30476013387876533</v>
      </c>
      <c r="Y54" s="175">
        <f t="shared" si="10"/>
        <v>6.4482071713147411</v>
      </c>
      <c r="Z54" s="161">
        <f t="shared" si="23"/>
        <v>8.552048215547624E-4</v>
      </c>
    </row>
    <row r="55" spans="1:26" x14ac:dyDescent="0.25">
      <c r="A55" s="1" t="s">
        <v>146</v>
      </c>
      <c r="B55" s="155" t="s">
        <v>107</v>
      </c>
      <c r="C55" s="156">
        <v>0</v>
      </c>
      <c r="D55" s="156">
        <v>0</v>
      </c>
      <c r="E55" s="156">
        <v>0</v>
      </c>
      <c r="F55" s="156">
        <v>0</v>
      </c>
      <c r="G55" s="156">
        <v>0</v>
      </c>
      <c r="H55" s="157" t="str">
        <f>IFERROR(G55/F55-1,"-")</f>
        <v>-</v>
      </c>
      <c r="I55" s="174" t="str">
        <f t="shared" si="1"/>
        <v>-</v>
      </c>
      <c r="J55" s="157">
        <f>G55/G$9</f>
        <v>0</v>
      </c>
      <c r="K55" s="156">
        <v>0</v>
      </c>
      <c r="L55" s="156">
        <v>0</v>
      </c>
      <c r="M55" s="156">
        <v>0</v>
      </c>
      <c r="N55" s="156">
        <v>0</v>
      </c>
      <c r="O55" s="156">
        <v>0</v>
      </c>
      <c r="P55" s="157" t="str">
        <f>IFERROR(O55/N55-1,"-")</f>
        <v>-</v>
      </c>
      <c r="Q55" s="174" t="str">
        <f t="shared" si="9"/>
        <v>-</v>
      </c>
      <c r="R55" s="157">
        <f>O55/O$9</f>
        <v>0</v>
      </c>
      <c r="S55" s="156">
        <v>8766</v>
      </c>
      <c r="T55" s="156">
        <v>15211</v>
      </c>
      <c r="U55" s="156">
        <v>30900</v>
      </c>
      <c r="V55" s="156">
        <v>30443</v>
      </c>
      <c r="W55" s="156">
        <v>32189</v>
      </c>
      <c r="X55" s="157">
        <f>IFERROR(W55/V55-1,"-")</f>
        <v>5.7353086095325745E-2</v>
      </c>
      <c r="Y55" s="174">
        <f t="shared" si="10"/>
        <v>2.6720282911248003</v>
      </c>
      <c r="Z55" s="157">
        <f t="shared" si="23"/>
        <v>8.1813712031090276E-3</v>
      </c>
    </row>
    <row r="56" spans="1:26" x14ac:dyDescent="0.25">
      <c r="A56" s="158" t="s">
        <v>110</v>
      </c>
      <c r="B56" s="159" t="s">
        <v>110</v>
      </c>
      <c r="C56" s="160">
        <v>0</v>
      </c>
      <c r="D56" s="160">
        <v>0</v>
      </c>
      <c r="E56" s="160">
        <v>0</v>
      </c>
      <c r="F56" s="160">
        <v>0</v>
      </c>
      <c r="G56" s="160">
        <v>0</v>
      </c>
      <c r="H56" s="161" t="str">
        <f t="shared" ref="H56:H63" si="24">IFERROR(G56/F56-1,"-")</f>
        <v>-</v>
      </c>
      <c r="I56" s="175" t="str">
        <f t="shared" si="1"/>
        <v>-</v>
      </c>
      <c r="J56" s="161">
        <f t="shared" ref="J56:J63" si="25">G56/G$9</f>
        <v>0</v>
      </c>
      <c r="K56" s="160">
        <v>0</v>
      </c>
      <c r="L56" s="160">
        <v>0</v>
      </c>
      <c r="M56" s="160">
        <v>0</v>
      </c>
      <c r="N56" s="160">
        <v>0</v>
      </c>
      <c r="O56" s="160">
        <v>0</v>
      </c>
      <c r="P56" s="161" t="str">
        <f t="shared" ref="P56:P63" si="26">IFERROR(O56/N56-1,"-")</f>
        <v>-</v>
      </c>
      <c r="Q56" s="175" t="str">
        <f t="shared" si="9"/>
        <v>-</v>
      </c>
      <c r="R56" s="161">
        <f t="shared" ref="R56:R63" si="27">O56/O$9</f>
        <v>0</v>
      </c>
      <c r="S56" s="160">
        <v>2464</v>
      </c>
      <c r="T56" s="160">
        <v>3030</v>
      </c>
      <c r="U56" s="160">
        <v>10329</v>
      </c>
      <c r="V56" s="160">
        <v>9247</v>
      </c>
      <c r="W56" s="160">
        <v>10942</v>
      </c>
      <c r="X56" s="161">
        <f t="shared" ref="X56:X63" si="28">IFERROR(W56/V56-1,"-")</f>
        <v>0.18330269276522104</v>
      </c>
      <c r="Y56" s="175">
        <f t="shared" si="10"/>
        <v>3.4407467532467528</v>
      </c>
      <c r="Z56" s="161">
        <f t="shared" si="23"/>
        <v>2.7348020439130465E-3</v>
      </c>
    </row>
    <row r="57" spans="1:26" x14ac:dyDescent="0.25">
      <c r="A57" s="158" t="s">
        <v>113</v>
      </c>
      <c r="B57" s="159" t="s">
        <v>113</v>
      </c>
      <c r="C57" s="160">
        <v>0</v>
      </c>
      <c r="D57" s="160">
        <v>0</v>
      </c>
      <c r="E57" s="160">
        <v>0</v>
      </c>
      <c r="F57" s="160">
        <v>0</v>
      </c>
      <c r="G57" s="160">
        <v>0</v>
      </c>
      <c r="H57" s="161" t="str">
        <f t="shared" si="24"/>
        <v>-</v>
      </c>
      <c r="I57" s="175" t="str">
        <f t="shared" si="1"/>
        <v>-</v>
      </c>
      <c r="J57" s="161">
        <f t="shared" si="25"/>
        <v>0</v>
      </c>
      <c r="K57" s="160">
        <v>0</v>
      </c>
      <c r="L57" s="160">
        <v>0</v>
      </c>
      <c r="M57" s="160">
        <v>0</v>
      </c>
      <c r="N57" s="160">
        <v>0</v>
      </c>
      <c r="O57" s="160">
        <v>0</v>
      </c>
      <c r="P57" s="161" t="str">
        <f t="shared" si="26"/>
        <v>-</v>
      </c>
      <c r="Q57" s="175" t="str">
        <f t="shared" si="9"/>
        <v>-</v>
      </c>
      <c r="R57" s="161">
        <f t="shared" si="27"/>
        <v>0</v>
      </c>
      <c r="S57" s="160">
        <v>2785</v>
      </c>
      <c r="T57" s="160">
        <v>5150</v>
      </c>
      <c r="U57" s="160">
        <v>6783</v>
      </c>
      <c r="V57" s="160">
        <v>6068</v>
      </c>
      <c r="W57" s="160">
        <v>6432</v>
      </c>
      <c r="X57" s="161">
        <f t="shared" si="28"/>
        <v>5.9986816084377059E-2</v>
      </c>
      <c r="Y57" s="175">
        <f t="shared" si="10"/>
        <v>1.3095152603231597</v>
      </c>
      <c r="Z57" s="161">
        <f t="shared" si="23"/>
        <v>1.7959301252650009E-3</v>
      </c>
    </row>
    <row r="58" spans="1:26" x14ac:dyDescent="0.25">
      <c r="A58" s="158" t="s">
        <v>116</v>
      </c>
      <c r="B58" s="159" t="s">
        <v>116</v>
      </c>
      <c r="C58" s="160">
        <v>0</v>
      </c>
      <c r="D58" s="160">
        <v>0</v>
      </c>
      <c r="E58" s="160">
        <v>0</v>
      </c>
      <c r="F58" s="160">
        <v>0</v>
      </c>
      <c r="G58" s="160">
        <v>0</v>
      </c>
      <c r="H58" s="161" t="str">
        <f t="shared" si="24"/>
        <v>-</v>
      </c>
      <c r="I58" s="175" t="str">
        <f t="shared" si="1"/>
        <v>-</v>
      </c>
      <c r="J58" s="161">
        <f t="shared" si="25"/>
        <v>0</v>
      </c>
      <c r="K58" s="160">
        <v>0</v>
      </c>
      <c r="L58" s="160">
        <v>0</v>
      </c>
      <c r="M58" s="160">
        <v>0</v>
      </c>
      <c r="N58" s="160">
        <v>0</v>
      </c>
      <c r="O58" s="160">
        <v>0</v>
      </c>
      <c r="P58" s="161" t="str">
        <f t="shared" si="26"/>
        <v>-</v>
      </c>
      <c r="Q58" s="175" t="str">
        <f t="shared" si="9"/>
        <v>-</v>
      </c>
      <c r="R58" s="161">
        <f t="shared" si="27"/>
        <v>0</v>
      </c>
      <c r="S58" s="160">
        <v>488</v>
      </c>
      <c r="T58" s="160">
        <v>1642</v>
      </c>
      <c r="U58" s="160">
        <v>2739</v>
      </c>
      <c r="V58" s="160">
        <v>2907</v>
      </c>
      <c r="W58" s="160">
        <v>2287</v>
      </c>
      <c r="X58" s="161">
        <f t="shared" si="28"/>
        <v>-0.21327829377364982</v>
      </c>
      <c r="Y58" s="175">
        <f t="shared" si="10"/>
        <v>3.6864754098360653</v>
      </c>
      <c r="Z58" s="161">
        <f t="shared" si="23"/>
        <v>7.2520309790665457E-4</v>
      </c>
    </row>
    <row r="59" spans="1:26" x14ac:dyDescent="0.25">
      <c r="A59" s="158" t="s">
        <v>123</v>
      </c>
      <c r="B59" s="159" t="s">
        <v>123</v>
      </c>
      <c r="C59" s="160">
        <v>0</v>
      </c>
      <c r="D59" s="160">
        <v>0</v>
      </c>
      <c r="E59" s="160">
        <v>0</v>
      </c>
      <c r="F59" s="160">
        <v>0</v>
      </c>
      <c r="G59" s="160">
        <v>0</v>
      </c>
      <c r="H59" s="161" t="str">
        <f t="shared" si="24"/>
        <v>-</v>
      </c>
      <c r="I59" s="175" t="str">
        <f t="shared" si="1"/>
        <v>-</v>
      </c>
      <c r="J59" s="161">
        <f t="shared" si="25"/>
        <v>0</v>
      </c>
      <c r="K59" s="160">
        <v>0</v>
      </c>
      <c r="L59" s="160">
        <v>0</v>
      </c>
      <c r="M59" s="160">
        <v>0</v>
      </c>
      <c r="N59" s="160">
        <v>0</v>
      </c>
      <c r="O59" s="160">
        <v>0</v>
      </c>
      <c r="P59" s="161" t="str">
        <f t="shared" si="26"/>
        <v>-</v>
      </c>
      <c r="Q59" s="175" t="str">
        <f t="shared" si="9"/>
        <v>-</v>
      </c>
      <c r="R59" s="161">
        <f t="shared" si="27"/>
        <v>0</v>
      </c>
      <c r="S59" s="160">
        <v>271</v>
      </c>
      <c r="T59" s="160">
        <v>377</v>
      </c>
      <c r="U59" s="160">
        <v>866</v>
      </c>
      <c r="V59" s="160">
        <v>806</v>
      </c>
      <c r="W59" s="160">
        <v>1078</v>
      </c>
      <c r="X59" s="161">
        <f t="shared" si="28"/>
        <v>0.33746898263027303</v>
      </c>
      <c r="Y59" s="175">
        <f t="shared" si="10"/>
        <v>2.9778597785977858</v>
      </c>
      <c r="Z59" s="161">
        <f t="shared" si="23"/>
        <v>2.2929020912273196E-4</v>
      </c>
    </row>
    <row r="60" spans="1:26" x14ac:dyDescent="0.25">
      <c r="A60" s="158" t="s">
        <v>119</v>
      </c>
      <c r="B60" s="159" t="s">
        <v>119</v>
      </c>
      <c r="C60" s="160">
        <v>0</v>
      </c>
      <c r="D60" s="160">
        <v>0</v>
      </c>
      <c r="E60" s="160">
        <v>0</v>
      </c>
      <c r="F60" s="160">
        <v>0</v>
      </c>
      <c r="G60" s="160">
        <v>0</v>
      </c>
      <c r="H60" s="161" t="str">
        <f t="shared" si="24"/>
        <v>-</v>
      </c>
      <c r="I60" s="175" t="str">
        <f t="shared" si="1"/>
        <v>-</v>
      </c>
      <c r="J60" s="161">
        <f t="shared" si="25"/>
        <v>0</v>
      </c>
      <c r="K60" s="160">
        <v>0</v>
      </c>
      <c r="L60" s="160">
        <v>0</v>
      </c>
      <c r="M60" s="160">
        <v>0</v>
      </c>
      <c r="N60" s="160">
        <v>0</v>
      </c>
      <c r="O60" s="160">
        <v>0</v>
      </c>
      <c r="P60" s="161" t="str">
        <f t="shared" si="26"/>
        <v>-</v>
      </c>
      <c r="Q60" s="175" t="str">
        <f t="shared" si="9"/>
        <v>-</v>
      </c>
      <c r="R60" s="161">
        <f t="shared" si="27"/>
        <v>0</v>
      </c>
      <c r="S60" s="160">
        <v>177</v>
      </c>
      <c r="T60" s="160">
        <v>476</v>
      </c>
      <c r="U60" s="160">
        <v>649</v>
      </c>
      <c r="V60" s="160">
        <v>683</v>
      </c>
      <c r="W60" s="160">
        <v>802</v>
      </c>
      <c r="X60" s="161">
        <f t="shared" si="28"/>
        <v>0.17423133235724753</v>
      </c>
      <c r="Y60" s="175">
        <f t="shared" si="10"/>
        <v>3.5310734463276834</v>
      </c>
      <c r="Z60" s="161">
        <f t="shared" si="23"/>
        <v>1.7183527219474947E-4</v>
      </c>
    </row>
    <row r="61" spans="1:26" x14ac:dyDescent="0.25">
      <c r="A61" s="158" t="s">
        <v>128</v>
      </c>
      <c r="B61" s="159" t="s">
        <v>128</v>
      </c>
      <c r="C61" s="160">
        <v>0</v>
      </c>
      <c r="D61" s="160">
        <v>0</v>
      </c>
      <c r="E61" s="160">
        <v>0</v>
      </c>
      <c r="F61" s="160">
        <v>0</v>
      </c>
      <c r="G61" s="160">
        <v>0</v>
      </c>
      <c r="H61" s="161" t="str">
        <f t="shared" si="24"/>
        <v>-</v>
      </c>
      <c r="I61" s="175" t="str">
        <f t="shared" si="1"/>
        <v>-</v>
      </c>
      <c r="J61" s="161">
        <f t="shared" si="25"/>
        <v>0</v>
      </c>
      <c r="K61" s="160">
        <v>0</v>
      </c>
      <c r="L61" s="160">
        <v>0</v>
      </c>
      <c r="M61" s="160">
        <v>0</v>
      </c>
      <c r="N61" s="160">
        <v>0</v>
      </c>
      <c r="O61" s="160">
        <v>0</v>
      </c>
      <c r="P61" s="161" t="str">
        <f t="shared" si="26"/>
        <v>-</v>
      </c>
      <c r="Q61" s="175" t="str">
        <f t="shared" si="9"/>
        <v>-</v>
      </c>
      <c r="R61" s="161">
        <f t="shared" si="27"/>
        <v>0</v>
      </c>
      <c r="S61" s="160">
        <v>76</v>
      </c>
      <c r="T61" s="160">
        <v>98</v>
      </c>
      <c r="U61" s="160">
        <v>132</v>
      </c>
      <c r="V61" s="160">
        <v>239</v>
      </c>
      <c r="W61" s="160">
        <v>141</v>
      </c>
      <c r="X61" s="161">
        <f t="shared" si="28"/>
        <v>-0.41004184100418406</v>
      </c>
      <c r="Y61" s="175">
        <f t="shared" si="10"/>
        <v>0.85526315789473695</v>
      </c>
      <c r="Z61" s="161">
        <f t="shared" si="23"/>
        <v>3.4949546887067689E-5</v>
      </c>
    </row>
    <row r="62" spans="1:26" x14ac:dyDescent="0.25">
      <c r="A62" s="158" t="s">
        <v>131</v>
      </c>
      <c r="B62" s="159" t="s">
        <v>131</v>
      </c>
      <c r="C62" s="160">
        <v>0</v>
      </c>
      <c r="D62" s="160">
        <v>0</v>
      </c>
      <c r="E62" s="160">
        <v>0</v>
      </c>
      <c r="F62" s="160">
        <v>0</v>
      </c>
      <c r="G62" s="160">
        <v>0</v>
      </c>
      <c r="H62" s="161" t="str">
        <f t="shared" si="24"/>
        <v>-</v>
      </c>
      <c r="I62" s="175" t="str">
        <f t="shared" si="1"/>
        <v>-</v>
      </c>
      <c r="J62" s="161">
        <f t="shared" si="25"/>
        <v>0</v>
      </c>
      <c r="K62" s="160">
        <v>0</v>
      </c>
      <c r="L62" s="160">
        <v>0</v>
      </c>
      <c r="M62" s="160">
        <v>0</v>
      </c>
      <c r="N62" s="160">
        <v>0</v>
      </c>
      <c r="O62" s="160">
        <v>0</v>
      </c>
      <c r="P62" s="161" t="str">
        <f t="shared" si="26"/>
        <v>-</v>
      </c>
      <c r="Q62" s="175" t="str">
        <f t="shared" si="9"/>
        <v>-</v>
      </c>
      <c r="R62" s="161">
        <f t="shared" si="27"/>
        <v>0</v>
      </c>
      <c r="S62" s="160">
        <v>121</v>
      </c>
      <c r="T62" s="160">
        <v>91</v>
      </c>
      <c r="U62" s="160">
        <v>153</v>
      </c>
      <c r="V62" s="160">
        <v>195</v>
      </c>
      <c r="W62" s="160">
        <v>154</v>
      </c>
      <c r="X62" s="161">
        <f t="shared" si="28"/>
        <v>-0.21025641025641029</v>
      </c>
      <c r="Y62" s="175">
        <f t="shared" si="10"/>
        <v>0.27272727272727271</v>
      </c>
      <c r="Z62" s="161">
        <f t="shared" si="23"/>
        <v>4.0509702073646636E-5</v>
      </c>
    </row>
    <row r="63" spans="1:26" x14ac:dyDescent="0.25">
      <c r="A63" s="163" t="s">
        <v>145</v>
      </c>
      <c r="B63" s="164" t="s">
        <v>145</v>
      </c>
      <c r="C63" s="165">
        <f>C55-SUM(C56:C62)</f>
        <v>0</v>
      </c>
      <c r="D63" s="165">
        <f>D55-SUM(D56:D62)</f>
        <v>0</v>
      </c>
      <c r="E63" s="165">
        <f>E55-SUM(E56:E62)</f>
        <v>0</v>
      </c>
      <c r="F63" s="165">
        <f>F55-SUM(F56:F62)</f>
        <v>0</v>
      </c>
      <c r="G63" s="165">
        <f>G55-SUM(G56:G62)</f>
        <v>0</v>
      </c>
      <c r="H63" s="166" t="str">
        <f t="shared" si="24"/>
        <v>-</v>
      </c>
      <c r="I63" s="176" t="str">
        <f t="shared" si="1"/>
        <v>-</v>
      </c>
      <c r="J63" s="166">
        <f t="shared" si="25"/>
        <v>0</v>
      </c>
      <c r="K63" s="165">
        <f>K55-SUM(K56:K62)</f>
        <v>0</v>
      </c>
      <c r="L63" s="165">
        <f>L55-SUM(L56:L62)</f>
        <v>0</v>
      </c>
      <c r="M63" s="165">
        <f>M55-SUM(M56:M62)</f>
        <v>0</v>
      </c>
      <c r="N63" s="165">
        <f>N55-SUM(N56:N62)</f>
        <v>0</v>
      </c>
      <c r="O63" s="165">
        <f>O55-SUM(O56:O62)</f>
        <v>0</v>
      </c>
      <c r="P63" s="166" t="str">
        <f t="shared" si="26"/>
        <v>-</v>
      </c>
      <c r="Q63" s="176" t="str">
        <f t="shared" si="9"/>
        <v>-</v>
      </c>
      <c r="R63" s="166">
        <f t="shared" si="27"/>
        <v>0</v>
      </c>
      <c r="S63" s="165">
        <f>S55-SUM(S56:S62)</f>
        <v>2384</v>
      </c>
      <c r="T63" s="165">
        <f>T55-SUM(T56:T62)</f>
        <v>4347</v>
      </c>
      <c r="U63" s="165">
        <f>U55-SUM(U56:U62)</f>
        <v>9249</v>
      </c>
      <c r="V63" s="165">
        <f>V55-SUM(V56:V62)</f>
        <v>10298</v>
      </c>
      <c r="W63" s="165">
        <f>W55-SUM(W56:W62)</f>
        <v>10353</v>
      </c>
      <c r="X63" s="166">
        <f t="shared" si="28"/>
        <v>5.3408428821131171E-3</v>
      </c>
      <c r="Y63" s="176">
        <f t="shared" si="10"/>
        <v>3.3427013422818792</v>
      </c>
      <c r="Z63" s="166">
        <f t="shared" si="23"/>
        <v>2.4488512057461291E-3</v>
      </c>
    </row>
    <row r="64" spans="1:26" x14ac:dyDescent="0.25">
      <c r="A64" s="1"/>
      <c r="B64" s="151" t="s">
        <v>47</v>
      </c>
      <c r="C64" s="149"/>
      <c r="D64" s="149"/>
      <c r="E64" s="149"/>
      <c r="F64" s="149"/>
      <c r="G64" s="149"/>
      <c r="H64" s="149"/>
      <c r="I64" s="149"/>
      <c r="J64" s="149"/>
      <c r="K64" s="149"/>
      <c r="L64" s="149"/>
      <c r="M64" s="149"/>
      <c r="N64" s="149"/>
      <c r="O64" s="149"/>
      <c r="P64" s="149"/>
      <c r="Q64" s="149"/>
      <c r="R64" s="149"/>
      <c r="S64" s="149"/>
      <c r="T64" s="149"/>
      <c r="U64" s="149"/>
      <c r="V64" s="149"/>
      <c r="W64" s="149"/>
      <c r="X64" s="149"/>
      <c r="Y64" s="149"/>
      <c r="Z64" s="149"/>
    </row>
    <row r="65" spans="1:26" x14ac:dyDescent="0.25">
      <c r="A65" s="1" t="s">
        <v>0</v>
      </c>
      <c r="B65" s="152" t="s">
        <v>68</v>
      </c>
      <c r="C65" s="172">
        <f>C66+C69</f>
        <v>0</v>
      </c>
      <c r="D65" s="172">
        <f>D66+D69</f>
        <v>0</v>
      </c>
      <c r="E65" s="172">
        <f>E66+E69</f>
        <v>0</v>
      </c>
      <c r="F65" s="172">
        <f>F66+F69</f>
        <v>0</v>
      </c>
      <c r="G65" s="172">
        <f>G66+G69</f>
        <v>0</v>
      </c>
      <c r="H65" s="173" t="str">
        <f>IFERROR(G65/F65-1,"-")</f>
        <v>-</v>
      </c>
      <c r="I65" s="173" t="str">
        <f t="shared" si="1"/>
        <v>-</v>
      </c>
      <c r="J65" s="173">
        <f>G65/G$9</f>
        <v>0</v>
      </c>
      <c r="K65" s="172">
        <f>K66+K69</f>
        <v>0</v>
      </c>
      <c r="L65" s="172">
        <f>L66+L69</f>
        <v>0</v>
      </c>
      <c r="M65" s="172">
        <f>M66+M69</f>
        <v>0</v>
      </c>
      <c r="N65" s="172">
        <f>N66+N69</f>
        <v>0</v>
      </c>
      <c r="O65" s="172">
        <f>O66+O69</f>
        <v>0</v>
      </c>
      <c r="P65" s="173" t="str">
        <f>IFERROR(O65/N65-1,"-")</f>
        <v>-</v>
      </c>
      <c r="Q65" s="173" t="str">
        <f t="shared" si="9"/>
        <v>-</v>
      </c>
      <c r="R65" s="173">
        <f>O65/O$9</f>
        <v>0</v>
      </c>
      <c r="S65" s="172">
        <f>S66+S69</f>
        <v>54073</v>
      </c>
      <c r="T65" s="172">
        <f>T66+T69</f>
        <v>62020</v>
      </c>
      <c r="U65" s="172">
        <f>U66+U69</f>
        <v>151473</v>
      </c>
      <c r="V65" s="172">
        <f>V66+V69</f>
        <v>170958</v>
      </c>
      <c r="W65" s="172">
        <f>W66+W69</f>
        <v>191595</v>
      </c>
      <c r="X65" s="173">
        <f>IFERROR(W65/V65-1,"-")</f>
        <v>0.12071385954444946</v>
      </c>
      <c r="Y65" s="173">
        <f t="shared" si="10"/>
        <v>2.5432655854123132</v>
      </c>
      <c r="Z65" s="173">
        <f t="shared" ref="Z65:Z77" si="29">U65/U$9</f>
        <v>4.0105399360793971E-2</v>
      </c>
    </row>
    <row r="66" spans="1:26" x14ac:dyDescent="0.25">
      <c r="A66" s="1" t="s">
        <v>96</v>
      </c>
      <c r="B66" s="155" t="s">
        <v>97</v>
      </c>
      <c r="C66" s="156">
        <v>0</v>
      </c>
      <c r="D66" s="156">
        <v>0</v>
      </c>
      <c r="E66" s="156">
        <v>0</v>
      </c>
      <c r="F66" s="156">
        <v>0</v>
      </c>
      <c r="G66" s="156">
        <v>0</v>
      </c>
      <c r="H66" s="157" t="str">
        <f>IFERROR(G66/F66-1,"-")</f>
        <v>-</v>
      </c>
      <c r="I66" s="174" t="str">
        <f t="shared" si="1"/>
        <v>-</v>
      </c>
      <c r="J66" s="157">
        <f>G66/G$9</f>
        <v>0</v>
      </c>
      <c r="K66" s="156">
        <v>0</v>
      </c>
      <c r="L66" s="156">
        <v>0</v>
      </c>
      <c r="M66" s="156">
        <v>0</v>
      </c>
      <c r="N66" s="156">
        <v>0</v>
      </c>
      <c r="O66" s="156">
        <v>0</v>
      </c>
      <c r="P66" s="157" t="str">
        <f>IFERROR(O66/N66-1,"-")</f>
        <v>-</v>
      </c>
      <c r="Q66" s="174" t="str">
        <f t="shared" si="9"/>
        <v>-</v>
      </c>
      <c r="R66" s="157">
        <f>O66/O$9</f>
        <v>0</v>
      </c>
      <c r="S66" s="156">
        <v>24032</v>
      </c>
      <c r="T66" s="156">
        <v>25803</v>
      </c>
      <c r="U66" s="156">
        <v>30941</v>
      </c>
      <c r="V66" s="156">
        <v>45548</v>
      </c>
      <c r="W66" s="156">
        <v>58550</v>
      </c>
      <c r="X66" s="157">
        <f>IFERROR(W66/V66-1,"-")</f>
        <v>0.28545710020198478</v>
      </c>
      <c r="Y66" s="174">
        <f t="shared" si="10"/>
        <v>1.4363348868175767</v>
      </c>
      <c r="Z66" s="157">
        <f t="shared" si="29"/>
        <v>8.1922267441875852E-3</v>
      </c>
    </row>
    <row r="67" spans="1:26" x14ac:dyDescent="0.25">
      <c r="A67" s="158" t="s">
        <v>103</v>
      </c>
      <c r="B67" s="159" t="s">
        <v>103</v>
      </c>
      <c r="C67" s="160">
        <v>0</v>
      </c>
      <c r="D67" s="160">
        <v>0</v>
      </c>
      <c r="E67" s="160">
        <v>0</v>
      </c>
      <c r="F67" s="160">
        <v>0</v>
      </c>
      <c r="G67" s="160">
        <v>0</v>
      </c>
      <c r="H67" s="161" t="str">
        <f>IFERROR(G67/F67-1,"-")</f>
        <v>-</v>
      </c>
      <c r="I67" s="175" t="str">
        <f t="shared" si="1"/>
        <v>-</v>
      </c>
      <c r="J67" s="161">
        <f>G67/G$9</f>
        <v>0</v>
      </c>
      <c r="K67" s="160">
        <v>0</v>
      </c>
      <c r="L67" s="160">
        <v>0</v>
      </c>
      <c r="M67" s="160">
        <v>0</v>
      </c>
      <c r="N67" s="160">
        <v>0</v>
      </c>
      <c r="O67" s="160">
        <v>0</v>
      </c>
      <c r="P67" s="161" t="str">
        <f>IFERROR(O67/N67-1,"-")</f>
        <v>-</v>
      </c>
      <c r="Q67" s="175" t="str">
        <f t="shared" si="9"/>
        <v>-</v>
      </c>
      <c r="R67" s="161">
        <f>O67/O$9</f>
        <v>0</v>
      </c>
      <c r="S67" s="160">
        <v>8814</v>
      </c>
      <c r="T67" s="160">
        <v>21207</v>
      </c>
      <c r="U67" s="160">
        <v>22920</v>
      </c>
      <c r="V67" s="160">
        <v>31464</v>
      </c>
      <c r="W67" s="160">
        <v>34800</v>
      </c>
      <c r="X67" s="161">
        <f>IFERROR(W67/V67-1,"-")</f>
        <v>0.10602593440122043</v>
      </c>
      <c r="Y67" s="175">
        <f t="shared" si="10"/>
        <v>2.9482641252552755</v>
      </c>
      <c r="Z67" s="161">
        <f t="shared" si="29"/>
        <v>6.0685122322090262E-3</v>
      </c>
    </row>
    <row r="68" spans="1:26" x14ac:dyDescent="0.25">
      <c r="A68" s="158" t="s">
        <v>100</v>
      </c>
      <c r="B68" s="159" t="s">
        <v>100</v>
      </c>
      <c r="C68" s="160">
        <v>0</v>
      </c>
      <c r="D68" s="160">
        <v>0</v>
      </c>
      <c r="E68" s="160">
        <v>0</v>
      </c>
      <c r="F68" s="160">
        <v>0</v>
      </c>
      <c r="G68" s="160">
        <v>0</v>
      </c>
      <c r="H68" s="161" t="str">
        <f>IFERROR(G68/F68-1,"-")</f>
        <v>-</v>
      </c>
      <c r="I68" s="175" t="str">
        <f t="shared" si="1"/>
        <v>-</v>
      </c>
      <c r="J68" s="161">
        <f>G68/G$9</f>
        <v>0</v>
      </c>
      <c r="K68" s="160">
        <v>0</v>
      </c>
      <c r="L68" s="160">
        <v>0</v>
      </c>
      <c r="M68" s="160">
        <v>0</v>
      </c>
      <c r="N68" s="160">
        <v>0</v>
      </c>
      <c r="O68" s="160">
        <v>0</v>
      </c>
      <c r="P68" s="161" t="str">
        <f>IFERROR(O68/N68-1,"-")</f>
        <v>-</v>
      </c>
      <c r="Q68" s="175" t="str">
        <f t="shared" si="9"/>
        <v>-</v>
      </c>
      <c r="R68" s="161">
        <f>O68/O$9</f>
        <v>0</v>
      </c>
      <c r="S68" s="160">
        <v>15218</v>
      </c>
      <c r="T68" s="160">
        <v>4596</v>
      </c>
      <c r="U68" s="160">
        <v>8021</v>
      </c>
      <c r="V68" s="160">
        <v>14084</v>
      </c>
      <c r="W68" s="160">
        <v>23750</v>
      </c>
      <c r="X68" s="161">
        <f>IFERROR(W68/V68-1,"-")</f>
        <v>0.68631070718545861</v>
      </c>
      <c r="Y68" s="175">
        <f t="shared" si="10"/>
        <v>0.56065185963990016</v>
      </c>
      <c r="Z68" s="161">
        <f t="shared" si="29"/>
        <v>2.1237145119785599E-3</v>
      </c>
    </row>
    <row r="69" spans="1:26" x14ac:dyDescent="0.25">
      <c r="A69" s="1" t="s">
        <v>146</v>
      </c>
      <c r="B69" s="155" t="s">
        <v>107</v>
      </c>
      <c r="C69" s="156">
        <v>0</v>
      </c>
      <c r="D69" s="156">
        <v>0</v>
      </c>
      <c r="E69" s="156">
        <v>0</v>
      </c>
      <c r="F69" s="156">
        <v>0</v>
      </c>
      <c r="G69" s="156">
        <v>0</v>
      </c>
      <c r="H69" s="157" t="str">
        <f>IFERROR(G69/F69-1,"-")</f>
        <v>-</v>
      </c>
      <c r="I69" s="174" t="str">
        <f t="shared" si="1"/>
        <v>-</v>
      </c>
      <c r="J69" s="157">
        <f>G69/G$9</f>
        <v>0</v>
      </c>
      <c r="K69" s="156">
        <v>0</v>
      </c>
      <c r="L69" s="156">
        <v>0</v>
      </c>
      <c r="M69" s="156">
        <v>0</v>
      </c>
      <c r="N69" s="156">
        <v>0</v>
      </c>
      <c r="O69" s="156">
        <v>0</v>
      </c>
      <c r="P69" s="157" t="str">
        <f>IFERROR(O69/N69-1,"-")</f>
        <v>-</v>
      </c>
      <c r="Q69" s="174" t="str">
        <f t="shared" si="9"/>
        <v>-</v>
      </c>
      <c r="R69" s="157">
        <f>O69/O$9</f>
        <v>0</v>
      </c>
      <c r="S69" s="156">
        <v>30041</v>
      </c>
      <c r="T69" s="156">
        <v>36217</v>
      </c>
      <c r="U69" s="156">
        <v>120532</v>
      </c>
      <c r="V69" s="156">
        <v>125410</v>
      </c>
      <c r="W69" s="156">
        <v>133045</v>
      </c>
      <c r="X69" s="157">
        <f>IFERROR(W69/V69-1,"-")</f>
        <v>6.0880312574754791E-2</v>
      </c>
      <c r="Y69" s="174">
        <f t="shared" si="10"/>
        <v>3.428780666422556</v>
      </c>
      <c r="Z69" s="157">
        <f t="shared" si="29"/>
        <v>3.1913172616606381E-2</v>
      </c>
    </row>
    <row r="70" spans="1:26" x14ac:dyDescent="0.25">
      <c r="A70" s="158" t="s">
        <v>110</v>
      </c>
      <c r="B70" s="159" t="s">
        <v>110</v>
      </c>
      <c r="C70" s="160">
        <v>0</v>
      </c>
      <c r="D70" s="160">
        <v>0</v>
      </c>
      <c r="E70" s="160">
        <v>0</v>
      </c>
      <c r="F70" s="160">
        <v>0</v>
      </c>
      <c r="G70" s="160">
        <v>0</v>
      </c>
      <c r="H70" s="161" t="str">
        <f t="shared" ref="H70:H77" si="30">IFERROR(G70/F70-1,"-")</f>
        <v>-</v>
      </c>
      <c r="I70" s="175" t="str">
        <f t="shared" si="1"/>
        <v>-</v>
      </c>
      <c r="J70" s="161">
        <f t="shared" ref="J70:J77" si="31">G70/G$9</f>
        <v>0</v>
      </c>
      <c r="K70" s="160">
        <v>0</v>
      </c>
      <c r="L70" s="160">
        <v>0</v>
      </c>
      <c r="M70" s="160">
        <v>0</v>
      </c>
      <c r="N70" s="160">
        <v>0</v>
      </c>
      <c r="O70" s="160">
        <v>0</v>
      </c>
      <c r="P70" s="161" t="str">
        <f t="shared" ref="P70:P77" si="32">IFERROR(O70/N70-1,"-")</f>
        <v>-</v>
      </c>
      <c r="Q70" s="175" t="str">
        <f t="shared" si="9"/>
        <v>-</v>
      </c>
      <c r="R70" s="161">
        <f t="shared" ref="R70:R77" si="33">O70/O$9</f>
        <v>0</v>
      </c>
      <c r="S70" s="160">
        <v>13564</v>
      </c>
      <c r="T70" s="160">
        <v>7549</v>
      </c>
      <c r="U70" s="160">
        <v>52809</v>
      </c>
      <c r="V70" s="160">
        <v>48101</v>
      </c>
      <c r="W70" s="160">
        <v>45250</v>
      </c>
      <c r="X70" s="161">
        <f t="shared" ref="X70:X77" si="34">IFERROR(W70/V70-1,"-")</f>
        <v>-5.9271117024594089E-2</v>
      </c>
      <c r="Y70" s="175">
        <f t="shared" si="10"/>
        <v>2.3360365673842525</v>
      </c>
      <c r="Z70" s="161">
        <f t="shared" si="29"/>
        <v>1.3982201678478466E-2</v>
      </c>
    </row>
    <row r="71" spans="1:26" x14ac:dyDescent="0.25">
      <c r="A71" s="158" t="s">
        <v>113</v>
      </c>
      <c r="B71" s="159" t="s">
        <v>113</v>
      </c>
      <c r="C71" s="160">
        <v>0</v>
      </c>
      <c r="D71" s="160">
        <v>0</v>
      </c>
      <c r="E71" s="160">
        <v>0</v>
      </c>
      <c r="F71" s="160">
        <v>0</v>
      </c>
      <c r="G71" s="160">
        <v>0</v>
      </c>
      <c r="H71" s="161" t="str">
        <f t="shared" si="30"/>
        <v>-</v>
      </c>
      <c r="I71" s="175" t="str">
        <f t="shared" si="1"/>
        <v>-</v>
      </c>
      <c r="J71" s="161">
        <f t="shared" si="31"/>
        <v>0</v>
      </c>
      <c r="K71" s="160">
        <v>0</v>
      </c>
      <c r="L71" s="160">
        <v>0</v>
      </c>
      <c r="M71" s="160">
        <v>0</v>
      </c>
      <c r="N71" s="160">
        <v>0</v>
      </c>
      <c r="O71" s="160">
        <v>0</v>
      </c>
      <c r="P71" s="161" t="str">
        <f t="shared" si="32"/>
        <v>-</v>
      </c>
      <c r="Q71" s="175" t="str">
        <f t="shared" si="9"/>
        <v>-</v>
      </c>
      <c r="R71" s="161">
        <f t="shared" si="33"/>
        <v>0</v>
      </c>
      <c r="S71" s="160">
        <v>3277</v>
      </c>
      <c r="T71" s="160">
        <v>3513</v>
      </c>
      <c r="U71" s="160">
        <v>7009</v>
      </c>
      <c r="V71" s="160">
        <v>9961</v>
      </c>
      <c r="W71" s="160">
        <v>9892</v>
      </c>
      <c r="X71" s="161">
        <f t="shared" si="34"/>
        <v>-6.9270153599035877E-3</v>
      </c>
      <c r="Y71" s="175">
        <f t="shared" si="10"/>
        <v>2.0186145865120535</v>
      </c>
      <c r="Z71" s="161">
        <f t="shared" si="29"/>
        <v>1.8557679858443744E-3</v>
      </c>
    </row>
    <row r="72" spans="1:26" x14ac:dyDescent="0.25">
      <c r="A72" s="158" t="s">
        <v>116</v>
      </c>
      <c r="B72" s="159" t="s">
        <v>116</v>
      </c>
      <c r="C72" s="160">
        <v>0</v>
      </c>
      <c r="D72" s="160">
        <v>0</v>
      </c>
      <c r="E72" s="160">
        <v>0</v>
      </c>
      <c r="F72" s="160">
        <v>0</v>
      </c>
      <c r="G72" s="160">
        <v>0</v>
      </c>
      <c r="H72" s="161" t="str">
        <f t="shared" si="30"/>
        <v>-</v>
      </c>
      <c r="I72" s="175" t="str">
        <f t="shared" si="1"/>
        <v>-</v>
      </c>
      <c r="J72" s="161">
        <f t="shared" si="31"/>
        <v>0</v>
      </c>
      <c r="K72" s="160">
        <v>0</v>
      </c>
      <c r="L72" s="160">
        <v>0</v>
      </c>
      <c r="M72" s="160">
        <v>0</v>
      </c>
      <c r="N72" s="160">
        <v>0</v>
      </c>
      <c r="O72" s="160">
        <v>0</v>
      </c>
      <c r="P72" s="161" t="str">
        <f t="shared" si="32"/>
        <v>-</v>
      </c>
      <c r="Q72" s="175" t="str">
        <f t="shared" si="9"/>
        <v>-</v>
      </c>
      <c r="R72" s="161">
        <f t="shared" si="33"/>
        <v>0</v>
      </c>
      <c r="S72" s="160">
        <v>3407</v>
      </c>
      <c r="T72" s="160">
        <v>6247</v>
      </c>
      <c r="U72" s="160">
        <v>17604</v>
      </c>
      <c r="V72" s="160">
        <v>15357</v>
      </c>
      <c r="W72" s="160">
        <v>19078</v>
      </c>
      <c r="X72" s="161">
        <f t="shared" si="34"/>
        <v>0.24229992837142666</v>
      </c>
      <c r="Y72" s="175">
        <f t="shared" si="10"/>
        <v>4.599647783974171</v>
      </c>
      <c r="Z72" s="161">
        <f t="shared" si="29"/>
        <v>4.6609986621207545E-3</v>
      </c>
    </row>
    <row r="73" spans="1:26" x14ac:dyDescent="0.25">
      <c r="A73" s="158" t="s">
        <v>123</v>
      </c>
      <c r="B73" s="159" t="s">
        <v>123</v>
      </c>
      <c r="C73" s="160">
        <v>0</v>
      </c>
      <c r="D73" s="160">
        <v>0</v>
      </c>
      <c r="E73" s="160">
        <v>0</v>
      </c>
      <c r="F73" s="160">
        <v>0</v>
      </c>
      <c r="G73" s="160">
        <v>0</v>
      </c>
      <c r="H73" s="161" t="str">
        <f t="shared" si="30"/>
        <v>-</v>
      </c>
      <c r="I73" s="175" t="str">
        <f t="shared" si="1"/>
        <v>-</v>
      </c>
      <c r="J73" s="161">
        <f t="shared" si="31"/>
        <v>0</v>
      </c>
      <c r="K73" s="160">
        <v>0</v>
      </c>
      <c r="L73" s="160">
        <v>0</v>
      </c>
      <c r="M73" s="160">
        <v>0</v>
      </c>
      <c r="N73" s="160">
        <v>0</v>
      </c>
      <c r="O73" s="160">
        <v>0</v>
      </c>
      <c r="P73" s="161" t="str">
        <f t="shared" si="32"/>
        <v>-</v>
      </c>
      <c r="Q73" s="175" t="str">
        <f t="shared" si="9"/>
        <v>-</v>
      </c>
      <c r="R73" s="161">
        <f t="shared" si="33"/>
        <v>0</v>
      </c>
      <c r="S73" s="160">
        <v>502</v>
      </c>
      <c r="T73" s="160">
        <v>1777</v>
      </c>
      <c r="U73" s="160">
        <v>2468</v>
      </c>
      <c r="V73" s="160">
        <v>3478</v>
      </c>
      <c r="W73" s="160">
        <v>4281</v>
      </c>
      <c r="X73" s="161">
        <f t="shared" si="34"/>
        <v>0.23087981598619889</v>
      </c>
      <c r="Y73" s="175">
        <f t="shared" si="10"/>
        <v>7.5278884462151403</v>
      </c>
      <c r="Z73" s="161">
        <f t="shared" si="29"/>
        <v>6.5345061907032612E-4</v>
      </c>
    </row>
    <row r="74" spans="1:26" x14ac:dyDescent="0.25">
      <c r="A74" s="158" t="s">
        <v>119</v>
      </c>
      <c r="B74" s="159" t="s">
        <v>119</v>
      </c>
      <c r="C74" s="160">
        <v>0</v>
      </c>
      <c r="D74" s="160">
        <v>0</v>
      </c>
      <c r="E74" s="160">
        <v>0</v>
      </c>
      <c r="F74" s="160">
        <v>0</v>
      </c>
      <c r="G74" s="160">
        <v>0</v>
      </c>
      <c r="H74" s="161" t="str">
        <f t="shared" si="30"/>
        <v>-</v>
      </c>
      <c r="I74" s="175" t="str">
        <f t="shared" ref="I74:I137" si="35">IFERROR(G74/C74-1,"-")</f>
        <v>-</v>
      </c>
      <c r="J74" s="161">
        <f t="shared" si="31"/>
        <v>0</v>
      </c>
      <c r="K74" s="160">
        <v>0</v>
      </c>
      <c r="L74" s="160">
        <v>0</v>
      </c>
      <c r="M74" s="160">
        <v>0</v>
      </c>
      <c r="N74" s="160">
        <v>0</v>
      </c>
      <c r="O74" s="160">
        <v>0</v>
      </c>
      <c r="P74" s="161" t="str">
        <f t="shared" si="32"/>
        <v>-</v>
      </c>
      <c r="Q74" s="175" t="str">
        <f t="shared" si="9"/>
        <v>-</v>
      </c>
      <c r="R74" s="161">
        <f t="shared" si="33"/>
        <v>0</v>
      </c>
      <c r="S74" s="160">
        <v>1200</v>
      </c>
      <c r="T74" s="160">
        <v>1607</v>
      </c>
      <c r="U74" s="160">
        <v>2853</v>
      </c>
      <c r="V74" s="160">
        <v>2272</v>
      </c>
      <c r="W74" s="160">
        <v>3870</v>
      </c>
      <c r="X74" s="161">
        <f t="shared" si="34"/>
        <v>0.70334507042253525</v>
      </c>
      <c r="Y74" s="175">
        <f t="shared" si="10"/>
        <v>2.2250000000000001</v>
      </c>
      <c r="Z74" s="161">
        <f t="shared" si="29"/>
        <v>7.5538679749094029E-4</v>
      </c>
    </row>
    <row r="75" spans="1:26" x14ac:dyDescent="0.25">
      <c r="A75" s="158" t="s">
        <v>128</v>
      </c>
      <c r="B75" s="159" t="s">
        <v>128</v>
      </c>
      <c r="C75" s="160">
        <v>0</v>
      </c>
      <c r="D75" s="160">
        <v>0</v>
      </c>
      <c r="E75" s="160">
        <v>0</v>
      </c>
      <c r="F75" s="160">
        <v>0</v>
      </c>
      <c r="G75" s="160">
        <v>0</v>
      </c>
      <c r="H75" s="161" t="str">
        <f t="shared" si="30"/>
        <v>-</v>
      </c>
      <c r="I75" s="175" t="str">
        <f t="shared" si="35"/>
        <v>-</v>
      </c>
      <c r="J75" s="161">
        <f t="shared" si="31"/>
        <v>0</v>
      </c>
      <c r="K75" s="160">
        <v>0</v>
      </c>
      <c r="L75" s="160">
        <v>0</v>
      </c>
      <c r="M75" s="160">
        <v>0</v>
      </c>
      <c r="N75" s="160">
        <v>0</v>
      </c>
      <c r="O75" s="160">
        <v>0</v>
      </c>
      <c r="P75" s="161" t="str">
        <f t="shared" si="32"/>
        <v>-</v>
      </c>
      <c r="Q75" s="175" t="str">
        <f t="shared" si="9"/>
        <v>-</v>
      </c>
      <c r="R75" s="161">
        <f t="shared" si="33"/>
        <v>0</v>
      </c>
      <c r="S75" s="160">
        <v>651</v>
      </c>
      <c r="T75" s="160">
        <v>1674</v>
      </c>
      <c r="U75" s="160">
        <v>2685</v>
      </c>
      <c r="V75" s="160">
        <v>3745</v>
      </c>
      <c r="W75" s="160">
        <v>2300</v>
      </c>
      <c r="X75" s="161">
        <f t="shared" si="34"/>
        <v>-0.3858477970627503</v>
      </c>
      <c r="Y75" s="175">
        <f t="shared" si="10"/>
        <v>2.5330261136712751</v>
      </c>
      <c r="Z75" s="161">
        <f t="shared" si="29"/>
        <v>7.1090555599830866E-4</v>
      </c>
    </row>
    <row r="76" spans="1:26" x14ac:dyDescent="0.25">
      <c r="A76" s="158" t="s">
        <v>131</v>
      </c>
      <c r="B76" s="159" t="s">
        <v>131</v>
      </c>
      <c r="C76" s="160">
        <v>0</v>
      </c>
      <c r="D76" s="160">
        <v>0</v>
      </c>
      <c r="E76" s="160">
        <v>0</v>
      </c>
      <c r="F76" s="160">
        <v>0</v>
      </c>
      <c r="G76" s="160">
        <v>0</v>
      </c>
      <c r="H76" s="161" t="str">
        <f t="shared" si="30"/>
        <v>-</v>
      </c>
      <c r="I76" s="175" t="str">
        <f t="shared" si="35"/>
        <v>-</v>
      </c>
      <c r="J76" s="161">
        <f t="shared" si="31"/>
        <v>0</v>
      </c>
      <c r="K76" s="160">
        <v>0</v>
      </c>
      <c r="L76" s="160">
        <v>0</v>
      </c>
      <c r="M76" s="160">
        <v>0</v>
      </c>
      <c r="N76" s="160">
        <v>0</v>
      </c>
      <c r="O76" s="160">
        <v>0</v>
      </c>
      <c r="P76" s="161" t="str">
        <f t="shared" si="32"/>
        <v>-</v>
      </c>
      <c r="Q76" s="175" t="str">
        <f t="shared" si="9"/>
        <v>-</v>
      </c>
      <c r="R76" s="161">
        <f t="shared" si="33"/>
        <v>0</v>
      </c>
      <c r="S76" s="160">
        <v>907</v>
      </c>
      <c r="T76" s="160">
        <v>154</v>
      </c>
      <c r="U76" s="160">
        <v>799</v>
      </c>
      <c r="V76" s="160">
        <v>1039</v>
      </c>
      <c r="W76" s="160">
        <v>628</v>
      </c>
      <c r="X76" s="161">
        <f t="shared" si="34"/>
        <v>-0.39557266602502406</v>
      </c>
      <c r="Y76" s="175">
        <f t="shared" si="10"/>
        <v>-0.30760749724366043</v>
      </c>
      <c r="Z76" s="161">
        <f t="shared" si="29"/>
        <v>2.1155066638459911E-4</v>
      </c>
    </row>
    <row r="77" spans="1:26" x14ac:dyDescent="0.25">
      <c r="A77" s="163" t="s">
        <v>145</v>
      </c>
      <c r="B77" s="164" t="s">
        <v>145</v>
      </c>
      <c r="C77" s="165">
        <f>C69-SUM(C70:C76)</f>
        <v>0</v>
      </c>
      <c r="D77" s="165">
        <f>D69-SUM(D70:D76)</f>
        <v>0</v>
      </c>
      <c r="E77" s="165">
        <f>E69-SUM(E70:E76)</f>
        <v>0</v>
      </c>
      <c r="F77" s="165">
        <f>F69-SUM(F70:F76)</f>
        <v>0</v>
      </c>
      <c r="G77" s="165">
        <f>G69-SUM(G70:G76)</f>
        <v>0</v>
      </c>
      <c r="H77" s="166" t="str">
        <f t="shared" si="30"/>
        <v>-</v>
      </c>
      <c r="I77" s="176" t="str">
        <f t="shared" si="35"/>
        <v>-</v>
      </c>
      <c r="J77" s="166">
        <f t="shared" si="31"/>
        <v>0</v>
      </c>
      <c r="K77" s="165">
        <f>K69-SUM(K70:K76)</f>
        <v>0</v>
      </c>
      <c r="L77" s="165">
        <f>L69-SUM(L70:L76)</f>
        <v>0</v>
      </c>
      <c r="M77" s="165">
        <f>M69-SUM(M70:M76)</f>
        <v>0</v>
      </c>
      <c r="N77" s="165">
        <f>N69-SUM(N70:N76)</f>
        <v>0</v>
      </c>
      <c r="O77" s="165">
        <f>O69-SUM(O70:O76)</f>
        <v>0</v>
      </c>
      <c r="P77" s="166" t="str">
        <f t="shared" si="32"/>
        <v>-</v>
      </c>
      <c r="Q77" s="176" t="str">
        <f t="shared" si="9"/>
        <v>-</v>
      </c>
      <c r="R77" s="166">
        <f t="shared" si="33"/>
        <v>0</v>
      </c>
      <c r="S77" s="165">
        <f>S69-SUM(S70:S76)</f>
        <v>6533</v>
      </c>
      <c r="T77" s="165">
        <f>T69-SUM(T70:T76)</f>
        <v>13696</v>
      </c>
      <c r="U77" s="165">
        <f>U69-SUM(U70:U76)</f>
        <v>34305</v>
      </c>
      <c r="V77" s="165">
        <f>V69-SUM(V70:V76)</f>
        <v>41457</v>
      </c>
      <c r="W77" s="165">
        <f>W69-SUM(W70:W76)</f>
        <v>47746</v>
      </c>
      <c r="X77" s="166">
        <f t="shared" si="34"/>
        <v>0.15169935113491095</v>
      </c>
      <c r="Y77" s="176">
        <f t="shared" si="10"/>
        <v>6.3084341037808054</v>
      </c>
      <c r="Z77" s="166">
        <f t="shared" si="29"/>
        <v>9.0829106512186134E-3</v>
      </c>
    </row>
    <row r="78" spans="1:26" x14ac:dyDescent="0.25">
      <c r="A78" s="1"/>
      <c r="B78" s="151" t="s">
        <v>48</v>
      </c>
      <c r="C78" s="149"/>
      <c r="D78" s="149"/>
      <c r="E78" s="149"/>
      <c r="F78" s="149"/>
      <c r="G78" s="149"/>
      <c r="H78" s="149"/>
      <c r="I78" s="149"/>
      <c r="J78" s="149"/>
      <c r="K78" s="149"/>
      <c r="L78" s="149"/>
      <c r="M78" s="149"/>
      <c r="N78" s="149"/>
      <c r="O78" s="149"/>
      <c r="P78" s="149"/>
      <c r="Q78" s="149"/>
      <c r="R78" s="149"/>
      <c r="S78" s="149"/>
      <c r="T78" s="149"/>
      <c r="U78" s="149"/>
      <c r="V78" s="149"/>
      <c r="W78" s="149"/>
      <c r="X78" s="149"/>
      <c r="Y78" s="149"/>
      <c r="Z78" s="149"/>
    </row>
    <row r="79" spans="1:26" x14ac:dyDescent="0.25">
      <c r="A79" s="1" t="s">
        <v>0</v>
      </c>
      <c r="B79" s="152" t="s">
        <v>68</v>
      </c>
      <c r="C79" s="172">
        <f>C80+C83</f>
        <v>34055</v>
      </c>
      <c r="D79" s="172">
        <f>D80+D83</f>
        <v>70827</v>
      </c>
      <c r="E79" s="172">
        <f>E80+E83</f>
        <v>98456</v>
      </c>
      <c r="F79" s="172">
        <f>F80+F83</f>
        <v>103299</v>
      </c>
      <c r="G79" s="172">
        <f>G80+G83</f>
        <v>118688</v>
      </c>
      <c r="H79" s="173">
        <f>IFERROR(G79/F79-1,"-")</f>
        <v>0.14897530469801246</v>
      </c>
      <c r="I79" s="173">
        <f t="shared" si="35"/>
        <v>2.4851857289678461</v>
      </c>
      <c r="J79" s="173">
        <f>G79/G$9</f>
        <v>0.15641333140048233</v>
      </c>
      <c r="K79" s="172">
        <f>K80+K83</f>
        <v>143122</v>
      </c>
      <c r="L79" s="172">
        <f>L80+L83</f>
        <v>214429</v>
      </c>
      <c r="M79" s="172">
        <f>M80+M83</f>
        <v>476344</v>
      </c>
      <c r="N79" s="172">
        <f>N80+N83</f>
        <v>549349</v>
      </c>
      <c r="O79" s="172">
        <f>O80+O83</f>
        <v>622363</v>
      </c>
      <c r="P79" s="173">
        <f>IFERROR(O79/N79-1,"-")</f>
        <v>0.13291004443441246</v>
      </c>
      <c r="Q79" s="173">
        <f t="shared" si="9"/>
        <v>3.3484789200821679</v>
      </c>
      <c r="R79" s="173">
        <f>O79/O$9</f>
        <v>0.17676598983762351</v>
      </c>
      <c r="S79" s="172">
        <f>S80+S83</f>
        <v>177177</v>
      </c>
      <c r="T79" s="172">
        <f>T80+T83</f>
        <v>285256</v>
      </c>
      <c r="U79" s="172">
        <f>U80+U83</f>
        <v>574800</v>
      </c>
      <c r="V79" s="172">
        <f>V80+V83</f>
        <v>652648</v>
      </c>
      <c r="W79" s="172">
        <f>W80+W83</f>
        <v>741051</v>
      </c>
      <c r="X79" s="173">
        <f>IFERROR(W79/V79-1,"-")</f>
        <v>0.13545280151015548</v>
      </c>
      <c r="Y79" s="173">
        <f t="shared" si="10"/>
        <v>3.1825462672920297</v>
      </c>
      <c r="Z79" s="173">
        <f t="shared" ref="Z79:Z91" si="36">U79/U$9</f>
        <v>0.15218939053550384</v>
      </c>
    </row>
    <row r="80" spans="1:26" x14ac:dyDescent="0.25">
      <c r="A80" s="1" t="s">
        <v>96</v>
      </c>
      <c r="B80" s="155" t="s">
        <v>97</v>
      </c>
      <c r="C80" s="156">
        <v>15296</v>
      </c>
      <c r="D80" s="156">
        <v>38077</v>
      </c>
      <c r="E80" s="156">
        <v>48839</v>
      </c>
      <c r="F80" s="156">
        <v>49185</v>
      </c>
      <c r="G80" s="156">
        <v>55960</v>
      </c>
      <c r="H80" s="157">
        <f>IFERROR(G80/F80-1,"-")</f>
        <v>0.13774524753481754</v>
      </c>
      <c r="I80" s="174">
        <f t="shared" si="35"/>
        <v>2.6584728033472804</v>
      </c>
      <c r="J80" s="157">
        <f>G80/G$9</f>
        <v>7.3747051304015501E-2</v>
      </c>
      <c r="K80" s="156">
        <v>67449</v>
      </c>
      <c r="L80" s="156">
        <v>109519</v>
      </c>
      <c r="M80" s="156">
        <v>230615</v>
      </c>
      <c r="N80" s="156">
        <v>229974</v>
      </c>
      <c r="O80" s="156">
        <v>243808</v>
      </c>
      <c r="P80" s="157">
        <f>IFERROR(O80/N80-1,"-")</f>
        <v>6.0154626175132897E-2</v>
      </c>
      <c r="Q80" s="174">
        <f t="shared" si="9"/>
        <v>2.6147014781538642</v>
      </c>
      <c r="R80" s="157">
        <f>O80/O$9</f>
        <v>6.9247308163131988E-2</v>
      </c>
      <c r="S80" s="156">
        <v>82745</v>
      </c>
      <c r="T80" s="156">
        <v>147596</v>
      </c>
      <c r="U80" s="156">
        <v>279454</v>
      </c>
      <c r="V80" s="156">
        <v>279159</v>
      </c>
      <c r="W80" s="156">
        <v>299768</v>
      </c>
      <c r="X80" s="157">
        <f>IFERROR(W80/V80-1,"-")</f>
        <v>7.3825311023467011E-2</v>
      </c>
      <c r="Y80" s="174">
        <f t="shared" si="10"/>
        <v>2.6227929180010876</v>
      </c>
      <c r="Z80" s="157">
        <f t="shared" si="36"/>
        <v>7.3990838452868288E-2</v>
      </c>
    </row>
    <row r="81" spans="1:26" x14ac:dyDescent="0.25">
      <c r="A81" s="158" t="s">
        <v>103</v>
      </c>
      <c r="B81" s="159" t="s">
        <v>103</v>
      </c>
      <c r="C81" s="160">
        <v>7696</v>
      </c>
      <c r="D81" s="160">
        <v>24218</v>
      </c>
      <c r="E81" s="160">
        <v>29828</v>
      </c>
      <c r="F81" s="160">
        <v>29979</v>
      </c>
      <c r="G81" s="160">
        <v>30308</v>
      </c>
      <c r="H81" s="161">
        <f>IFERROR(G81/F81-1,"-")</f>
        <v>1.0974348710764303E-2</v>
      </c>
      <c r="I81" s="175">
        <f t="shared" si="35"/>
        <v>2.938149688149688</v>
      </c>
      <c r="J81" s="161">
        <f>G81/G$9</f>
        <v>3.9941487328843846E-2</v>
      </c>
      <c r="K81" s="160">
        <v>11781</v>
      </c>
      <c r="L81" s="160">
        <v>24585</v>
      </c>
      <c r="M81" s="160">
        <v>36378</v>
      </c>
      <c r="N81" s="160">
        <v>30210</v>
      </c>
      <c r="O81" s="160">
        <v>42021</v>
      </c>
      <c r="P81" s="161">
        <f>IFERROR(O81/N81-1,"-")</f>
        <v>0.39096325719960268</v>
      </c>
      <c r="Q81" s="175">
        <f t="shared" si="9"/>
        <v>2.5668449197860963</v>
      </c>
      <c r="R81" s="161">
        <f>O81/O$9</f>
        <v>1.1934969879261424E-2</v>
      </c>
      <c r="S81" s="160">
        <v>19477</v>
      </c>
      <c r="T81" s="160">
        <v>48803</v>
      </c>
      <c r="U81" s="160">
        <v>66206</v>
      </c>
      <c r="V81" s="160">
        <v>60189</v>
      </c>
      <c r="W81" s="160">
        <v>72329</v>
      </c>
      <c r="X81" s="161">
        <f>IFERROR(W81/V81-1,"-")</f>
        <v>0.20169798468158628</v>
      </c>
      <c r="Y81" s="175">
        <f t="shared" si="10"/>
        <v>2.713559583098013</v>
      </c>
      <c r="Z81" s="161">
        <f t="shared" si="36"/>
        <v>1.7529315918221239E-2</v>
      </c>
    </row>
    <row r="82" spans="1:26" x14ac:dyDescent="0.25">
      <c r="A82" s="158" t="s">
        <v>100</v>
      </c>
      <c r="B82" s="159" t="s">
        <v>100</v>
      </c>
      <c r="C82" s="160">
        <v>7600</v>
      </c>
      <c r="D82" s="160">
        <v>13859</v>
      </c>
      <c r="E82" s="160">
        <v>19011</v>
      </c>
      <c r="F82" s="160">
        <v>19206</v>
      </c>
      <c r="G82" s="160">
        <v>25652</v>
      </c>
      <c r="H82" s="161">
        <f>IFERROR(G82/F82-1,"-")</f>
        <v>0.33562428407789224</v>
      </c>
      <c r="I82" s="175">
        <f t="shared" si="35"/>
        <v>2.3752631578947367</v>
      </c>
      <c r="J82" s="161">
        <f>G82/G$9</f>
        <v>3.3805563975171649E-2</v>
      </c>
      <c r="K82" s="160">
        <v>55668</v>
      </c>
      <c r="L82" s="160">
        <v>84934</v>
      </c>
      <c r="M82" s="160">
        <v>194237</v>
      </c>
      <c r="N82" s="160">
        <v>199764</v>
      </c>
      <c r="O82" s="160">
        <v>201787</v>
      </c>
      <c r="P82" s="161">
        <f>IFERROR(O82/N82-1,"-")</f>
        <v>1.0126949800765006E-2</v>
      </c>
      <c r="Q82" s="175">
        <f t="shared" si="9"/>
        <v>2.6248293454049003</v>
      </c>
      <c r="R82" s="161">
        <f>O82/O$9</f>
        <v>5.7312338283870563E-2</v>
      </c>
      <c r="S82" s="160">
        <v>63268</v>
      </c>
      <c r="T82" s="160">
        <v>98793</v>
      </c>
      <c r="U82" s="160">
        <v>213248</v>
      </c>
      <c r="V82" s="160">
        <v>218970</v>
      </c>
      <c r="W82" s="160">
        <v>227439</v>
      </c>
      <c r="X82" s="161">
        <f>IFERROR(W82/V82-1,"-")</f>
        <v>3.8676531031648143E-2</v>
      </c>
      <c r="Y82" s="175">
        <f t="shared" si="10"/>
        <v>2.5948504773345134</v>
      </c>
      <c r="Z82" s="161">
        <f t="shared" si="36"/>
        <v>5.6461522534647049E-2</v>
      </c>
    </row>
    <row r="83" spans="1:26" x14ac:dyDescent="0.25">
      <c r="A83" s="1" t="s">
        <v>146</v>
      </c>
      <c r="B83" s="155" t="s">
        <v>107</v>
      </c>
      <c r="C83" s="156">
        <v>18759</v>
      </c>
      <c r="D83" s="156">
        <v>32750</v>
      </c>
      <c r="E83" s="156">
        <v>49617</v>
      </c>
      <c r="F83" s="156">
        <v>54114</v>
      </c>
      <c r="G83" s="156">
        <v>62728</v>
      </c>
      <c r="H83" s="157">
        <f>IFERROR(G83/F83-1,"-")</f>
        <v>0.15918246664449121</v>
      </c>
      <c r="I83" s="174">
        <f t="shared" si="35"/>
        <v>2.3438882669651901</v>
      </c>
      <c r="J83" s="157">
        <f>G83/G$9</f>
        <v>8.2666280096466843E-2</v>
      </c>
      <c r="K83" s="156">
        <v>75673</v>
      </c>
      <c r="L83" s="156">
        <v>104910</v>
      </c>
      <c r="M83" s="156">
        <v>245729</v>
      </c>
      <c r="N83" s="156">
        <v>319375</v>
      </c>
      <c r="O83" s="156">
        <v>378555</v>
      </c>
      <c r="P83" s="157">
        <f>IFERROR(O83/N83-1,"-")</f>
        <v>0.18529941291585117</v>
      </c>
      <c r="Q83" s="174">
        <f t="shared" si="9"/>
        <v>4.0025108030605372</v>
      </c>
      <c r="R83" s="157">
        <f>O83/O$9</f>
        <v>0.10751868167449152</v>
      </c>
      <c r="S83" s="156">
        <v>94432</v>
      </c>
      <c r="T83" s="156">
        <v>137660</v>
      </c>
      <c r="U83" s="156">
        <v>295346</v>
      </c>
      <c r="V83" s="156">
        <v>373489</v>
      </c>
      <c r="W83" s="156">
        <v>441283</v>
      </c>
      <c r="X83" s="157">
        <f>IFERROR(W83/V83-1,"-")</f>
        <v>0.18151538599530381</v>
      </c>
      <c r="Y83" s="174">
        <f t="shared" si="10"/>
        <v>3.6730239749237548</v>
      </c>
      <c r="Z83" s="157">
        <f t="shared" si="36"/>
        <v>7.8198552082635556E-2</v>
      </c>
    </row>
    <row r="84" spans="1:26" x14ac:dyDescent="0.25">
      <c r="A84" s="158" t="s">
        <v>110</v>
      </c>
      <c r="B84" s="159" t="s">
        <v>110</v>
      </c>
      <c r="C84" s="160">
        <v>2578</v>
      </c>
      <c r="D84" s="160">
        <v>3228</v>
      </c>
      <c r="E84" s="160">
        <v>5828</v>
      </c>
      <c r="F84" s="160">
        <v>7060</v>
      </c>
      <c r="G84" s="160">
        <v>9146</v>
      </c>
      <c r="H84" s="161">
        <f t="shared" ref="H84:H91" si="37">IFERROR(G84/F84-1,"-")</f>
        <v>0.29546742209631738</v>
      </c>
      <c r="I84" s="175">
        <f t="shared" si="35"/>
        <v>2.5477114041892941</v>
      </c>
      <c r="J84" s="161">
        <f t="shared" ref="J84:J91" si="38">G84/G$9</f>
        <v>1.2053083116985807E-2</v>
      </c>
      <c r="K84" s="160">
        <v>15879</v>
      </c>
      <c r="L84" s="160">
        <v>11210</v>
      </c>
      <c r="M84" s="160">
        <v>56300</v>
      </c>
      <c r="N84" s="160">
        <v>75139</v>
      </c>
      <c r="O84" s="160">
        <v>87125</v>
      </c>
      <c r="P84" s="161">
        <f t="shared" ref="P84:P91" si="39">IFERROR(O84/N84-1,"-")</f>
        <v>0.15951769387402015</v>
      </c>
      <c r="Q84" s="175">
        <f t="shared" si="9"/>
        <v>4.4868064739593176</v>
      </c>
      <c r="R84" s="161">
        <f t="shared" ref="R84:R91" si="40">O84/O$9</f>
        <v>2.4745585557950825E-2</v>
      </c>
      <c r="S84" s="160">
        <v>18457</v>
      </c>
      <c r="T84" s="160">
        <v>14438</v>
      </c>
      <c r="U84" s="160">
        <v>62128</v>
      </c>
      <c r="V84" s="160">
        <v>82199</v>
      </c>
      <c r="W84" s="160">
        <v>96271</v>
      </c>
      <c r="X84" s="161">
        <f t="shared" ref="X84:X91" si="41">IFERROR(W84/V84-1,"-")</f>
        <v>0.17119429676760056</v>
      </c>
      <c r="Y84" s="175">
        <f t="shared" si="10"/>
        <v>4.2159614238500298</v>
      </c>
      <c r="Z84" s="161">
        <f t="shared" si="36"/>
        <v>1.6449586734846526E-2</v>
      </c>
    </row>
    <row r="85" spans="1:26" x14ac:dyDescent="0.25">
      <c r="A85" s="158" t="s">
        <v>113</v>
      </c>
      <c r="B85" s="159" t="s">
        <v>113</v>
      </c>
      <c r="C85" s="160">
        <v>5409</v>
      </c>
      <c r="D85" s="160">
        <v>8563</v>
      </c>
      <c r="E85" s="160">
        <v>13220</v>
      </c>
      <c r="F85" s="160">
        <v>14980</v>
      </c>
      <c r="G85" s="160">
        <v>15604</v>
      </c>
      <c r="H85" s="161">
        <f t="shared" si="37"/>
        <v>4.1655540720961337E-2</v>
      </c>
      <c r="I85" s="175">
        <f t="shared" si="35"/>
        <v>1.8848215936402291</v>
      </c>
      <c r="J85" s="161">
        <f t="shared" si="38"/>
        <v>2.0563777493707251E-2</v>
      </c>
      <c r="K85" s="160">
        <v>27251</v>
      </c>
      <c r="L85" s="160">
        <v>36097</v>
      </c>
      <c r="M85" s="160">
        <v>84214</v>
      </c>
      <c r="N85" s="160">
        <v>96686</v>
      </c>
      <c r="O85" s="160">
        <v>107377</v>
      </c>
      <c r="P85" s="161">
        <f t="shared" si="39"/>
        <v>0.11057443683677048</v>
      </c>
      <c r="Q85" s="175">
        <f t="shared" si="9"/>
        <v>2.9402957689626068</v>
      </c>
      <c r="R85" s="161">
        <f t="shared" si="40"/>
        <v>3.0497638340959376E-2</v>
      </c>
      <c r="S85" s="160">
        <v>32660</v>
      </c>
      <c r="T85" s="160">
        <v>44660</v>
      </c>
      <c r="U85" s="160">
        <v>97434</v>
      </c>
      <c r="V85" s="160">
        <v>111666</v>
      </c>
      <c r="W85" s="160">
        <v>122981</v>
      </c>
      <c r="X85" s="161">
        <f t="shared" si="41"/>
        <v>0.101328963157989</v>
      </c>
      <c r="Y85" s="175">
        <f t="shared" si="10"/>
        <v>2.7654929577464791</v>
      </c>
      <c r="Z85" s="161">
        <f t="shared" si="36"/>
        <v>2.5797531449958735E-2</v>
      </c>
    </row>
    <row r="86" spans="1:26" x14ac:dyDescent="0.25">
      <c r="A86" s="158" t="s">
        <v>116</v>
      </c>
      <c r="B86" s="159" t="s">
        <v>116</v>
      </c>
      <c r="C86" s="160">
        <v>1714</v>
      </c>
      <c r="D86" s="160">
        <v>5280</v>
      </c>
      <c r="E86" s="160">
        <v>5870</v>
      </c>
      <c r="F86" s="160">
        <v>5315</v>
      </c>
      <c r="G86" s="160">
        <v>6020</v>
      </c>
      <c r="H86" s="161">
        <f t="shared" si="37"/>
        <v>0.13264346190028231</v>
      </c>
      <c r="I86" s="175">
        <f t="shared" si="35"/>
        <v>2.5122520420070011</v>
      </c>
      <c r="J86" s="161">
        <f t="shared" si="38"/>
        <v>7.933474782883726E-3</v>
      </c>
      <c r="K86" s="160">
        <v>5151</v>
      </c>
      <c r="L86" s="160">
        <v>11108</v>
      </c>
      <c r="M86" s="160">
        <v>20133</v>
      </c>
      <c r="N86" s="160">
        <v>32539</v>
      </c>
      <c r="O86" s="160">
        <v>46070</v>
      </c>
      <c r="P86" s="161">
        <f t="shared" si="39"/>
        <v>0.41583945419342938</v>
      </c>
      <c r="Q86" s="175">
        <f t="shared" si="9"/>
        <v>7.9438943894389435</v>
      </c>
      <c r="R86" s="161">
        <f t="shared" si="40"/>
        <v>1.3084982802350582E-2</v>
      </c>
      <c r="S86" s="160">
        <v>6865</v>
      </c>
      <c r="T86" s="160">
        <v>16388</v>
      </c>
      <c r="U86" s="160">
        <v>26003</v>
      </c>
      <c r="V86" s="160">
        <v>37854</v>
      </c>
      <c r="W86" s="160">
        <v>52090</v>
      </c>
      <c r="X86" s="161">
        <f t="shared" si="41"/>
        <v>0.37607650446452157</v>
      </c>
      <c r="Y86" s="175">
        <f t="shared" si="10"/>
        <v>6.5877640203932994</v>
      </c>
      <c r="Z86" s="161">
        <f t="shared" si="36"/>
        <v>6.8847959674577354E-3</v>
      </c>
    </row>
    <row r="87" spans="1:26" x14ac:dyDescent="0.25">
      <c r="A87" s="158" t="s">
        <v>123</v>
      </c>
      <c r="B87" s="159" t="s">
        <v>123</v>
      </c>
      <c r="C87" s="160">
        <v>286</v>
      </c>
      <c r="D87" s="160">
        <v>921</v>
      </c>
      <c r="E87" s="160">
        <v>1133</v>
      </c>
      <c r="F87" s="160">
        <v>1153</v>
      </c>
      <c r="G87" s="160">
        <v>1481</v>
      </c>
      <c r="H87" s="161">
        <f t="shared" si="37"/>
        <v>0.28447528187337379</v>
      </c>
      <c r="I87" s="175">
        <f t="shared" si="35"/>
        <v>4.1783216783216783</v>
      </c>
      <c r="J87" s="161">
        <f t="shared" si="38"/>
        <v>1.951740224825714E-3</v>
      </c>
      <c r="K87" s="160">
        <v>1248</v>
      </c>
      <c r="L87" s="160">
        <v>2935</v>
      </c>
      <c r="M87" s="160">
        <v>4473</v>
      </c>
      <c r="N87" s="160">
        <v>6684</v>
      </c>
      <c r="O87" s="160">
        <v>11325</v>
      </c>
      <c r="P87" s="161">
        <f t="shared" si="39"/>
        <v>0.69434470377019752</v>
      </c>
      <c r="Q87" s="175">
        <f t="shared" ref="Q87:Q150" si="42">IFERROR(O87/K87-1,"-")</f>
        <v>8.0745192307692299</v>
      </c>
      <c r="R87" s="161">
        <f t="shared" si="40"/>
        <v>3.2165710926116853E-3</v>
      </c>
      <c r="S87" s="160">
        <v>1534</v>
      </c>
      <c r="T87" s="160">
        <v>3856</v>
      </c>
      <c r="U87" s="160">
        <v>5606</v>
      </c>
      <c r="V87" s="160">
        <v>7837</v>
      </c>
      <c r="W87" s="160">
        <v>12806</v>
      </c>
      <c r="X87" s="161">
        <f t="shared" si="41"/>
        <v>0.63404363914763295</v>
      </c>
      <c r="Y87" s="175">
        <f t="shared" ref="Y87:Y150" si="43">IFERROR(W87/S87-1,"-")</f>
        <v>7.3481095176010438</v>
      </c>
      <c r="Z87" s="161">
        <f t="shared" si="36"/>
        <v>1.4842966655219808E-3</v>
      </c>
    </row>
    <row r="88" spans="1:26" x14ac:dyDescent="0.25">
      <c r="A88" s="158" t="s">
        <v>119</v>
      </c>
      <c r="B88" s="159" t="s">
        <v>119</v>
      </c>
      <c r="C88" s="160">
        <v>240</v>
      </c>
      <c r="D88" s="160">
        <v>804</v>
      </c>
      <c r="E88" s="160">
        <v>921</v>
      </c>
      <c r="F88" s="160">
        <v>774</v>
      </c>
      <c r="G88" s="160">
        <v>909</v>
      </c>
      <c r="H88" s="161">
        <f t="shared" si="37"/>
        <v>0.17441860465116288</v>
      </c>
      <c r="I88" s="175">
        <f t="shared" si="35"/>
        <v>2.7875000000000001</v>
      </c>
      <c r="J88" s="161">
        <f t="shared" si="38"/>
        <v>1.1979283351563632E-3</v>
      </c>
      <c r="K88" s="160">
        <v>1576</v>
      </c>
      <c r="L88" s="160">
        <v>3904</v>
      </c>
      <c r="M88" s="160">
        <v>4162</v>
      </c>
      <c r="N88" s="160">
        <v>5494</v>
      </c>
      <c r="O88" s="160">
        <v>7100</v>
      </c>
      <c r="P88" s="161">
        <f t="shared" si="39"/>
        <v>0.29231889333818706</v>
      </c>
      <c r="Q88" s="175">
        <f t="shared" si="42"/>
        <v>3.5050761421319798</v>
      </c>
      <c r="R88" s="161">
        <f t="shared" si="40"/>
        <v>2.0165699565159352E-3</v>
      </c>
      <c r="S88" s="160">
        <v>1816</v>
      </c>
      <c r="T88" s="160">
        <v>4708</v>
      </c>
      <c r="U88" s="160">
        <v>5083</v>
      </c>
      <c r="V88" s="160">
        <v>6268</v>
      </c>
      <c r="W88" s="160">
        <v>8009</v>
      </c>
      <c r="X88" s="161">
        <f t="shared" si="41"/>
        <v>0.27776005105296742</v>
      </c>
      <c r="Y88" s="175">
        <f t="shared" si="43"/>
        <v>3.410242290748899</v>
      </c>
      <c r="Z88" s="161">
        <f t="shared" si="36"/>
        <v>1.345822324446705E-3</v>
      </c>
    </row>
    <row r="89" spans="1:26" x14ac:dyDescent="0.25">
      <c r="A89" s="158" t="s">
        <v>128</v>
      </c>
      <c r="B89" s="159" t="s">
        <v>128</v>
      </c>
      <c r="C89" s="160">
        <v>286</v>
      </c>
      <c r="D89" s="160">
        <v>296</v>
      </c>
      <c r="E89" s="160">
        <v>433</v>
      </c>
      <c r="F89" s="160">
        <v>454</v>
      </c>
      <c r="G89" s="160">
        <v>500</v>
      </c>
      <c r="H89" s="161">
        <f t="shared" si="37"/>
        <v>0.1013215859030836</v>
      </c>
      <c r="I89" s="175">
        <f t="shared" si="35"/>
        <v>0.74825174825174834</v>
      </c>
      <c r="J89" s="161">
        <f t="shared" si="38"/>
        <v>6.589264769836982E-4</v>
      </c>
      <c r="K89" s="160">
        <v>1422</v>
      </c>
      <c r="L89" s="160">
        <v>781</v>
      </c>
      <c r="M89" s="160">
        <v>2952</v>
      </c>
      <c r="N89" s="160">
        <v>3351</v>
      </c>
      <c r="O89" s="160">
        <v>3056</v>
      </c>
      <c r="P89" s="161">
        <f t="shared" si="39"/>
        <v>-8.8033422858848076E-2</v>
      </c>
      <c r="Q89" s="175">
        <f t="shared" si="42"/>
        <v>1.1490857946554147</v>
      </c>
      <c r="R89" s="161">
        <f t="shared" si="40"/>
        <v>8.6797715311446449E-4</v>
      </c>
      <c r="S89" s="160">
        <v>1708</v>
      </c>
      <c r="T89" s="160">
        <v>1077</v>
      </c>
      <c r="U89" s="160">
        <v>3385</v>
      </c>
      <c r="V89" s="160">
        <v>3805</v>
      </c>
      <c r="W89" s="160">
        <v>3556</v>
      </c>
      <c r="X89" s="161">
        <f t="shared" si="41"/>
        <v>-6.5440210249671504E-2</v>
      </c>
      <c r="Y89" s="175">
        <f t="shared" si="43"/>
        <v>1.081967213114754</v>
      </c>
      <c r="Z89" s="161">
        <f t="shared" si="36"/>
        <v>8.9624406221760697E-4</v>
      </c>
    </row>
    <row r="90" spans="1:26" x14ac:dyDescent="0.25">
      <c r="A90" s="158" t="s">
        <v>131</v>
      </c>
      <c r="B90" s="159" t="s">
        <v>131</v>
      </c>
      <c r="C90" s="160">
        <v>408</v>
      </c>
      <c r="D90" s="160">
        <v>385</v>
      </c>
      <c r="E90" s="160">
        <v>658</v>
      </c>
      <c r="F90" s="160">
        <v>679</v>
      </c>
      <c r="G90" s="160">
        <v>636</v>
      </c>
      <c r="H90" s="161">
        <f t="shared" si="37"/>
        <v>-6.3328424153166418E-2</v>
      </c>
      <c r="I90" s="175">
        <f t="shared" si="35"/>
        <v>0.55882352941176472</v>
      </c>
      <c r="J90" s="161">
        <f t="shared" si="38"/>
        <v>8.3815447872326407E-4</v>
      </c>
      <c r="K90" s="160">
        <v>1922</v>
      </c>
      <c r="L90" s="160">
        <v>947</v>
      </c>
      <c r="M90" s="160">
        <v>3040</v>
      </c>
      <c r="N90" s="160">
        <v>3728</v>
      </c>
      <c r="O90" s="160">
        <v>4053</v>
      </c>
      <c r="P90" s="161">
        <f t="shared" si="39"/>
        <v>8.7178111587982832E-2</v>
      </c>
      <c r="Q90" s="175">
        <f t="shared" si="42"/>
        <v>1.1087408949011448</v>
      </c>
      <c r="R90" s="161">
        <f t="shared" si="40"/>
        <v>1.1511490188393077E-3</v>
      </c>
      <c r="S90" s="160">
        <v>2330</v>
      </c>
      <c r="T90" s="160">
        <v>1332</v>
      </c>
      <c r="U90" s="160">
        <v>3698</v>
      </c>
      <c r="V90" s="160">
        <v>4407</v>
      </c>
      <c r="W90" s="160">
        <v>4689</v>
      </c>
      <c r="X90" s="161">
        <f t="shared" si="41"/>
        <v>6.3989108236895742E-2</v>
      </c>
      <c r="Y90" s="175">
        <f t="shared" si="43"/>
        <v>1.0124463519313305</v>
      </c>
      <c r="Z90" s="161">
        <f t="shared" si="36"/>
        <v>9.7911685142709325E-4</v>
      </c>
    </row>
    <row r="91" spans="1:26" x14ac:dyDescent="0.25">
      <c r="A91" s="163" t="s">
        <v>145</v>
      </c>
      <c r="B91" s="164" t="s">
        <v>145</v>
      </c>
      <c r="C91" s="165">
        <f>C83-SUM(C84:C90)</f>
        <v>7838</v>
      </c>
      <c r="D91" s="165">
        <f>D83-SUM(D84:D90)</f>
        <v>13273</v>
      </c>
      <c r="E91" s="165">
        <f>E83-SUM(E84:E90)</f>
        <v>21554</v>
      </c>
      <c r="F91" s="165">
        <f>F83-SUM(F84:F90)</f>
        <v>23699</v>
      </c>
      <c r="G91" s="165">
        <f>G83-SUM(G84:G90)</f>
        <v>28432</v>
      </c>
      <c r="H91" s="166">
        <f t="shared" si="37"/>
        <v>0.19971306806194344</v>
      </c>
      <c r="I91" s="176">
        <f t="shared" si="35"/>
        <v>2.6274559836693032</v>
      </c>
      <c r="J91" s="166">
        <f t="shared" si="38"/>
        <v>3.7469195187201015E-2</v>
      </c>
      <c r="K91" s="165">
        <f>K83-SUM(K84:K90)</f>
        <v>21224</v>
      </c>
      <c r="L91" s="165">
        <f>L83-SUM(L84:L90)</f>
        <v>37928</v>
      </c>
      <c r="M91" s="165">
        <f>M83-SUM(M84:M90)</f>
        <v>70455</v>
      </c>
      <c r="N91" s="165">
        <f>N83-SUM(N84:N90)</f>
        <v>95754</v>
      </c>
      <c r="O91" s="165">
        <f>O83-SUM(O84:O90)</f>
        <v>112449</v>
      </c>
      <c r="P91" s="166">
        <f t="shared" si="39"/>
        <v>0.17435302963844856</v>
      </c>
      <c r="Q91" s="176">
        <f t="shared" si="42"/>
        <v>4.2982001507727103</v>
      </c>
      <c r="R91" s="166">
        <f t="shared" si="40"/>
        <v>3.1938207752149353E-2</v>
      </c>
      <c r="S91" s="165">
        <f>S83-SUM(S84:S90)</f>
        <v>29062</v>
      </c>
      <c r="T91" s="165">
        <f>T83-SUM(T84:T90)</f>
        <v>51201</v>
      </c>
      <c r="U91" s="165">
        <f>U83-SUM(U84:U90)</f>
        <v>92009</v>
      </c>
      <c r="V91" s="165">
        <f>V83-SUM(V84:V90)</f>
        <v>119453</v>
      </c>
      <c r="W91" s="165">
        <f>W83-SUM(W84:W90)</f>
        <v>140881</v>
      </c>
      <c r="X91" s="166">
        <f t="shared" si="41"/>
        <v>0.17938436037604744</v>
      </c>
      <c r="Y91" s="176">
        <f t="shared" si="43"/>
        <v>3.8476016791686742</v>
      </c>
      <c r="Z91" s="166">
        <f t="shared" si="36"/>
        <v>2.4361158026759172E-2</v>
      </c>
    </row>
    <row r="92" spans="1:26" x14ac:dyDescent="0.25">
      <c r="A92" s="1"/>
      <c r="B92" s="151" t="s">
        <v>49</v>
      </c>
      <c r="C92" s="149"/>
      <c r="D92" s="149"/>
      <c r="E92" s="149"/>
      <c r="F92" s="149"/>
      <c r="G92" s="149"/>
      <c r="H92" s="149"/>
      <c r="I92" s="149"/>
      <c r="J92" s="149"/>
      <c r="K92" s="149"/>
      <c r="L92" s="149"/>
      <c r="M92" s="149"/>
      <c r="N92" s="149"/>
      <c r="O92" s="149"/>
      <c r="P92" s="149"/>
      <c r="Q92" s="149"/>
      <c r="R92" s="149"/>
      <c r="S92" s="149"/>
      <c r="T92" s="149"/>
      <c r="U92" s="149"/>
      <c r="V92" s="149"/>
      <c r="W92" s="149"/>
      <c r="X92" s="149"/>
      <c r="Y92" s="149"/>
      <c r="Z92" s="149"/>
    </row>
    <row r="93" spans="1:26" x14ac:dyDescent="0.25">
      <c r="A93" s="1" t="s">
        <v>0</v>
      </c>
      <c r="B93" s="152" t="s">
        <v>68</v>
      </c>
      <c r="C93" s="172">
        <f>C94+C97</f>
        <v>0</v>
      </c>
      <c r="D93" s="172">
        <f>D94+D97</f>
        <v>0</v>
      </c>
      <c r="E93" s="172">
        <f>E94+E97</f>
        <v>5131</v>
      </c>
      <c r="F93" s="172">
        <f>F94+F97</f>
        <v>7607</v>
      </c>
      <c r="G93" s="172">
        <f>G94+G97</f>
        <v>7923</v>
      </c>
      <c r="H93" s="173">
        <f>IFERROR(G93/F93-1,"-")</f>
        <v>4.1540686210069566E-2</v>
      </c>
      <c r="I93" s="173" t="str">
        <f t="shared" si="35"/>
        <v>-</v>
      </c>
      <c r="J93" s="173">
        <f>G93/G$9</f>
        <v>1.0441348954283681E-2</v>
      </c>
      <c r="K93" s="172">
        <f>K94+K97</f>
        <v>0</v>
      </c>
      <c r="L93" s="172">
        <f>L94+L97</f>
        <v>0</v>
      </c>
      <c r="M93" s="172">
        <f>M94+M97</f>
        <v>46354</v>
      </c>
      <c r="N93" s="172">
        <f>N94+N97</f>
        <v>50550</v>
      </c>
      <c r="O93" s="172">
        <f>O94+O97</f>
        <v>49465</v>
      </c>
      <c r="P93" s="173">
        <f>IFERROR(O93/N93-1,"-")</f>
        <v>-2.1463897131552945E-2</v>
      </c>
      <c r="Q93" s="173" t="str">
        <f t="shared" si="42"/>
        <v>-</v>
      </c>
      <c r="R93" s="173">
        <f>O93/O$9</f>
        <v>1.4049244070290245E-2</v>
      </c>
      <c r="S93" s="172">
        <f>S94+S97</f>
        <v>24221</v>
      </c>
      <c r="T93" s="172">
        <f>T94+T97</f>
        <v>33444</v>
      </c>
      <c r="U93" s="172">
        <f>U94+U97</f>
        <v>51485</v>
      </c>
      <c r="V93" s="172">
        <f>V94+V97</f>
        <v>58157</v>
      </c>
      <c r="W93" s="172">
        <f>W94+W97</f>
        <v>57388</v>
      </c>
      <c r="X93" s="173">
        <f>IFERROR(W93/V93-1,"-")</f>
        <v>-1.3222827862510056E-2</v>
      </c>
      <c r="Y93" s="173">
        <f t="shared" si="43"/>
        <v>1.3693489121010693</v>
      </c>
      <c r="Z93" s="173">
        <f t="shared" ref="Z93:Z105" si="44">U93/U$9</f>
        <v>1.3631647132429394E-2</v>
      </c>
    </row>
    <row r="94" spans="1:26" x14ac:dyDescent="0.25">
      <c r="A94" s="1" t="s">
        <v>96</v>
      </c>
      <c r="B94" s="155" t="s">
        <v>97</v>
      </c>
      <c r="C94" s="156">
        <v>0</v>
      </c>
      <c r="D94" s="156">
        <v>0</v>
      </c>
      <c r="E94" s="156">
        <v>3937</v>
      </c>
      <c r="F94" s="156">
        <v>5346</v>
      </c>
      <c r="G94" s="156">
        <v>5742</v>
      </c>
      <c r="H94" s="157">
        <f>IFERROR(G94/F94-1,"-")</f>
        <v>7.4074074074074181E-2</v>
      </c>
      <c r="I94" s="174" t="str">
        <f t="shared" si="35"/>
        <v>-</v>
      </c>
      <c r="J94" s="157">
        <f>G94/G$9</f>
        <v>7.5671116616807896E-3</v>
      </c>
      <c r="K94" s="156">
        <v>0</v>
      </c>
      <c r="L94" s="156">
        <v>0</v>
      </c>
      <c r="M94" s="156">
        <v>29872</v>
      </c>
      <c r="N94" s="156">
        <v>32376</v>
      </c>
      <c r="O94" s="156">
        <v>30079</v>
      </c>
      <c r="P94" s="157">
        <f>IFERROR(O94/N94-1,"-")</f>
        <v>-7.0947615517667373E-2</v>
      </c>
      <c r="Q94" s="174" t="str">
        <f t="shared" si="42"/>
        <v>-</v>
      </c>
      <c r="R94" s="157">
        <f>O94/O$9</f>
        <v>8.5431560171891283E-3</v>
      </c>
      <c r="S94" s="156">
        <v>16023</v>
      </c>
      <c r="T94" s="156">
        <v>21732</v>
      </c>
      <c r="U94" s="156">
        <v>33809</v>
      </c>
      <c r="V94" s="156">
        <v>37722</v>
      </c>
      <c r="W94" s="156">
        <v>35821</v>
      </c>
      <c r="X94" s="157">
        <f>IFERROR(W94/V94-1,"-")</f>
        <v>-5.0394994963151474E-2</v>
      </c>
      <c r="Y94" s="174">
        <f t="shared" si="43"/>
        <v>1.2355988266866378</v>
      </c>
      <c r="Z94" s="157">
        <f t="shared" si="44"/>
        <v>8.9515850810975104E-3</v>
      </c>
    </row>
    <row r="95" spans="1:26" x14ac:dyDescent="0.25">
      <c r="A95" s="158" t="s">
        <v>103</v>
      </c>
      <c r="B95" s="159" t="s">
        <v>103</v>
      </c>
      <c r="C95" s="160">
        <v>0</v>
      </c>
      <c r="D95" s="160">
        <v>0</v>
      </c>
      <c r="E95" s="160">
        <v>2928</v>
      </c>
      <c r="F95" s="160">
        <v>3814</v>
      </c>
      <c r="G95" s="160">
        <v>4202</v>
      </c>
      <c r="H95" s="161">
        <f>IFERROR(G95/F95-1,"-")</f>
        <v>0.10173046670162567</v>
      </c>
      <c r="I95" s="175" t="str">
        <f t="shared" si="35"/>
        <v>-</v>
      </c>
      <c r="J95" s="161">
        <f>G95/G$9</f>
        <v>5.5376181125709996E-3</v>
      </c>
      <c r="K95" s="160">
        <v>0</v>
      </c>
      <c r="L95" s="160">
        <v>0</v>
      </c>
      <c r="M95" s="160">
        <v>13361</v>
      </c>
      <c r="N95" s="160">
        <v>8210</v>
      </c>
      <c r="O95" s="160">
        <v>7675</v>
      </c>
      <c r="P95" s="161">
        <f>IFERROR(O95/N95-1,"-")</f>
        <v>-6.5164433617539541E-2</v>
      </c>
      <c r="Q95" s="175" t="str">
        <f t="shared" si="42"/>
        <v>-</v>
      </c>
      <c r="R95" s="161">
        <f>O95/O$9</f>
        <v>2.1798837205999721E-3</v>
      </c>
      <c r="S95" s="160">
        <v>8684</v>
      </c>
      <c r="T95" s="160">
        <v>11001</v>
      </c>
      <c r="U95" s="160">
        <v>16289</v>
      </c>
      <c r="V95" s="160">
        <v>12024</v>
      </c>
      <c r="W95" s="160">
        <v>11877</v>
      </c>
      <c r="X95" s="161">
        <f>IFERROR(W95/V95-1,"-")</f>
        <v>-1.2225548902195627E-2</v>
      </c>
      <c r="Y95" s="175">
        <f t="shared" si="43"/>
        <v>0.36768770152003682</v>
      </c>
      <c r="Z95" s="161">
        <f t="shared" si="44"/>
        <v>4.3128270397230729E-3</v>
      </c>
    </row>
    <row r="96" spans="1:26" x14ac:dyDescent="0.25">
      <c r="A96" s="158" t="s">
        <v>100</v>
      </c>
      <c r="B96" s="159" t="s">
        <v>100</v>
      </c>
      <c r="C96" s="160">
        <v>0</v>
      </c>
      <c r="D96" s="160">
        <v>0</v>
      </c>
      <c r="E96" s="160">
        <v>1009</v>
      </c>
      <c r="F96" s="160">
        <v>1532</v>
      </c>
      <c r="G96" s="160">
        <v>1540</v>
      </c>
      <c r="H96" s="161">
        <f>IFERROR(G96/F96-1,"-")</f>
        <v>5.2219321148825326E-3</v>
      </c>
      <c r="I96" s="175" t="str">
        <f t="shared" si="35"/>
        <v>-</v>
      </c>
      <c r="J96" s="161">
        <f>G96/G$9</f>
        <v>2.0294935491097905E-3</v>
      </c>
      <c r="K96" s="160">
        <v>0</v>
      </c>
      <c r="L96" s="160">
        <v>0</v>
      </c>
      <c r="M96" s="160">
        <v>16511</v>
      </c>
      <c r="N96" s="160">
        <v>24166</v>
      </c>
      <c r="O96" s="160">
        <v>22404</v>
      </c>
      <c r="P96" s="161">
        <f>IFERROR(O96/N96-1,"-")</f>
        <v>-7.2912356202929685E-2</v>
      </c>
      <c r="Q96" s="175" t="str">
        <f t="shared" si="42"/>
        <v>-</v>
      </c>
      <c r="R96" s="161">
        <f>O96/O$9</f>
        <v>6.3632722965891566E-3</v>
      </c>
      <c r="S96" s="160">
        <v>7339</v>
      </c>
      <c r="T96" s="160">
        <v>10731</v>
      </c>
      <c r="U96" s="160">
        <v>17520</v>
      </c>
      <c r="V96" s="160">
        <v>25698</v>
      </c>
      <c r="W96" s="160">
        <v>23944</v>
      </c>
      <c r="X96" s="161">
        <f>IFERROR(W96/V96-1,"-")</f>
        <v>-6.8254338859055186E-2</v>
      </c>
      <c r="Y96" s="175">
        <f t="shared" si="43"/>
        <v>2.2625698324022347</v>
      </c>
      <c r="Z96" s="161">
        <f t="shared" si="44"/>
        <v>4.6387580413744384E-3</v>
      </c>
    </row>
    <row r="97" spans="1:26" x14ac:dyDescent="0.25">
      <c r="A97" s="1" t="s">
        <v>146</v>
      </c>
      <c r="B97" s="155" t="s">
        <v>107</v>
      </c>
      <c r="C97" s="156">
        <v>0</v>
      </c>
      <c r="D97" s="156">
        <v>0</v>
      </c>
      <c r="E97" s="156">
        <v>1194</v>
      </c>
      <c r="F97" s="156">
        <v>2261</v>
      </c>
      <c r="G97" s="156">
        <v>2181</v>
      </c>
      <c r="H97" s="157">
        <f>IFERROR(G97/F97-1,"-")</f>
        <v>-3.5382574082264528E-2</v>
      </c>
      <c r="I97" s="174" t="str">
        <f t="shared" si="35"/>
        <v>-</v>
      </c>
      <c r="J97" s="157">
        <f>G97/G$9</f>
        <v>2.8742372926028915E-3</v>
      </c>
      <c r="K97" s="156">
        <v>0</v>
      </c>
      <c r="L97" s="156">
        <v>0</v>
      </c>
      <c r="M97" s="156">
        <v>16482</v>
      </c>
      <c r="N97" s="156">
        <v>18174</v>
      </c>
      <c r="O97" s="156">
        <v>19386</v>
      </c>
      <c r="P97" s="157">
        <f>IFERROR(O97/N97-1,"-")</f>
        <v>6.6688676130736146E-2</v>
      </c>
      <c r="Q97" s="174" t="str">
        <f t="shared" si="42"/>
        <v>-</v>
      </c>
      <c r="R97" s="157">
        <f>O97/O$9</f>
        <v>5.5060880531011156E-3</v>
      </c>
      <c r="S97" s="156">
        <v>8198</v>
      </c>
      <c r="T97" s="156">
        <v>11712</v>
      </c>
      <c r="U97" s="156">
        <v>17676</v>
      </c>
      <c r="V97" s="156">
        <v>20435</v>
      </c>
      <c r="W97" s="156">
        <v>21567</v>
      </c>
      <c r="X97" s="157">
        <f>IFERROR(W97/V97-1,"-")</f>
        <v>5.539515537068751E-2</v>
      </c>
      <c r="Y97" s="174">
        <f t="shared" si="43"/>
        <v>1.6307636008782631</v>
      </c>
      <c r="Z97" s="157">
        <f t="shared" si="44"/>
        <v>4.6800620513318819E-3</v>
      </c>
    </row>
    <row r="98" spans="1:26" x14ac:dyDescent="0.25">
      <c r="A98" s="158" t="s">
        <v>110</v>
      </c>
      <c r="B98" s="159" t="s">
        <v>110</v>
      </c>
      <c r="C98" s="160">
        <v>0</v>
      </c>
      <c r="D98" s="160">
        <v>0</v>
      </c>
      <c r="E98" s="160">
        <v>50</v>
      </c>
      <c r="F98" s="160">
        <v>173</v>
      </c>
      <c r="G98" s="160">
        <v>203</v>
      </c>
      <c r="H98" s="161">
        <f t="shared" ref="H98:H105" si="45">IFERROR(G98/F98-1,"-")</f>
        <v>0.17341040462427748</v>
      </c>
      <c r="I98" s="175" t="str">
        <f t="shared" si="35"/>
        <v>-</v>
      </c>
      <c r="J98" s="161">
        <f t="shared" ref="J98:J105" si="46">G98/G$9</f>
        <v>2.6752414965538145E-4</v>
      </c>
      <c r="K98" s="160">
        <v>0</v>
      </c>
      <c r="L98" s="160">
        <v>0</v>
      </c>
      <c r="M98" s="160">
        <v>2353</v>
      </c>
      <c r="N98" s="160">
        <v>2622</v>
      </c>
      <c r="O98" s="160">
        <v>2827</v>
      </c>
      <c r="P98" s="161">
        <f t="shared" ref="P98:P105" si="47">IFERROR(O98/N98-1,"-")</f>
        <v>7.8184591914568946E-2</v>
      </c>
      <c r="Q98" s="175" t="str">
        <f t="shared" si="42"/>
        <v>-</v>
      </c>
      <c r="R98" s="161">
        <f t="shared" ref="R98:R105" si="48">O98/O$9</f>
        <v>8.029356714183871E-4</v>
      </c>
      <c r="S98" s="160">
        <v>1288</v>
      </c>
      <c r="T98" s="160">
        <v>921</v>
      </c>
      <c r="U98" s="160">
        <v>2403</v>
      </c>
      <c r="V98" s="160">
        <v>2795</v>
      </c>
      <c r="W98" s="160">
        <v>3030</v>
      </c>
      <c r="X98" s="161">
        <f t="shared" ref="X98:X105" si="49">IFERROR(W98/V98-1,"-")</f>
        <v>8.4078711985688726E-2</v>
      </c>
      <c r="Y98" s="175">
        <f t="shared" si="43"/>
        <v>1.3524844720496896</v>
      </c>
      <c r="Z98" s="161">
        <f t="shared" si="44"/>
        <v>6.3624061492139131E-4</v>
      </c>
    </row>
    <row r="99" spans="1:26" x14ac:dyDescent="0.25">
      <c r="A99" s="158" t="s">
        <v>113</v>
      </c>
      <c r="B99" s="159" t="s">
        <v>113</v>
      </c>
      <c r="C99" s="160">
        <v>0</v>
      </c>
      <c r="D99" s="160">
        <v>0</v>
      </c>
      <c r="E99" s="160">
        <v>194</v>
      </c>
      <c r="F99" s="160">
        <v>319</v>
      </c>
      <c r="G99" s="160">
        <v>341</v>
      </c>
      <c r="H99" s="161">
        <f t="shared" si="45"/>
        <v>6.8965517241379226E-2</v>
      </c>
      <c r="I99" s="175" t="str">
        <f t="shared" si="35"/>
        <v>-</v>
      </c>
      <c r="J99" s="161">
        <f t="shared" si="46"/>
        <v>4.4938785730288215E-4</v>
      </c>
      <c r="K99" s="160">
        <v>0</v>
      </c>
      <c r="L99" s="160">
        <v>0</v>
      </c>
      <c r="M99" s="160">
        <v>3288</v>
      </c>
      <c r="N99" s="160">
        <v>3495</v>
      </c>
      <c r="O99" s="160">
        <v>3893</v>
      </c>
      <c r="P99" s="161">
        <f t="shared" si="47"/>
        <v>0.11387696709585127</v>
      </c>
      <c r="Q99" s="175" t="str">
        <f t="shared" si="42"/>
        <v>-</v>
      </c>
      <c r="R99" s="161">
        <f t="shared" si="48"/>
        <v>1.1057051888333149E-3</v>
      </c>
      <c r="S99" s="160">
        <v>1481</v>
      </c>
      <c r="T99" s="160">
        <v>2395</v>
      </c>
      <c r="U99" s="160">
        <v>3482</v>
      </c>
      <c r="V99" s="160">
        <v>3814</v>
      </c>
      <c r="W99" s="160">
        <v>4234</v>
      </c>
      <c r="X99" s="161">
        <f t="shared" si="49"/>
        <v>0.11012060828526482</v>
      </c>
      <c r="Y99" s="175">
        <f t="shared" si="43"/>
        <v>1.8588791357191088</v>
      </c>
      <c r="Z99" s="161">
        <f t="shared" si="44"/>
        <v>9.219266837937098E-4</v>
      </c>
    </row>
    <row r="100" spans="1:26" x14ac:dyDescent="0.25">
      <c r="A100" s="158" t="s">
        <v>116</v>
      </c>
      <c r="B100" s="159" t="s">
        <v>116</v>
      </c>
      <c r="C100" s="160">
        <v>0</v>
      </c>
      <c r="D100" s="160">
        <v>0</v>
      </c>
      <c r="E100" s="160">
        <v>346</v>
      </c>
      <c r="F100" s="160">
        <v>771</v>
      </c>
      <c r="G100" s="160">
        <v>574</v>
      </c>
      <c r="H100" s="161">
        <f t="shared" si="45"/>
        <v>-0.25551232166018156</v>
      </c>
      <c r="I100" s="175" t="str">
        <f t="shared" si="35"/>
        <v>-</v>
      </c>
      <c r="J100" s="161">
        <f t="shared" si="46"/>
        <v>7.5644759557728545E-4</v>
      </c>
      <c r="K100" s="160">
        <v>0</v>
      </c>
      <c r="L100" s="160">
        <v>0</v>
      </c>
      <c r="M100" s="160">
        <v>3066</v>
      </c>
      <c r="N100" s="160">
        <v>3114</v>
      </c>
      <c r="O100" s="160">
        <v>3111</v>
      </c>
      <c r="P100" s="161">
        <f t="shared" si="47"/>
        <v>-9.633911368015502E-4</v>
      </c>
      <c r="Q100" s="175" t="str">
        <f t="shared" si="42"/>
        <v>-</v>
      </c>
      <c r="R100" s="161">
        <f t="shared" si="48"/>
        <v>8.835984696790246E-4</v>
      </c>
      <c r="S100" s="160">
        <v>1974</v>
      </c>
      <c r="T100" s="160">
        <v>3541</v>
      </c>
      <c r="U100" s="160">
        <v>3412</v>
      </c>
      <c r="V100" s="160">
        <v>3885</v>
      </c>
      <c r="W100" s="160">
        <v>3685</v>
      </c>
      <c r="X100" s="161">
        <f t="shared" si="49"/>
        <v>-5.1480051480051525E-2</v>
      </c>
      <c r="Y100" s="175">
        <f t="shared" si="43"/>
        <v>0.86676798378926034</v>
      </c>
      <c r="Z100" s="161">
        <f t="shared" si="44"/>
        <v>9.0339283317177998E-4</v>
      </c>
    </row>
    <row r="101" spans="1:26" x14ac:dyDescent="0.25">
      <c r="A101" s="158" t="s">
        <v>123</v>
      </c>
      <c r="B101" s="159" t="s">
        <v>123</v>
      </c>
      <c r="C101" s="160">
        <v>0</v>
      </c>
      <c r="D101" s="160">
        <v>0</v>
      </c>
      <c r="E101" s="160">
        <v>32</v>
      </c>
      <c r="F101" s="160">
        <v>58</v>
      </c>
      <c r="G101" s="160">
        <v>90</v>
      </c>
      <c r="H101" s="161">
        <f t="shared" si="45"/>
        <v>0.55172413793103448</v>
      </c>
      <c r="I101" s="175" t="str">
        <f t="shared" si="35"/>
        <v>-</v>
      </c>
      <c r="J101" s="161">
        <f t="shared" si="46"/>
        <v>1.1860676585706567E-4</v>
      </c>
      <c r="K101" s="160">
        <v>0</v>
      </c>
      <c r="L101" s="160">
        <v>0</v>
      </c>
      <c r="M101" s="160">
        <v>1140</v>
      </c>
      <c r="N101" s="160">
        <v>880</v>
      </c>
      <c r="O101" s="160">
        <v>843</v>
      </c>
      <c r="P101" s="161">
        <f t="shared" si="47"/>
        <v>-4.2045454545454497E-2</v>
      </c>
      <c r="Q101" s="175" t="str">
        <f t="shared" si="42"/>
        <v>-</v>
      </c>
      <c r="R101" s="161">
        <f t="shared" si="48"/>
        <v>2.3943217934407511E-4</v>
      </c>
      <c r="S101" s="160">
        <v>323</v>
      </c>
      <c r="T101" s="160">
        <v>432</v>
      </c>
      <c r="U101" s="160">
        <v>1172</v>
      </c>
      <c r="V101" s="160">
        <v>938</v>
      </c>
      <c r="W101" s="160">
        <v>933</v>
      </c>
      <c r="X101" s="161">
        <f t="shared" si="49"/>
        <v>-5.3304904051172386E-3</v>
      </c>
      <c r="Y101" s="175">
        <f t="shared" si="43"/>
        <v>1.8885448916408669</v>
      </c>
      <c r="Z101" s="161">
        <f t="shared" si="44"/>
        <v>3.1030961327002524E-4</v>
      </c>
    </row>
    <row r="102" spans="1:26" x14ac:dyDescent="0.25">
      <c r="A102" s="158" t="s">
        <v>119</v>
      </c>
      <c r="B102" s="159" t="s">
        <v>119</v>
      </c>
      <c r="C102" s="160">
        <v>0</v>
      </c>
      <c r="D102" s="160">
        <v>0</v>
      </c>
      <c r="E102" s="160">
        <v>15</v>
      </c>
      <c r="F102" s="160">
        <v>87</v>
      </c>
      <c r="G102" s="160">
        <v>64</v>
      </c>
      <c r="H102" s="161">
        <f t="shared" si="45"/>
        <v>-0.26436781609195403</v>
      </c>
      <c r="I102" s="175" t="str">
        <f t="shared" si="35"/>
        <v>-</v>
      </c>
      <c r="J102" s="161">
        <f t="shared" si="46"/>
        <v>8.4342589053913367E-5</v>
      </c>
      <c r="K102" s="160">
        <v>0</v>
      </c>
      <c r="L102" s="160">
        <v>0</v>
      </c>
      <c r="M102" s="160">
        <v>667</v>
      </c>
      <c r="N102" s="160">
        <v>563</v>
      </c>
      <c r="O102" s="160">
        <v>839</v>
      </c>
      <c r="P102" s="161">
        <f t="shared" si="47"/>
        <v>0.49023090586145646</v>
      </c>
      <c r="Q102" s="175" t="str">
        <f t="shared" si="42"/>
        <v>-</v>
      </c>
      <c r="R102" s="161">
        <f t="shared" si="48"/>
        <v>2.382960835939253E-4</v>
      </c>
      <c r="S102" s="160">
        <v>351</v>
      </c>
      <c r="T102" s="160">
        <v>507</v>
      </c>
      <c r="U102" s="160">
        <v>682</v>
      </c>
      <c r="V102" s="160">
        <v>650</v>
      </c>
      <c r="W102" s="160">
        <v>903</v>
      </c>
      <c r="X102" s="161">
        <f t="shared" si="49"/>
        <v>0.38923076923076927</v>
      </c>
      <c r="Y102" s="175">
        <f t="shared" si="43"/>
        <v>1.5726495726495728</v>
      </c>
      <c r="Z102" s="161">
        <f t="shared" si="44"/>
        <v>1.8057265891651639E-4</v>
      </c>
    </row>
    <row r="103" spans="1:26" x14ac:dyDescent="0.25">
      <c r="A103" s="158" t="s">
        <v>128</v>
      </c>
      <c r="B103" s="159" t="s">
        <v>128</v>
      </c>
      <c r="C103" s="160">
        <v>0</v>
      </c>
      <c r="D103" s="160">
        <v>0</v>
      </c>
      <c r="E103" s="160">
        <v>10</v>
      </c>
      <c r="F103" s="160">
        <v>22</v>
      </c>
      <c r="G103" s="160">
        <v>28</v>
      </c>
      <c r="H103" s="161">
        <f t="shared" si="45"/>
        <v>0.27272727272727271</v>
      </c>
      <c r="I103" s="175" t="str">
        <f t="shared" si="35"/>
        <v>-</v>
      </c>
      <c r="J103" s="161">
        <f t="shared" si="46"/>
        <v>3.68998827110871E-5</v>
      </c>
      <c r="K103" s="160">
        <v>0</v>
      </c>
      <c r="L103" s="160">
        <v>0</v>
      </c>
      <c r="M103" s="160">
        <v>260</v>
      </c>
      <c r="N103" s="160">
        <v>131</v>
      </c>
      <c r="O103" s="160">
        <v>202</v>
      </c>
      <c r="P103" s="161">
        <f t="shared" si="47"/>
        <v>0.54198473282442738</v>
      </c>
      <c r="Q103" s="175" t="str">
        <f t="shared" si="42"/>
        <v>-</v>
      </c>
      <c r="R103" s="161">
        <f t="shared" si="48"/>
        <v>5.7372835382566045E-5</v>
      </c>
      <c r="S103" s="160">
        <v>124</v>
      </c>
      <c r="T103" s="160">
        <v>105</v>
      </c>
      <c r="U103" s="160">
        <v>270</v>
      </c>
      <c r="V103" s="160">
        <v>153</v>
      </c>
      <c r="W103" s="160">
        <v>230</v>
      </c>
      <c r="X103" s="161">
        <f t="shared" si="49"/>
        <v>0.50326797385620914</v>
      </c>
      <c r="Y103" s="175">
        <f t="shared" si="43"/>
        <v>0.85483870967741926</v>
      </c>
      <c r="Z103" s="161">
        <f t="shared" si="44"/>
        <v>7.1487709541729355E-5</v>
      </c>
    </row>
    <row r="104" spans="1:26" x14ac:dyDescent="0.25">
      <c r="A104" s="158" t="s">
        <v>131</v>
      </c>
      <c r="B104" s="159" t="s">
        <v>131</v>
      </c>
      <c r="C104" s="160">
        <v>0</v>
      </c>
      <c r="D104" s="160">
        <v>0</v>
      </c>
      <c r="E104" s="160">
        <v>11</v>
      </c>
      <c r="F104" s="160">
        <v>10</v>
      </c>
      <c r="G104" s="160">
        <v>25</v>
      </c>
      <c r="H104" s="161">
        <f t="shared" si="45"/>
        <v>1.5</v>
      </c>
      <c r="I104" s="175" t="str">
        <f t="shared" si="35"/>
        <v>-</v>
      </c>
      <c r="J104" s="161">
        <f t="shared" si="46"/>
        <v>3.2946323849184909E-5</v>
      </c>
      <c r="K104" s="160">
        <v>0</v>
      </c>
      <c r="L104" s="160">
        <v>0</v>
      </c>
      <c r="M104" s="160">
        <v>157</v>
      </c>
      <c r="N104" s="160">
        <v>260</v>
      </c>
      <c r="O104" s="160">
        <v>359</v>
      </c>
      <c r="P104" s="161">
        <f t="shared" si="47"/>
        <v>0.38076923076923075</v>
      </c>
      <c r="Q104" s="175" t="str">
        <f t="shared" si="42"/>
        <v>-</v>
      </c>
      <c r="R104" s="161">
        <f t="shared" si="48"/>
        <v>1.0196459357594658E-4</v>
      </c>
      <c r="S104" s="160">
        <v>89</v>
      </c>
      <c r="T104" s="160">
        <v>96</v>
      </c>
      <c r="U104" s="160">
        <v>168</v>
      </c>
      <c r="V104" s="160">
        <v>270</v>
      </c>
      <c r="W104" s="160">
        <v>384</v>
      </c>
      <c r="X104" s="161">
        <f t="shared" si="49"/>
        <v>0.42222222222222228</v>
      </c>
      <c r="Y104" s="175">
        <f t="shared" si="43"/>
        <v>3.3146067415730336</v>
      </c>
      <c r="Z104" s="161">
        <f t="shared" si="44"/>
        <v>4.44812414926316E-5</v>
      </c>
    </row>
    <row r="105" spans="1:26" x14ac:dyDescent="0.25">
      <c r="A105" s="163" t="s">
        <v>145</v>
      </c>
      <c r="B105" s="164" t="s">
        <v>145</v>
      </c>
      <c r="C105" s="165">
        <f>C97-SUM(C98:C104)</f>
        <v>0</v>
      </c>
      <c r="D105" s="165">
        <f>D97-SUM(D98:D104)</f>
        <v>0</v>
      </c>
      <c r="E105" s="165">
        <f>E97-SUM(E98:E104)</f>
        <v>536</v>
      </c>
      <c r="F105" s="165">
        <f>F97-SUM(F98:F104)</f>
        <v>821</v>
      </c>
      <c r="G105" s="165">
        <f>G97-SUM(G98:G104)</f>
        <v>856</v>
      </c>
      <c r="H105" s="166">
        <f t="shared" si="45"/>
        <v>4.2630937880633324E-2</v>
      </c>
      <c r="I105" s="176" t="str">
        <f t="shared" si="35"/>
        <v>-</v>
      </c>
      <c r="J105" s="166">
        <f t="shared" si="46"/>
        <v>1.1280821285960913E-3</v>
      </c>
      <c r="K105" s="165">
        <f>K97-SUM(K98:K104)</f>
        <v>0</v>
      </c>
      <c r="L105" s="165">
        <f>L97-SUM(L98:L104)</f>
        <v>0</v>
      </c>
      <c r="M105" s="165">
        <f>M97-SUM(M98:M104)</f>
        <v>5551</v>
      </c>
      <c r="N105" s="165">
        <f>N97-SUM(N98:N104)</f>
        <v>7109</v>
      </c>
      <c r="O105" s="165">
        <f>O97-SUM(O98:O104)</f>
        <v>7312</v>
      </c>
      <c r="P105" s="166">
        <f t="shared" si="47"/>
        <v>2.8555352370234877E-2</v>
      </c>
      <c r="Q105" s="176" t="str">
        <f t="shared" si="42"/>
        <v>-</v>
      </c>
      <c r="R105" s="166">
        <f t="shared" si="48"/>
        <v>2.0767830312738759E-3</v>
      </c>
      <c r="S105" s="165">
        <f>S97-SUM(S98:S104)</f>
        <v>2568</v>
      </c>
      <c r="T105" s="165">
        <f>T97-SUM(T98:T104)</f>
        <v>3715</v>
      </c>
      <c r="U105" s="165">
        <f>U97-SUM(U98:U104)</f>
        <v>6087</v>
      </c>
      <c r="V105" s="165">
        <f>V97-SUM(V98:V104)</f>
        <v>7930</v>
      </c>
      <c r="W105" s="165">
        <f>W97-SUM(W98:W104)</f>
        <v>8168</v>
      </c>
      <c r="X105" s="166">
        <f t="shared" si="49"/>
        <v>3.0012610340479196E-2</v>
      </c>
      <c r="Y105" s="176">
        <f t="shared" si="43"/>
        <v>2.1806853582554515</v>
      </c>
      <c r="Z105" s="166">
        <f t="shared" si="44"/>
        <v>1.6116506962240986E-3</v>
      </c>
    </row>
    <row r="106" spans="1:26" x14ac:dyDescent="0.25">
      <c r="A106" s="1"/>
      <c r="B106" s="151" t="s">
        <v>50</v>
      </c>
      <c r="C106" s="149"/>
      <c r="D106" s="149"/>
      <c r="E106" s="149"/>
      <c r="F106" s="149"/>
      <c r="G106" s="149"/>
      <c r="H106" s="149"/>
      <c r="I106" s="149"/>
      <c r="J106" s="149"/>
      <c r="K106" s="149"/>
      <c r="L106" s="149"/>
      <c r="M106" s="149"/>
      <c r="N106" s="149"/>
      <c r="O106" s="149"/>
      <c r="P106" s="149"/>
      <c r="Q106" s="149"/>
      <c r="R106" s="149"/>
      <c r="S106" s="149"/>
      <c r="T106" s="149"/>
      <c r="U106" s="149"/>
      <c r="V106" s="149"/>
      <c r="W106" s="149"/>
      <c r="X106" s="149"/>
      <c r="Y106" s="149"/>
      <c r="Z106" s="149"/>
    </row>
    <row r="107" spans="1:26" x14ac:dyDescent="0.25">
      <c r="A107" s="1" t="s">
        <v>0</v>
      </c>
      <c r="B107" s="152" t="s">
        <v>68</v>
      </c>
      <c r="C107" s="172">
        <f>C108+C111</f>
        <v>0</v>
      </c>
      <c r="D107" s="172">
        <f>D108+D111</f>
        <v>0</v>
      </c>
      <c r="E107" s="172">
        <f>E108+E111</f>
        <v>0</v>
      </c>
      <c r="F107" s="172">
        <f>F108+F111</f>
        <v>0</v>
      </c>
      <c r="G107" s="172">
        <f>G108+G111</f>
        <v>0</v>
      </c>
      <c r="H107" s="173" t="str">
        <f>IFERROR(G107/F107-1,"-")</f>
        <v>-</v>
      </c>
      <c r="I107" s="173" t="str">
        <f t="shared" si="35"/>
        <v>-</v>
      </c>
      <c r="J107" s="173">
        <f>G107/G$9</f>
        <v>0</v>
      </c>
      <c r="K107" s="172">
        <f>K108+K111</f>
        <v>0</v>
      </c>
      <c r="L107" s="172">
        <f>L108+L111</f>
        <v>0</v>
      </c>
      <c r="M107" s="172">
        <f>M108+M111</f>
        <v>0</v>
      </c>
      <c r="N107" s="172">
        <f>N108+N111</f>
        <v>0</v>
      </c>
      <c r="O107" s="172">
        <f>O108+O111</f>
        <v>0</v>
      </c>
      <c r="P107" s="173" t="str">
        <f>IFERROR(O107/N107-1,"-")</f>
        <v>-</v>
      </c>
      <c r="Q107" s="173" t="str">
        <f t="shared" si="42"/>
        <v>-</v>
      </c>
      <c r="R107" s="173">
        <f>O107/O$9</f>
        <v>0</v>
      </c>
      <c r="S107" s="172">
        <f>S108+S111</f>
        <v>63499</v>
      </c>
      <c r="T107" s="172">
        <f>T108+T111</f>
        <v>95997</v>
      </c>
      <c r="U107" s="172">
        <f>U108+U111</f>
        <v>169794</v>
      </c>
      <c r="V107" s="172">
        <f>V108+V111</f>
        <v>220761</v>
      </c>
      <c r="W107" s="172">
        <f>W108+W111</f>
        <v>207278</v>
      </c>
      <c r="X107" s="173">
        <f>IFERROR(W107/V107-1,"-")</f>
        <v>-6.1075099315549441E-2</v>
      </c>
      <c r="Y107" s="173">
        <f t="shared" si="43"/>
        <v>2.2642718782972961</v>
      </c>
      <c r="Z107" s="173">
        <f t="shared" ref="Z107:Z119" si="50">U107/U$9</f>
        <v>4.4956237607142208E-2</v>
      </c>
    </row>
    <row r="108" spans="1:26" x14ac:dyDescent="0.25">
      <c r="A108" s="1" t="s">
        <v>96</v>
      </c>
      <c r="B108" s="155" t="s">
        <v>97</v>
      </c>
      <c r="C108" s="156">
        <v>0</v>
      </c>
      <c r="D108" s="156">
        <v>0</v>
      </c>
      <c r="E108" s="156">
        <v>0</v>
      </c>
      <c r="F108" s="156">
        <v>0</v>
      </c>
      <c r="G108" s="156">
        <v>0</v>
      </c>
      <c r="H108" s="157" t="str">
        <f>IFERROR(G108/F108-1,"-")</f>
        <v>-</v>
      </c>
      <c r="I108" s="174" t="str">
        <f t="shared" si="35"/>
        <v>-</v>
      </c>
      <c r="J108" s="157">
        <f>G108/G$9</f>
        <v>0</v>
      </c>
      <c r="K108" s="156">
        <v>0</v>
      </c>
      <c r="L108" s="156">
        <v>0</v>
      </c>
      <c r="M108" s="156">
        <v>0</v>
      </c>
      <c r="N108" s="156">
        <v>0</v>
      </c>
      <c r="O108" s="156">
        <v>0</v>
      </c>
      <c r="P108" s="157" t="str">
        <f>IFERROR(O108/N108-1,"-")</f>
        <v>-</v>
      </c>
      <c r="Q108" s="174" t="str">
        <f t="shared" si="42"/>
        <v>-</v>
      </c>
      <c r="R108" s="157">
        <f>O108/O$9</f>
        <v>0</v>
      </c>
      <c r="S108" s="156">
        <v>28387</v>
      </c>
      <c r="T108" s="156">
        <v>39659</v>
      </c>
      <c r="U108" s="156">
        <v>41132</v>
      </c>
      <c r="V108" s="156">
        <v>48543</v>
      </c>
      <c r="W108" s="156">
        <v>43479</v>
      </c>
      <c r="X108" s="157">
        <f>IFERROR(W108/V108-1,"-")</f>
        <v>-0.10431988134231507</v>
      </c>
      <c r="Y108" s="174">
        <f t="shared" si="43"/>
        <v>0.53165181244936055</v>
      </c>
      <c r="Z108" s="157">
        <f t="shared" si="50"/>
        <v>1.089049062544597E-2</v>
      </c>
    </row>
    <row r="109" spans="1:26" x14ac:dyDescent="0.25">
      <c r="A109" s="158" t="s">
        <v>103</v>
      </c>
      <c r="B109" s="159" t="s">
        <v>103</v>
      </c>
      <c r="C109" s="160">
        <v>0</v>
      </c>
      <c r="D109" s="160">
        <v>0</v>
      </c>
      <c r="E109" s="160">
        <v>0</v>
      </c>
      <c r="F109" s="160">
        <v>0</v>
      </c>
      <c r="G109" s="160">
        <v>0</v>
      </c>
      <c r="H109" s="161" t="str">
        <f>IFERROR(G109/F109-1,"-")</f>
        <v>-</v>
      </c>
      <c r="I109" s="175" t="str">
        <f t="shared" si="35"/>
        <v>-</v>
      </c>
      <c r="J109" s="161">
        <f>G109/G$9</f>
        <v>0</v>
      </c>
      <c r="K109" s="160">
        <v>0</v>
      </c>
      <c r="L109" s="160">
        <v>0</v>
      </c>
      <c r="M109" s="160">
        <v>0</v>
      </c>
      <c r="N109" s="160">
        <v>0</v>
      </c>
      <c r="O109" s="160">
        <v>0</v>
      </c>
      <c r="P109" s="161" t="str">
        <f>IFERROR(O109/N109-1,"-")</f>
        <v>-</v>
      </c>
      <c r="Q109" s="175" t="str">
        <f t="shared" si="42"/>
        <v>-</v>
      </c>
      <c r="R109" s="161">
        <f>O109/O$9</f>
        <v>0</v>
      </c>
      <c r="S109" s="160">
        <v>3383</v>
      </c>
      <c r="T109" s="160">
        <v>20351</v>
      </c>
      <c r="U109" s="160">
        <v>11031</v>
      </c>
      <c r="V109" s="160">
        <v>14560</v>
      </c>
      <c r="W109" s="160">
        <v>12208</v>
      </c>
      <c r="X109" s="161">
        <f>IFERROR(W109/V109-1,"-")</f>
        <v>-0.16153846153846152</v>
      </c>
      <c r="Y109" s="175">
        <f t="shared" si="43"/>
        <v>2.6086313922553948</v>
      </c>
      <c r="Z109" s="161">
        <f t="shared" si="50"/>
        <v>2.9206700887215429E-3</v>
      </c>
    </row>
    <row r="110" spans="1:26" x14ac:dyDescent="0.25">
      <c r="A110" s="158" t="s">
        <v>100</v>
      </c>
      <c r="B110" s="159" t="s">
        <v>100</v>
      </c>
      <c r="C110" s="160">
        <v>0</v>
      </c>
      <c r="D110" s="160">
        <v>0</v>
      </c>
      <c r="E110" s="160">
        <v>0</v>
      </c>
      <c r="F110" s="160">
        <v>0</v>
      </c>
      <c r="G110" s="160">
        <v>0</v>
      </c>
      <c r="H110" s="161" t="str">
        <f>IFERROR(G110/F110-1,"-")</f>
        <v>-</v>
      </c>
      <c r="I110" s="175" t="str">
        <f t="shared" si="35"/>
        <v>-</v>
      </c>
      <c r="J110" s="161">
        <f>G110/G$9</f>
        <v>0</v>
      </c>
      <c r="K110" s="160">
        <v>0</v>
      </c>
      <c r="L110" s="160">
        <v>0</v>
      </c>
      <c r="M110" s="160">
        <v>0</v>
      </c>
      <c r="N110" s="160">
        <v>0</v>
      </c>
      <c r="O110" s="160">
        <v>0</v>
      </c>
      <c r="P110" s="161" t="str">
        <f>IFERROR(O110/N110-1,"-")</f>
        <v>-</v>
      </c>
      <c r="Q110" s="175" t="str">
        <f t="shared" si="42"/>
        <v>-</v>
      </c>
      <c r="R110" s="161">
        <f>O110/O$9</f>
        <v>0</v>
      </c>
      <c r="S110" s="160">
        <v>25004</v>
      </c>
      <c r="T110" s="160">
        <v>19308</v>
      </c>
      <c r="U110" s="160">
        <v>30101</v>
      </c>
      <c r="V110" s="160">
        <v>33983</v>
      </c>
      <c r="W110" s="160">
        <v>31271</v>
      </c>
      <c r="X110" s="161">
        <f>IFERROR(W110/V110-1,"-")</f>
        <v>-7.9804608186446191E-2</v>
      </c>
      <c r="Y110" s="175">
        <f t="shared" si="43"/>
        <v>0.25063989761638128</v>
      </c>
      <c r="Z110" s="161">
        <f t="shared" si="50"/>
        <v>7.9698205367244278E-3</v>
      </c>
    </row>
    <row r="111" spans="1:26" x14ac:dyDescent="0.25">
      <c r="A111" s="1" t="s">
        <v>146</v>
      </c>
      <c r="B111" s="155" t="s">
        <v>107</v>
      </c>
      <c r="C111" s="156">
        <v>0</v>
      </c>
      <c r="D111" s="156">
        <v>0</v>
      </c>
      <c r="E111" s="156">
        <v>0</v>
      </c>
      <c r="F111" s="156">
        <v>0</v>
      </c>
      <c r="G111" s="156">
        <v>0</v>
      </c>
      <c r="H111" s="157" t="str">
        <f>IFERROR(G111/F111-1,"-")</f>
        <v>-</v>
      </c>
      <c r="I111" s="174" t="str">
        <f t="shared" si="35"/>
        <v>-</v>
      </c>
      <c r="J111" s="157">
        <f>G111/G$9</f>
        <v>0</v>
      </c>
      <c r="K111" s="156">
        <v>0</v>
      </c>
      <c r="L111" s="156">
        <v>0</v>
      </c>
      <c r="M111" s="156">
        <v>0</v>
      </c>
      <c r="N111" s="156">
        <v>0</v>
      </c>
      <c r="O111" s="156">
        <v>0</v>
      </c>
      <c r="P111" s="157" t="str">
        <f>IFERROR(O111/N111-1,"-")</f>
        <v>-</v>
      </c>
      <c r="Q111" s="174" t="str">
        <f t="shared" si="42"/>
        <v>-</v>
      </c>
      <c r="R111" s="157">
        <f>O111/O$9</f>
        <v>0</v>
      </c>
      <c r="S111" s="156">
        <v>35112</v>
      </c>
      <c r="T111" s="156">
        <v>56338</v>
      </c>
      <c r="U111" s="156">
        <v>128662</v>
      </c>
      <c r="V111" s="156">
        <v>172218</v>
      </c>
      <c r="W111" s="156">
        <v>163799</v>
      </c>
      <c r="X111" s="157">
        <f>IFERROR(W111/V111-1,"-")</f>
        <v>-4.8885714617519671E-2</v>
      </c>
      <c r="Y111" s="174">
        <f t="shared" si="43"/>
        <v>3.6650432900432897</v>
      </c>
      <c r="Z111" s="157">
        <f t="shared" si="50"/>
        <v>3.4065746981696232E-2</v>
      </c>
    </row>
    <row r="112" spans="1:26" x14ac:dyDescent="0.25">
      <c r="A112" s="158" t="s">
        <v>110</v>
      </c>
      <c r="B112" s="159" t="s">
        <v>110</v>
      </c>
      <c r="C112" s="160">
        <v>0</v>
      </c>
      <c r="D112" s="160">
        <v>0</v>
      </c>
      <c r="E112" s="160">
        <v>0</v>
      </c>
      <c r="F112" s="160">
        <v>0</v>
      </c>
      <c r="G112" s="160">
        <v>0</v>
      </c>
      <c r="H112" s="161" t="str">
        <f t="shared" ref="H112:H119" si="51">IFERROR(G112/F112-1,"-")</f>
        <v>-</v>
      </c>
      <c r="I112" s="175" t="str">
        <f t="shared" si="35"/>
        <v>-</v>
      </c>
      <c r="J112" s="161">
        <f t="shared" ref="J112:J119" si="52">G112/G$9</f>
        <v>0</v>
      </c>
      <c r="K112" s="160">
        <v>0</v>
      </c>
      <c r="L112" s="160">
        <v>0</v>
      </c>
      <c r="M112" s="160">
        <v>0</v>
      </c>
      <c r="N112" s="160">
        <v>0</v>
      </c>
      <c r="O112" s="160">
        <v>0</v>
      </c>
      <c r="P112" s="161" t="str">
        <f t="shared" ref="P112:P119" si="53">IFERROR(O112/N112-1,"-")</f>
        <v>-</v>
      </c>
      <c r="Q112" s="175" t="str">
        <f t="shared" si="42"/>
        <v>-</v>
      </c>
      <c r="R112" s="161">
        <f t="shared" ref="R112:R119" si="54">O112/O$9</f>
        <v>0</v>
      </c>
      <c r="S112" s="160">
        <v>20258</v>
      </c>
      <c r="T112" s="160">
        <v>23009</v>
      </c>
      <c r="U112" s="160">
        <v>77726</v>
      </c>
      <c r="V112" s="160">
        <v>113230</v>
      </c>
      <c r="W112" s="160">
        <v>102157</v>
      </c>
      <c r="X112" s="161">
        <f t="shared" ref="X112:X119" si="55">IFERROR(W112/V112-1,"-")</f>
        <v>-9.7792104565927795E-2</v>
      </c>
      <c r="Y112" s="175">
        <f t="shared" si="43"/>
        <v>4.042797906999704</v>
      </c>
      <c r="Z112" s="161">
        <f t="shared" si="50"/>
        <v>2.0579458192001691E-2</v>
      </c>
    </row>
    <row r="113" spans="1:26" x14ac:dyDescent="0.25">
      <c r="A113" s="158" t="s">
        <v>113</v>
      </c>
      <c r="B113" s="159" t="s">
        <v>113</v>
      </c>
      <c r="C113" s="160">
        <v>0</v>
      </c>
      <c r="D113" s="160">
        <v>0</v>
      </c>
      <c r="E113" s="160">
        <v>0</v>
      </c>
      <c r="F113" s="160">
        <v>0</v>
      </c>
      <c r="G113" s="160">
        <v>0</v>
      </c>
      <c r="H113" s="161" t="str">
        <f t="shared" si="51"/>
        <v>-</v>
      </c>
      <c r="I113" s="175" t="str">
        <f t="shared" si="35"/>
        <v>-</v>
      </c>
      <c r="J113" s="161">
        <f t="shared" si="52"/>
        <v>0</v>
      </c>
      <c r="K113" s="160">
        <v>0</v>
      </c>
      <c r="L113" s="160">
        <v>0</v>
      </c>
      <c r="M113" s="160">
        <v>0</v>
      </c>
      <c r="N113" s="160">
        <v>0</v>
      </c>
      <c r="O113" s="160">
        <v>0</v>
      </c>
      <c r="P113" s="161" t="str">
        <f t="shared" si="53"/>
        <v>-</v>
      </c>
      <c r="Q113" s="175" t="str">
        <f t="shared" si="42"/>
        <v>-</v>
      </c>
      <c r="R113" s="161">
        <f t="shared" si="54"/>
        <v>0</v>
      </c>
      <c r="S113" s="160">
        <v>2717</v>
      </c>
      <c r="T113" s="160">
        <v>6854</v>
      </c>
      <c r="U113" s="160">
        <v>5917</v>
      </c>
      <c r="V113" s="160">
        <v>7594</v>
      </c>
      <c r="W113" s="160">
        <v>7215</v>
      </c>
      <c r="X113" s="161">
        <f t="shared" si="55"/>
        <v>-4.9907821964708998E-2</v>
      </c>
      <c r="Y113" s="175">
        <f t="shared" si="43"/>
        <v>1.6555023923444976</v>
      </c>
      <c r="Z113" s="161">
        <f t="shared" si="50"/>
        <v>1.5666399161422689E-3</v>
      </c>
    </row>
    <row r="114" spans="1:26" x14ac:dyDescent="0.25">
      <c r="A114" s="158" t="s">
        <v>116</v>
      </c>
      <c r="B114" s="159" t="s">
        <v>116</v>
      </c>
      <c r="C114" s="160">
        <v>0</v>
      </c>
      <c r="D114" s="160">
        <v>0</v>
      </c>
      <c r="E114" s="160">
        <v>0</v>
      </c>
      <c r="F114" s="160">
        <v>0</v>
      </c>
      <c r="G114" s="160">
        <v>0</v>
      </c>
      <c r="H114" s="161" t="str">
        <f t="shared" si="51"/>
        <v>-</v>
      </c>
      <c r="I114" s="175" t="str">
        <f t="shared" si="35"/>
        <v>-</v>
      </c>
      <c r="J114" s="161">
        <f t="shared" si="52"/>
        <v>0</v>
      </c>
      <c r="K114" s="160">
        <v>0</v>
      </c>
      <c r="L114" s="160">
        <v>0</v>
      </c>
      <c r="M114" s="160">
        <v>0</v>
      </c>
      <c r="N114" s="160">
        <v>0</v>
      </c>
      <c r="O114" s="160">
        <v>0</v>
      </c>
      <c r="P114" s="161" t="str">
        <f t="shared" si="53"/>
        <v>-</v>
      </c>
      <c r="Q114" s="175" t="str">
        <f t="shared" si="42"/>
        <v>-</v>
      </c>
      <c r="R114" s="161">
        <f t="shared" si="54"/>
        <v>0</v>
      </c>
      <c r="S114" s="160">
        <v>1871</v>
      </c>
      <c r="T114" s="160">
        <v>6300</v>
      </c>
      <c r="U114" s="160">
        <v>8638</v>
      </c>
      <c r="V114" s="160">
        <v>12056</v>
      </c>
      <c r="W114" s="160">
        <v>12800</v>
      </c>
      <c r="X114" s="161">
        <f t="shared" si="55"/>
        <v>6.1712010617120061E-2</v>
      </c>
      <c r="Y114" s="175">
        <f t="shared" si="43"/>
        <v>5.841261357562801</v>
      </c>
      <c r="Z114" s="161">
        <f t="shared" si="50"/>
        <v>2.2870771667461414E-3</v>
      </c>
    </row>
    <row r="115" spans="1:26" x14ac:dyDescent="0.25">
      <c r="A115" s="158" t="s">
        <v>123</v>
      </c>
      <c r="B115" s="159" t="s">
        <v>123</v>
      </c>
      <c r="C115" s="160">
        <v>0</v>
      </c>
      <c r="D115" s="160">
        <v>0</v>
      </c>
      <c r="E115" s="160">
        <v>0</v>
      </c>
      <c r="F115" s="160">
        <v>0</v>
      </c>
      <c r="G115" s="160">
        <v>0</v>
      </c>
      <c r="H115" s="161" t="str">
        <f t="shared" si="51"/>
        <v>-</v>
      </c>
      <c r="I115" s="175" t="str">
        <f t="shared" si="35"/>
        <v>-</v>
      </c>
      <c r="J115" s="161">
        <f t="shared" si="52"/>
        <v>0</v>
      </c>
      <c r="K115" s="160">
        <v>0</v>
      </c>
      <c r="L115" s="160">
        <v>0</v>
      </c>
      <c r="M115" s="160">
        <v>0</v>
      </c>
      <c r="N115" s="160">
        <v>0</v>
      </c>
      <c r="O115" s="160">
        <v>0</v>
      </c>
      <c r="P115" s="161" t="str">
        <f t="shared" si="53"/>
        <v>-</v>
      </c>
      <c r="Q115" s="175" t="str">
        <f t="shared" si="42"/>
        <v>-</v>
      </c>
      <c r="R115" s="161">
        <f t="shared" si="54"/>
        <v>0</v>
      </c>
      <c r="S115" s="160">
        <v>1133</v>
      </c>
      <c r="T115" s="160">
        <v>3529</v>
      </c>
      <c r="U115" s="160">
        <v>5894</v>
      </c>
      <c r="V115" s="160">
        <v>6032</v>
      </c>
      <c r="W115" s="160">
        <v>5918</v>
      </c>
      <c r="X115" s="161">
        <f t="shared" si="55"/>
        <v>-1.8899204244031798E-2</v>
      </c>
      <c r="Y115" s="175">
        <f t="shared" si="43"/>
        <v>4.2233009708737868</v>
      </c>
      <c r="Z115" s="161">
        <f t="shared" si="50"/>
        <v>1.5605502223664921E-3</v>
      </c>
    </row>
    <row r="116" spans="1:26" x14ac:dyDescent="0.25">
      <c r="A116" s="158" t="s">
        <v>119</v>
      </c>
      <c r="B116" s="159" t="s">
        <v>119</v>
      </c>
      <c r="C116" s="160">
        <v>0</v>
      </c>
      <c r="D116" s="160">
        <v>0</v>
      </c>
      <c r="E116" s="160">
        <v>0</v>
      </c>
      <c r="F116" s="160">
        <v>0</v>
      </c>
      <c r="G116" s="160">
        <v>0</v>
      </c>
      <c r="H116" s="161" t="str">
        <f t="shared" si="51"/>
        <v>-</v>
      </c>
      <c r="I116" s="175" t="str">
        <f t="shared" si="35"/>
        <v>-</v>
      </c>
      <c r="J116" s="161">
        <f t="shared" si="52"/>
        <v>0</v>
      </c>
      <c r="K116" s="160">
        <v>0</v>
      </c>
      <c r="L116" s="160">
        <v>0</v>
      </c>
      <c r="M116" s="160">
        <v>0</v>
      </c>
      <c r="N116" s="160">
        <v>0</v>
      </c>
      <c r="O116" s="160">
        <v>0</v>
      </c>
      <c r="P116" s="161" t="str">
        <f t="shared" si="53"/>
        <v>-</v>
      </c>
      <c r="Q116" s="175" t="str">
        <f t="shared" si="42"/>
        <v>-</v>
      </c>
      <c r="R116" s="161">
        <f t="shared" si="54"/>
        <v>0</v>
      </c>
      <c r="S116" s="160">
        <v>2557</v>
      </c>
      <c r="T116" s="160">
        <v>4170</v>
      </c>
      <c r="U116" s="160">
        <v>4317</v>
      </c>
      <c r="V116" s="160">
        <v>4916</v>
      </c>
      <c r="W116" s="160">
        <v>4686</v>
      </c>
      <c r="X116" s="161">
        <f t="shared" si="55"/>
        <v>-4.6786004882017895E-2</v>
      </c>
      <c r="Y116" s="175">
        <f t="shared" si="43"/>
        <v>0.83261634728197098</v>
      </c>
      <c r="Z116" s="161">
        <f t="shared" si="50"/>
        <v>1.1430090447838727E-3</v>
      </c>
    </row>
    <row r="117" spans="1:26" x14ac:dyDescent="0.25">
      <c r="A117" s="158" t="s">
        <v>128</v>
      </c>
      <c r="B117" s="159" t="s">
        <v>128</v>
      </c>
      <c r="C117" s="160">
        <v>0</v>
      </c>
      <c r="D117" s="160">
        <v>0</v>
      </c>
      <c r="E117" s="160">
        <v>0</v>
      </c>
      <c r="F117" s="160">
        <v>0</v>
      </c>
      <c r="G117" s="160">
        <v>0</v>
      </c>
      <c r="H117" s="161" t="str">
        <f t="shared" si="51"/>
        <v>-</v>
      </c>
      <c r="I117" s="175" t="str">
        <f t="shared" si="35"/>
        <v>-</v>
      </c>
      <c r="J117" s="161">
        <f t="shared" si="52"/>
        <v>0</v>
      </c>
      <c r="K117" s="160">
        <v>0</v>
      </c>
      <c r="L117" s="160">
        <v>0</v>
      </c>
      <c r="M117" s="160">
        <v>0</v>
      </c>
      <c r="N117" s="160">
        <v>0</v>
      </c>
      <c r="O117" s="160">
        <v>0</v>
      </c>
      <c r="P117" s="161" t="str">
        <f t="shared" si="53"/>
        <v>-</v>
      </c>
      <c r="Q117" s="175" t="str">
        <f t="shared" si="42"/>
        <v>-</v>
      </c>
      <c r="R117" s="161">
        <f t="shared" si="54"/>
        <v>0</v>
      </c>
      <c r="S117" s="160">
        <v>226</v>
      </c>
      <c r="T117" s="160">
        <v>308</v>
      </c>
      <c r="U117" s="160">
        <v>1123</v>
      </c>
      <c r="V117" s="160">
        <v>1300</v>
      </c>
      <c r="W117" s="160">
        <v>1069</v>
      </c>
      <c r="X117" s="161">
        <f t="shared" si="55"/>
        <v>-0.1776923076923077</v>
      </c>
      <c r="Y117" s="175">
        <f t="shared" si="43"/>
        <v>3.7300884955752212</v>
      </c>
      <c r="Z117" s="161">
        <f t="shared" si="50"/>
        <v>2.9733591783467434E-4</v>
      </c>
    </row>
    <row r="118" spans="1:26" x14ac:dyDescent="0.25">
      <c r="A118" s="158" t="s">
        <v>131</v>
      </c>
      <c r="B118" s="159" t="s">
        <v>131</v>
      </c>
      <c r="C118" s="160">
        <v>0</v>
      </c>
      <c r="D118" s="160">
        <v>0</v>
      </c>
      <c r="E118" s="160">
        <v>0</v>
      </c>
      <c r="F118" s="160">
        <v>0</v>
      </c>
      <c r="G118" s="160">
        <v>0</v>
      </c>
      <c r="H118" s="161" t="str">
        <f t="shared" si="51"/>
        <v>-</v>
      </c>
      <c r="I118" s="175" t="str">
        <f t="shared" si="35"/>
        <v>-</v>
      </c>
      <c r="J118" s="161">
        <f t="shared" si="52"/>
        <v>0</v>
      </c>
      <c r="K118" s="160">
        <v>0</v>
      </c>
      <c r="L118" s="160">
        <v>0</v>
      </c>
      <c r="M118" s="160">
        <v>0</v>
      </c>
      <c r="N118" s="160">
        <v>0</v>
      </c>
      <c r="O118" s="160">
        <v>0</v>
      </c>
      <c r="P118" s="161" t="str">
        <f t="shared" si="53"/>
        <v>-</v>
      </c>
      <c r="Q118" s="175" t="str">
        <f t="shared" si="42"/>
        <v>-</v>
      </c>
      <c r="R118" s="161">
        <f t="shared" si="54"/>
        <v>0</v>
      </c>
      <c r="S118" s="160">
        <v>549</v>
      </c>
      <c r="T118" s="160">
        <v>470</v>
      </c>
      <c r="U118" s="160">
        <v>840</v>
      </c>
      <c r="V118" s="160">
        <v>770</v>
      </c>
      <c r="W118" s="160">
        <v>1368</v>
      </c>
      <c r="X118" s="161">
        <f t="shared" si="55"/>
        <v>0.77662337662337655</v>
      </c>
      <c r="Y118" s="175">
        <f t="shared" si="43"/>
        <v>1.4918032786885247</v>
      </c>
      <c r="Z118" s="161">
        <f t="shared" si="50"/>
        <v>2.2240620746315801E-4</v>
      </c>
    </row>
    <row r="119" spans="1:26" x14ac:dyDescent="0.25">
      <c r="A119" s="163" t="s">
        <v>145</v>
      </c>
      <c r="B119" s="164" t="s">
        <v>145</v>
      </c>
      <c r="C119" s="165">
        <f>C111-SUM(C112:C118)</f>
        <v>0</v>
      </c>
      <c r="D119" s="165">
        <f>D111-SUM(D112:D118)</f>
        <v>0</v>
      </c>
      <c r="E119" s="165">
        <f>E111-SUM(E112:E118)</f>
        <v>0</v>
      </c>
      <c r="F119" s="165">
        <f>F111-SUM(F112:F118)</f>
        <v>0</v>
      </c>
      <c r="G119" s="165">
        <f>G111-SUM(G112:G118)</f>
        <v>0</v>
      </c>
      <c r="H119" s="166" t="str">
        <f t="shared" si="51"/>
        <v>-</v>
      </c>
      <c r="I119" s="176" t="str">
        <f t="shared" si="35"/>
        <v>-</v>
      </c>
      <c r="J119" s="166">
        <f t="shared" si="52"/>
        <v>0</v>
      </c>
      <c r="K119" s="165">
        <f>K111-SUM(K112:K118)</f>
        <v>0</v>
      </c>
      <c r="L119" s="165">
        <f>L111-SUM(L112:L118)</f>
        <v>0</v>
      </c>
      <c r="M119" s="165">
        <f>M111-SUM(M112:M118)</f>
        <v>0</v>
      </c>
      <c r="N119" s="165">
        <f>N111-SUM(N112:N118)</f>
        <v>0</v>
      </c>
      <c r="O119" s="165">
        <f>O111-SUM(O112:O118)</f>
        <v>0</v>
      </c>
      <c r="P119" s="166" t="str">
        <f t="shared" si="53"/>
        <v>-</v>
      </c>
      <c r="Q119" s="176" t="str">
        <f t="shared" si="42"/>
        <v>-</v>
      </c>
      <c r="R119" s="166">
        <f t="shared" si="54"/>
        <v>0</v>
      </c>
      <c r="S119" s="165">
        <f>S111-SUM(S112:S118)</f>
        <v>5801</v>
      </c>
      <c r="T119" s="165">
        <f>T111-SUM(T112:T118)</f>
        <v>11698</v>
      </c>
      <c r="U119" s="165">
        <f>U111-SUM(U112:U118)</f>
        <v>24207</v>
      </c>
      <c r="V119" s="165">
        <f>V111-SUM(V112:V118)</f>
        <v>26320</v>
      </c>
      <c r="W119" s="165">
        <f>W111-SUM(W112:W118)</f>
        <v>28586</v>
      </c>
      <c r="X119" s="166">
        <f t="shared" si="55"/>
        <v>8.6094224924012197E-2</v>
      </c>
      <c r="Y119" s="176">
        <f t="shared" si="43"/>
        <v>3.9277710739527665</v>
      </c>
      <c r="Z119" s="166">
        <f t="shared" si="50"/>
        <v>6.4092703143579354E-3</v>
      </c>
    </row>
    <row r="120" spans="1:26" x14ac:dyDescent="0.25">
      <c r="A120" s="1"/>
      <c r="B120" s="151" t="s">
        <v>51</v>
      </c>
      <c r="C120" s="149"/>
      <c r="D120" s="149"/>
      <c r="E120" s="149"/>
      <c r="F120" s="149"/>
      <c r="G120" s="149"/>
      <c r="H120" s="149"/>
      <c r="I120" s="149"/>
      <c r="J120" s="149"/>
      <c r="K120" s="149"/>
      <c r="L120" s="149"/>
      <c r="M120" s="149"/>
      <c r="N120" s="149"/>
      <c r="O120" s="149"/>
      <c r="P120" s="149"/>
      <c r="Q120" s="149"/>
      <c r="R120" s="149"/>
      <c r="S120" s="149"/>
      <c r="T120" s="149"/>
      <c r="U120" s="149"/>
      <c r="V120" s="149"/>
      <c r="W120" s="149"/>
      <c r="X120" s="149"/>
      <c r="Y120" s="149"/>
      <c r="Z120" s="149"/>
    </row>
    <row r="121" spans="1:26" x14ac:dyDescent="0.25">
      <c r="A121" s="1" t="s">
        <v>0</v>
      </c>
      <c r="B121" s="152" t="s">
        <v>68</v>
      </c>
      <c r="C121" s="172">
        <f>C122+C125</f>
        <v>48728</v>
      </c>
      <c r="D121" s="172">
        <f>D122+D125</f>
        <v>61314</v>
      </c>
      <c r="E121" s="172">
        <f>E122+E125</f>
        <v>93434</v>
      </c>
      <c r="F121" s="172">
        <f>F122+F125</f>
        <v>93472</v>
      </c>
      <c r="G121" s="172">
        <f>G122+G125</f>
        <v>99644</v>
      </c>
      <c r="H121" s="173">
        <f>IFERROR(G121/F121-1,"-")</f>
        <v>6.6030469017459792E-2</v>
      </c>
      <c r="I121" s="173">
        <f t="shared" si="35"/>
        <v>1.0449023148908223</v>
      </c>
      <c r="J121" s="173">
        <f>G121/G$9</f>
        <v>0.13131613974512724</v>
      </c>
      <c r="K121" s="172">
        <f>K122+K125</f>
        <v>54788</v>
      </c>
      <c r="L121" s="172">
        <f>L122+L125</f>
        <v>102944</v>
      </c>
      <c r="M121" s="172">
        <f>M122+M125</f>
        <v>135697</v>
      </c>
      <c r="N121" s="172">
        <f>N122+N125</f>
        <v>145637</v>
      </c>
      <c r="O121" s="172">
        <f>O122+O125</f>
        <v>151227</v>
      </c>
      <c r="P121" s="173">
        <f>IFERROR(O121/N121-1,"-")</f>
        <v>3.8383103194929769E-2</v>
      </c>
      <c r="Q121" s="173">
        <f t="shared" si="42"/>
        <v>1.7602212163247426</v>
      </c>
      <c r="R121" s="173">
        <f>O121/O$9</f>
        <v>4.2952088001976807E-2</v>
      </c>
      <c r="S121" s="172">
        <f>S122+S125</f>
        <v>103516</v>
      </c>
      <c r="T121" s="172">
        <f>T122+T125</f>
        <v>164258</v>
      </c>
      <c r="U121" s="172">
        <f>U122+U125</f>
        <v>229131</v>
      </c>
      <c r="V121" s="172">
        <f>V122+V125</f>
        <v>239109</v>
      </c>
      <c r="W121" s="172">
        <f>W122+W125</f>
        <v>250871</v>
      </c>
      <c r="X121" s="173">
        <f>IFERROR(W121/V121-1,"-")</f>
        <v>4.9190954752853289E-2</v>
      </c>
      <c r="Y121" s="173">
        <f t="shared" si="43"/>
        <v>1.4234997488310985</v>
      </c>
      <c r="Z121" s="173">
        <f t="shared" ref="Z121:Z133" si="56">U121/U$9</f>
        <v>6.066685324076293E-2</v>
      </c>
    </row>
    <row r="122" spans="1:26" x14ac:dyDescent="0.25">
      <c r="A122" s="1" t="s">
        <v>96</v>
      </c>
      <c r="B122" s="155" t="s">
        <v>97</v>
      </c>
      <c r="C122" s="156">
        <v>23736</v>
      </c>
      <c r="D122" s="156">
        <v>32824</v>
      </c>
      <c r="E122" s="156">
        <v>51574</v>
      </c>
      <c r="F122" s="156">
        <v>60712</v>
      </c>
      <c r="G122" s="156">
        <v>66829</v>
      </c>
      <c r="H122" s="157">
        <f>IFERROR(G122/F122-1,"-")</f>
        <v>0.10075438134141512</v>
      </c>
      <c r="I122" s="174">
        <f t="shared" si="35"/>
        <v>1.8155123019885404</v>
      </c>
      <c r="J122" s="157">
        <f>G122/G$9</f>
        <v>8.8070795060687129E-2</v>
      </c>
      <c r="K122" s="156">
        <v>37835</v>
      </c>
      <c r="L122" s="156">
        <v>71733</v>
      </c>
      <c r="M122" s="156">
        <v>83312</v>
      </c>
      <c r="N122" s="156">
        <v>85718</v>
      </c>
      <c r="O122" s="156">
        <v>89737</v>
      </c>
      <c r="P122" s="157">
        <f>IFERROR(O122/N122-1,"-")</f>
        <v>4.6886301593597635E-2</v>
      </c>
      <c r="Q122" s="174">
        <f t="shared" si="42"/>
        <v>1.3717985991806527</v>
      </c>
      <c r="R122" s="157">
        <f>O122/O$9</f>
        <v>2.5487456082798659E-2</v>
      </c>
      <c r="S122" s="156">
        <v>61571</v>
      </c>
      <c r="T122" s="156">
        <v>104557</v>
      </c>
      <c r="U122" s="156">
        <v>134886</v>
      </c>
      <c r="V122" s="156">
        <v>146430</v>
      </c>
      <c r="W122" s="156">
        <v>156566</v>
      </c>
      <c r="X122" s="157">
        <f>IFERROR(W122/V122-1,"-")</f>
        <v>6.9220788089872309E-2</v>
      </c>
      <c r="Y122" s="174">
        <f t="shared" si="43"/>
        <v>1.5428529664939665</v>
      </c>
      <c r="Z122" s="157">
        <f t="shared" si="56"/>
        <v>3.5713671071280394E-2</v>
      </c>
    </row>
    <row r="123" spans="1:26" x14ac:dyDescent="0.25">
      <c r="A123" s="158" t="s">
        <v>103</v>
      </c>
      <c r="B123" s="159" t="s">
        <v>103</v>
      </c>
      <c r="C123" s="160">
        <v>11647</v>
      </c>
      <c r="D123" s="160">
        <v>15693</v>
      </c>
      <c r="E123" s="160">
        <v>29334</v>
      </c>
      <c r="F123" s="160">
        <v>29429</v>
      </c>
      <c r="G123" s="160">
        <v>38467</v>
      </c>
      <c r="H123" s="161">
        <f>IFERROR(G123/F123-1,"-")</f>
        <v>0.3071120323490435</v>
      </c>
      <c r="I123" s="175">
        <f t="shared" si="35"/>
        <v>2.3027389027217309</v>
      </c>
      <c r="J123" s="161">
        <f>G123/G$9</f>
        <v>5.0693849580263836E-2</v>
      </c>
      <c r="K123" s="160">
        <v>16144</v>
      </c>
      <c r="L123" s="160">
        <v>37554</v>
      </c>
      <c r="M123" s="160">
        <v>40531</v>
      </c>
      <c r="N123" s="160">
        <v>36692</v>
      </c>
      <c r="O123" s="160">
        <v>37326</v>
      </c>
      <c r="P123" s="161">
        <f>IFERROR(O123/N123-1,"-")</f>
        <v>1.7278970892837586E-2</v>
      </c>
      <c r="Q123" s="175">
        <f t="shared" si="42"/>
        <v>1.3120664023785928</v>
      </c>
      <c r="R123" s="161">
        <f>O123/O$9</f>
        <v>1.0601477492523069E-2</v>
      </c>
      <c r="S123" s="160">
        <v>27791</v>
      </c>
      <c r="T123" s="160">
        <v>53247</v>
      </c>
      <c r="U123" s="160">
        <v>69865</v>
      </c>
      <c r="V123" s="160">
        <v>66121</v>
      </c>
      <c r="W123" s="160">
        <v>75793</v>
      </c>
      <c r="X123" s="161">
        <f>IFERROR(W123/V123-1,"-")</f>
        <v>0.14627727953297742</v>
      </c>
      <c r="Y123" s="175">
        <f t="shared" si="43"/>
        <v>1.7272498290813574</v>
      </c>
      <c r="Z123" s="161">
        <f t="shared" si="56"/>
        <v>1.8498106767158969E-2</v>
      </c>
    </row>
    <row r="124" spans="1:26" x14ac:dyDescent="0.25">
      <c r="A124" s="158" t="s">
        <v>100</v>
      </c>
      <c r="B124" s="159" t="s">
        <v>100</v>
      </c>
      <c r="C124" s="160">
        <v>12089</v>
      </c>
      <c r="D124" s="160">
        <v>17131</v>
      </c>
      <c r="E124" s="160">
        <v>22240</v>
      </c>
      <c r="F124" s="160">
        <v>31283</v>
      </c>
      <c r="G124" s="160">
        <v>28362</v>
      </c>
      <c r="H124" s="161">
        <f>IFERROR(G124/F124-1,"-")</f>
        <v>-9.337339769203723E-2</v>
      </c>
      <c r="I124" s="175">
        <f t="shared" si="35"/>
        <v>1.3460997601124989</v>
      </c>
      <c r="J124" s="161">
        <f>G124/G$9</f>
        <v>3.7376945480423293E-2</v>
      </c>
      <c r="K124" s="160">
        <v>21691</v>
      </c>
      <c r="L124" s="160">
        <v>34179</v>
      </c>
      <c r="M124" s="160">
        <v>42781</v>
      </c>
      <c r="N124" s="160">
        <v>49026</v>
      </c>
      <c r="O124" s="160">
        <v>52411</v>
      </c>
      <c r="P124" s="161">
        <f>IFERROR(O124/N124-1,"-")</f>
        <v>6.9044996532452219E-2</v>
      </c>
      <c r="Q124" s="175">
        <f t="shared" si="42"/>
        <v>1.4162555898759854</v>
      </c>
      <c r="R124" s="161">
        <f>O124/O$9</f>
        <v>1.4885978590275588E-2</v>
      </c>
      <c r="S124" s="160">
        <v>33780</v>
      </c>
      <c r="T124" s="160">
        <v>51310</v>
      </c>
      <c r="U124" s="160">
        <v>65021</v>
      </c>
      <c r="V124" s="160">
        <v>80309</v>
      </c>
      <c r="W124" s="160">
        <v>80773</v>
      </c>
      <c r="X124" s="161">
        <f>IFERROR(W124/V124-1,"-")</f>
        <v>5.7776836967213807E-3</v>
      </c>
      <c r="Y124" s="175">
        <f t="shared" si="43"/>
        <v>1.3911486086441682</v>
      </c>
      <c r="Z124" s="161">
        <f t="shared" si="56"/>
        <v>1.7215564304121425E-2</v>
      </c>
    </row>
    <row r="125" spans="1:26" x14ac:dyDescent="0.25">
      <c r="A125" s="1" t="s">
        <v>146</v>
      </c>
      <c r="B125" s="155" t="s">
        <v>107</v>
      </c>
      <c r="C125" s="156">
        <v>24992</v>
      </c>
      <c r="D125" s="156">
        <v>28490</v>
      </c>
      <c r="E125" s="156">
        <v>41860</v>
      </c>
      <c r="F125" s="156">
        <v>32760</v>
      </c>
      <c r="G125" s="156">
        <v>32815</v>
      </c>
      <c r="H125" s="157">
        <f>IFERROR(G125/F125-1,"-")</f>
        <v>1.6788766788766729E-3</v>
      </c>
      <c r="I125" s="174">
        <f t="shared" si="35"/>
        <v>0.31302016645326503</v>
      </c>
      <c r="J125" s="157">
        <f>G125/G$9</f>
        <v>4.3245344684440107E-2</v>
      </c>
      <c r="K125" s="156">
        <v>16953</v>
      </c>
      <c r="L125" s="156">
        <v>31211</v>
      </c>
      <c r="M125" s="156">
        <v>52385</v>
      </c>
      <c r="N125" s="156">
        <v>59919</v>
      </c>
      <c r="O125" s="156">
        <v>61490</v>
      </c>
      <c r="P125" s="157">
        <f>IFERROR(O125/N125-1,"-")</f>
        <v>2.6218728616966169E-2</v>
      </c>
      <c r="Q125" s="174">
        <f t="shared" si="42"/>
        <v>2.6270866513301478</v>
      </c>
      <c r="R125" s="157">
        <f>O125/O$9</f>
        <v>1.7464631919178148E-2</v>
      </c>
      <c r="S125" s="156">
        <v>41945</v>
      </c>
      <c r="T125" s="156">
        <v>59701</v>
      </c>
      <c r="U125" s="156">
        <v>94245</v>
      </c>
      <c r="V125" s="156">
        <v>92679</v>
      </c>
      <c r="W125" s="156">
        <v>94305</v>
      </c>
      <c r="X125" s="157">
        <f>IFERROR(W125/V125-1,"-")</f>
        <v>1.7544427540219454E-2</v>
      </c>
      <c r="Y125" s="174">
        <f t="shared" si="43"/>
        <v>1.2483013470020263</v>
      </c>
      <c r="Z125" s="157">
        <f t="shared" si="56"/>
        <v>2.4953182169482533E-2</v>
      </c>
    </row>
    <row r="126" spans="1:26" x14ac:dyDescent="0.25">
      <c r="A126" s="158" t="s">
        <v>110</v>
      </c>
      <c r="B126" s="159" t="s">
        <v>110</v>
      </c>
      <c r="C126" s="160">
        <v>1440</v>
      </c>
      <c r="D126" s="160">
        <v>653</v>
      </c>
      <c r="E126" s="160">
        <v>2495</v>
      </c>
      <c r="F126" s="160">
        <v>3067</v>
      </c>
      <c r="G126" s="160">
        <v>2396</v>
      </c>
      <c r="H126" s="161">
        <f t="shared" ref="H126:H133" si="57">IFERROR(G126/F126-1,"-")</f>
        <v>-0.21878056732963813</v>
      </c>
      <c r="I126" s="175">
        <f t="shared" si="35"/>
        <v>0.66388888888888897</v>
      </c>
      <c r="J126" s="161">
        <f t="shared" ref="J126:J133" si="58">G126/G$9</f>
        <v>3.1575756777058816E-3</v>
      </c>
      <c r="K126" s="160">
        <v>2501</v>
      </c>
      <c r="L126" s="160">
        <v>2683</v>
      </c>
      <c r="M126" s="160">
        <v>7422</v>
      </c>
      <c r="N126" s="160">
        <v>8579</v>
      </c>
      <c r="O126" s="160">
        <v>8260</v>
      </c>
      <c r="P126" s="161">
        <f t="shared" ref="P126:P133" si="59">IFERROR(O126/N126-1,"-")</f>
        <v>-3.7183820958153646E-2</v>
      </c>
      <c r="Q126" s="175">
        <f t="shared" si="42"/>
        <v>2.3026789284286284</v>
      </c>
      <c r="R126" s="161">
        <f t="shared" ref="R126:R133" si="60">O126/O$9</f>
        <v>2.3460377240593837E-3</v>
      </c>
      <c r="S126" s="160">
        <v>3941</v>
      </c>
      <c r="T126" s="160">
        <v>3336</v>
      </c>
      <c r="U126" s="160">
        <v>9917</v>
      </c>
      <c r="V126" s="160">
        <v>11646</v>
      </c>
      <c r="W126" s="160">
        <v>10656</v>
      </c>
      <c r="X126" s="161">
        <f t="shared" ref="X126:X133" si="61">IFERROR(W126/V126-1,"-")</f>
        <v>-8.5007727975270453E-2</v>
      </c>
      <c r="Y126" s="175">
        <f t="shared" si="43"/>
        <v>1.7038822633849278</v>
      </c>
      <c r="Z126" s="161">
        <f t="shared" si="56"/>
        <v>2.6257170945382597E-3</v>
      </c>
    </row>
    <row r="127" spans="1:26" x14ac:dyDescent="0.25">
      <c r="A127" s="158" t="s">
        <v>113</v>
      </c>
      <c r="B127" s="159" t="s">
        <v>113</v>
      </c>
      <c r="C127" s="160">
        <v>1742</v>
      </c>
      <c r="D127" s="160">
        <v>2401</v>
      </c>
      <c r="E127" s="160">
        <v>4143</v>
      </c>
      <c r="F127" s="160">
        <v>4500</v>
      </c>
      <c r="G127" s="160">
        <v>4504</v>
      </c>
      <c r="H127" s="161">
        <f t="shared" si="57"/>
        <v>8.8888888888893902E-4</v>
      </c>
      <c r="I127" s="175">
        <f t="shared" si="35"/>
        <v>1.5855338691159586</v>
      </c>
      <c r="J127" s="161">
        <f t="shared" si="58"/>
        <v>5.9356097046691534E-3</v>
      </c>
      <c r="K127" s="160">
        <v>2311</v>
      </c>
      <c r="L127" s="160">
        <v>4913</v>
      </c>
      <c r="M127" s="160">
        <v>7118</v>
      </c>
      <c r="N127" s="160">
        <v>8816</v>
      </c>
      <c r="O127" s="160">
        <v>8623</v>
      </c>
      <c r="P127" s="161">
        <f t="shared" si="59"/>
        <v>-2.1892014519056313E-2</v>
      </c>
      <c r="Q127" s="175">
        <f t="shared" si="42"/>
        <v>2.7312851579402855</v>
      </c>
      <c r="R127" s="161">
        <f t="shared" si="60"/>
        <v>2.4491384133854799E-3</v>
      </c>
      <c r="S127" s="160">
        <v>4053</v>
      </c>
      <c r="T127" s="160">
        <v>7314</v>
      </c>
      <c r="U127" s="160">
        <v>11261</v>
      </c>
      <c r="V127" s="160">
        <v>13316</v>
      </c>
      <c r="W127" s="160">
        <v>13127</v>
      </c>
      <c r="X127" s="161">
        <f t="shared" si="61"/>
        <v>-1.4193451486932962E-2</v>
      </c>
      <c r="Y127" s="175">
        <f t="shared" si="43"/>
        <v>2.2388354305452749</v>
      </c>
      <c r="Z127" s="161">
        <f t="shared" si="56"/>
        <v>2.9815670264793123E-3</v>
      </c>
    </row>
    <row r="128" spans="1:26" x14ac:dyDescent="0.25">
      <c r="A128" s="158" t="s">
        <v>116</v>
      </c>
      <c r="B128" s="159" t="s">
        <v>116</v>
      </c>
      <c r="C128" s="160">
        <v>1315</v>
      </c>
      <c r="D128" s="160">
        <v>2102</v>
      </c>
      <c r="E128" s="160">
        <v>2821</v>
      </c>
      <c r="F128" s="160">
        <v>3000</v>
      </c>
      <c r="G128" s="160">
        <v>2742</v>
      </c>
      <c r="H128" s="161">
        <f t="shared" si="57"/>
        <v>-8.5999999999999965E-2</v>
      </c>
      <c r="I128" s="175">
        <f t="shared" si="35"/>
        <v>1.0851711026615969</v>
      </c>
      <c r="J128" s="161">
        <f t="shared" si="58"/>
        <v>3.6135527997786009E-3</v>
      </c>
      <c r="K128" s="160">
        <v>1591</v>
      </c>
      <c r="L128" s="160">
        <v>5032</v>
      </c>
      <c r="M128" s="160">
        <v>5703</v>
      </c>
      <c r="N128" s="160">
        <v>5756</v>
      </c>
      <c r="O128" s="160">
        <v>5825</v>
      </c>
      <c r="P128" s="161">
        <f t="shared" si="59"/>
        <v>1.1987491313412146E-2</v>
      </c>
      <c r="Q128" s="175">
        <f t="shared" si="42"/>
        <v>2.6612193588937774</v>
      </c>
      <c r="R128" s="161">
        <f t="shared" si="60"/>
        <v>1.6544394361556792E-3</v>
      </c>
      <c r="S128" s="160">
        <v>2906</v>
      </c>
      <c r="T128" s="160">
        <v>7134</v>
      </c>
      <c r="U128" s="160">
        <v>8524</v>
      </c>
      <c r="V128" s="160">
        <v>8756</v>
      </c>
      <c r="W128" s="160">
        <v>8567</v>
      </c>
      <c r="X128" s="161">
        <f t="shared" si="61"/>
        <v>-2.1585198720877163E-2</v>
      </c>
      <c r="Y128" s="175">
        <f t="shared" si="43"/>
        <v>1.9480385409497591</v>
      </c>
      <c r="Z128" s="161">
        <f t="shared" si="56"/>
        <v>2.2568934671618559E-3</v>
      </c>
    </row>
    <row r="129" spans="1:26" x14ac:dyDescent="0.25">
      <c r="A129" s="158" t="s">
        <v>123</v>
      </c>
      <c r="B129" s="159" t="s">
        <v>123</v>
      </c>
      <c r="C129" s="160">
        <v>369</v>
      </c>
      <c r="D129" s="160">
        <v>359</v>
      </c>
      <c r="E129" s="160">
        <v>801</v>
      </c>
      <c r="F129" s="160">
        <v>649</v>
      </c>
      <c r="G129" s="160">
        <v>650</v>
      </c>
      <c r="H129" s="161">
        <f t="shared" si="57"/>
        <v>1.5408320493066618E-3</v>
      </c>
      <c r="I129" s="175">
        <f t="shared" si="35"/>
        <v>0.7615176151761518</v>
      </c>
      <c r="J129" s="161">
        <f t="shared" si="58"/>
        <v>8.5660442007880764E-4</v>
      </c>
      <c r="K129" s="160">
        <v>415</v>
      </c>
      <c r="L129" s="160">
        <v>974</v>
      </c>
      <c r="M129" s="160">
        <v>1772</v>
      </c>
      <c r="N129" s="160">
        <v>1988</v>
      </c>
      <c r="O129" s="160">
        <v>1706</v>
      </c>
      <c r="P129" s="161">
        <f t="shared" si="59"/>
        <v>-0.14185110663983902</v>
      </c>
      <c r="Q129" s="175">
        <f t="shared" si="42"/>
        <v>3.1108433734939762</v>
      </c>
      <c r="R129" s="161">
        <f t="shared" si="60"/>
        <v>4.8454483743889937E-4</v>
      </c>
      <c r="S129" s="160">
        <v>784</v>
      </c>
      <c r="T129" s="160">
        <v>1333</v>
      </c>
      <c r="U129" s="160">
        <v>2573</v>
      </c>
      <c r="V129" s="160">
        <v>2637</v>
      </c>
      <c r="W129" s="160">
        <v>2356</v>
      </c>
      <c r="X129" s="161">
        <f t="shared" si="61"/>
        <v>-0.10656048540007579</v>
      </c>
      <c r="Y129" s="175">
        <f t="shared" si="43"/>
        <v>2.0051020408163267</v>
      </c>
      <c r="Z129" s="161">
        <f t="shared" si="56"/>
        <v>6.812513950032209E-4</v>
      </c>
    </row>
    <row r="130" spans="1:26" x14ac:dyDescent="0.25">
      <c r="A130" s="158" t="s">
        <v>119</v>
      </c>
      <c r="B130" s="159" t="s">
        <v>119</v>
      </c>
      <c r="C130" s="160">
        <v>323</v>
      </c>
      <c r="D130" s="160">
        <v>312</v>
      </c>
      <c r="E130" s="160">
        <v>635</v>
      </c>
      <c r="F130" s="160">
        <v>526</v>
      </c>
      <c r="G130" s="160">
        <v>594</v>
      </c>
      <c r="H130" s="161">
        <f t="shared" si="57"/>
        <v>0.12927756653992395</v>
      </c>
      <c r="I130" s="175">
        <f t="shared" si="35"/>
        <v>0.83900928792569651</v>
      </c>
      <c r="J130" s="161">
        <f t="shared" si="58"/>
        <v>7.8280465465663338E-4</v>
      </c>
      <c r="K130" s="160">
        <v>489</v>
      </c>
      <c r="L130" s="160">
        <v>1045</v>
      </c>
      <c r="M130" s="160">
        <v>1201</v>
      </c>
      <c r="N130" s="160">
        <v>1408</v>
      </c>
      <c r="O130" s="160">
        <v>1497</v>
      </c>
      <c r="P130" s="161">
        <f t="shared" si="59"/>
        <v>6.3210227272727293E-2</v>
      </c>
      <c r="Q130" s="175">
        <f t="shared" si="42"/>
        <v>2.0613496932515338</v>
      </c>
      <c r="R130" s="161">
        <f t="shared" si="60"/>
        <v>4.2518383449357113E-4</v>
      </c>
      <c r="S130" s="160">
        <v>812</v>
      </c>
      <c r="T130" s="160">
        <v>1357</v>
      </c>
      <c r="U130" s="160">
        <v>1836</v>
      </c>
      <c r="V130" s="160">
        <v>1934</v>
      </c>
      <c r="W130" s="160">
        <v>2091</v>
      </c>
      <c r="X130" s="161">
        <f t="shared" si="61"/>
        <v>8.1178903826266913E-2</v>
      </c>
      <c r="Y130" s="175">
        <f t="shared" si="43"/>
        <v>1.5751231527093594</v>
      </c>
      <c r="Z130" s="161">
        <f t="shared" si="56"/>
        <v>4.8611642488375966E-4</v>
      </c>
    </row>
    <row r="131" spans="1:26" x14ac:dyDescent="0.25">
      <c r="A131" s="158" t="s">
        <v>128</v>
      </c>
      <c r="B131" s="159" t="s">
        <v>128</v>
      </c>
      <c r="C131" s="160">
        <v>186</v>
      </c>
      <c r="D131" s="160">
        <v>123</v>
      </c>
      <c r="E131" s="160">
        <v>250</v>
      </c>
      <c r="F131" s="160">
        <v>203</v>
      </c>
      <c r="G131" s="160">
        <v>235</v>
      </c>
      <c r="H131" s="161">
        <f t="shared" si="57"/>
        <v>0.1576354679802956</v>
      </c>
      <c r="I131" s="175">
        <f t="shared" si="35"/>
        <v>0.26344086021505375</v>
      </c>
      <c r="J131" s="161">
        <f t="shared" si="58"/>
        <v>3.0969544418233812E-4</v>
      </c>
      <c r="K131" s="160">
        <v>492</v>
      </c>
      <c r="L131" s="160">
        <v>432</v>
      </c>
      <c r="M131" s="160">
        <v>825</v>
      </c>
      <c r="N131" s="160">
        <v>1138</v>
      </c>
      <c r="O131" s="160">
        <v>1099</v>
      </c>
      <c r="P131" s="161">
        <f t="shared" si="59"/>
        <v>-3.4270650263620417E-2</v>
      </c>
      <c r="Q131" s="175">
        <f t="shared" si="42"/>
        <v>1.2337398373983741</v>
      </c>
      <c r="R131" s="161">
        <f t="shared" si="60"/>
        <v>3.1214230735366374E-4</v>
      </c>
      <c r="S131" s="160">
        <v>678</v>
      </c>
      <c r="T131" s="160">
        <v>555</v>
      </c>
      <c r="U131" s="160">
        <v>1075</v>
      </c>
      <c r="V131" s="160">
        <v>1341</v>
      </c>
      <c r="W131" s="160">
        <v>1334</v>
      </c>
      <c r="X131" s="161">
        <f t="shared" si="61"/>
        <v>-5.2199850857569396E-3</v>
      </c>
      <c r="Y131" s="175">
        <f t="shared" si="43"/>
        <v>0.96755162241887915</v>
      </c>
      <c r="Z131" s="161">
        <f t="shared" si="56"/>
        <v>2.8462699169392246E-4</v>
      </c>
    </row>
    <row r="132" spans="1:26" x14ac:dyDescent="0.25">
      <c r="A132" s="158" t="s">
        <v>131</v>
      </c>
      <c r="B132" s="159" t="s">
        <v>131</v>
      </c>
      <c r="C132" s="160">
        <v>210</v>
      </c>
      <c r="D132" s="160">
        <v>177</v>
      </c>
      <c r="E132" s="160">
        <v>253</v>
      </c>
      <c r="F132" s="160">
        <v>358</v>
      </c>
      <c r="G132" s="160">
        <v>378</v>
      </c>
      <c r="H132" s="161">
        <f t="shared" si="57"/>
        <v>5.5865921787709549E-2</v>
      </c>
      <c r="I132" s="175">
        <f t="shared" si="35"/>
        <v>0.8</v>
      </c>
      <c r="J132" s="161">
        <f t="shared" si="58"/>
        <v>4.9814841659967578E-4</v>
      </c>
      <c r="K132" s="160">
        <v>887</v>
      </c>
      <c r="L132" s="160">
        <v>742</v>
      </c>
      <c r="M132" s="160">
        <v>1632</v>
      </c>
      <c r="N132" s="160">
        <v>2097</v>
      </c>
      <c r="O132" s="160">
        <v>2115</v>
      </c>
      <c r="P132" s="161">
        <f t="shared" si="59"/>
        <v>8.5836909871244149E-3</v>
      </c>
      <c r="Q132" s="175">
        <f t="shared" si="42"/>
        <v>1.3844419391206313</v>
      </c>
      <c r="R132" s="161">
        <f t="shared" si="60"/>
        <v>6.0071062789171872E-4</v>
      </c>
      <c r="S132" s="160">
        <v>1097</v>
      </c>
      <c r="T132" s="160">
        <v>919</v>
      </c>
      <c r="U132" s="160">
        <v>1885</v>
      </c>
      <c r="V132" s="160">
        <v>2455</v>
      </c>
      <c r="W132" s="160">
        <v>2493</v>
      </c>
      <c r="X132" s="161">
        <f t="shared" si="61"/>
        <v>1.5478615071283119E-2</v>
      </c>
      <c r="Y132" s="175">
        <f t="shared" si="43"/>
        <v>1.2725615314494076</v>
      </c>
      <c r="Z132" s="161">
        <f t="shared" si="56"/>
        <v>4.9909012031911057E-4</v>
      </c>
    </row>
    <row r="133" spans="1:26" x14ac:dyDescent="0.25">
      <c r="A133" s="163" t="s">
        <v>145</v>
      </c>
      <c r="B133" s="164" t="s">
        <v>145</v>
      </c>
      <c r="C133" s="165">
        <f>C125-SUM(C126:C132)</f>
        <v>19407</v>
      </c>
      <c r="D133" s="165">
        <f>D125-SUM(D126:D132)</f>
        <v>22363</v>
      </c>
      <c r="E133" s="165">
        <f>E125-SUM(E126:E132)</f>
        <v>30462</v>
      </c>
      <c r="F133" s="165">
        <f>F125-SUM(F126:F132)</f>
        <v>20457</v>
      </c>
      <c r="G133" s="165">
        <f>G125-SUM(G126:G132)</f>
        <v>21316</v>
      </c>
      <c r="H133" s="166">
        <f t="shared" si="57"/>
        <v>4.199051669355236E-2</v>
      </c>
      <c r="I133" s="176">
        <f t="shared" si="35"/>
        <v>9.8366568763848194E-2</v>
      </c>
      <c r="J133" s="166">
        <f t="shared" si="58"/>
        <v>2.809135356676902E-2</v>
      </c>
      <c r="K133" s="165">
        <f>K125-SUM(K126:K132)</f>
        <v>8267</v>
      </c>
      <c r="L133" s="165">
        <f>L125-SUM(L126:L132)</f>
        <v>15390</v>
      </c>
      <c r="M133" s="165">
        <f>M125-SUM(M126:M132)</f>
        <v>26712</v>
      </c>
      <c r="N133" s="165">
        <f>N125-SUM(N126:N132)</f>
        <v>30137</v>
      </c>
      <c r="O133" s="165">
        <f>O125-SUM(O126:O132)</f>
        <v>32365</v>
      </c>
      <c r="P133" s="166">
        <f t="shared" si="59"/>
        <v>7.3929057304974011E-2</v>
      </c>
      <c r="Q133" s="176">
        <f t="shared" si="42"/>
        <v>2.9149631063263577</v>
      </c>
      <c r="R133" s="166">
        <f t="shared" si="60"/>
        <v>9.1924347383997521E-3</v>
      </c>
      <c r="S133" s="165">
        <f>S125-SUM(S126:S132)</f>
        <v>27674</v>
      </c>
      <c r="T133" s="165">
        <f>T125-SUM(T126:T132)</f>
        <v>37753</v>
      </c>
      <c r="U133" s="165">
        <f>U125-SUM(U126:U132)</f>
        <v>57174</v>
      </c>
      <c r="V133" s="165">
        <f>V125-SUM(V126:V132)</f>
        <v>50594</v>
      </c>
      <c r="W133" s="165">
        <f>W125-SUM(W126:W132)</f>
        <v>53681</v>
      </c>
      <c r="X133" s="166">
        <f t="shared" si="61"/>
        <v>6.1015140135193935E-2</v>
      </c>
      <c r="Y133" s="176">
        <f t="shared" si="43"/>
        <v>0.93976295439762958</v>
      </c>
      <c r="Z133" s="166">
        <f t="shared" si="56"/>
        <v>1.513791964940309E-2</v>
      </c>
    </row>
    <row r="134" spans="1:26" x14ac:dyDescent="0.25">
      <c r="A134" s="1"/>
      <c r="B134" s="151" t="s">
        <v>52</v>
      </c>
      <c r="C134" s="149"/>
      <c r="D134" s="149"/>
      <c r="E134" s="149"/>
      <c r="F134" s="149"/>
      <c r="G134" s="149"/>
      <c r="H134" s="149"/>
      <c r="I134" s="149"/>
      <c r="J134" s="149"/>
      <c r="K134" s="149"/>
      <c r="L134" s="149"/>
      <c r="M134" s="149"/>
      <c r="N134" s="149"/>
      <c r="O134" s="149"/>
      <c r="P134" s="149"/>
      <c r="Q134" s="149"/>
      <c r="R134" s="149"/>
      <c r="S134" s="149"/>
      <c r="T134" s="149"/>
      <c r="U134" s="149"/>
      <c r="V134" s="149"/>
      <c r="W134" s="149"/>
      <c r="X134" s="149"/>
      <c r="Y134" s="149"/>
      <c r="Z134" s="149"/>
    </row>
    <row r="135" spans="1:26" x14ac:dyDescent="0.25">
      <c r="A135" s="1" t="s">
        <v>0</v>
      </c>
      <c r="B135" s="152" t="s">
        <v>68</v>
      </c>
      <c r="C135" s="172">
        <f>C136+C139</f>
        <v>0</v>
      </c>
      <c r="D135" s="172">
        <f>D136+D139</f>
        <v>29237</v>
      </c>
      <c r="E135" s="172">
        <f>E136+E139</f>
        <v>47385</v>
      </c>
      <c r="F135" s="172">
        <f>F136+F139</f>
        <v>49008</v>
      </c>
      <c r="G135" s="172">
        <f>G136+G139</f>
        <v>52595</v>
      </c>
      <c r="H135" s="173">
        <f>IFERROR(G135/F135-1,"-")</f>
        <v>7.3192131896833157E-2</v>
      </c>
      <c r="I135" s="173" t="str">
        <f t="shared" si="35"/>
        <v>-</v>
      </c>
      <c r="J135" s="173">
        <f>G135/G$9</f>
        <v>6.9312476113915208E-2</v>
      </c>
      <c r="K135" s="172">
        <f>K136+K139</f>
        <v>0</v>
      </c>
      <c r="L135" s="172">
        <f>L136+L139</f>
        <v>87353</v>
      </c>
      <c r="M135" s="172">
        <f>M136+M139</f>
        <v>163913</v>
      </c>
      <c r="N135" s="172">
        <f>N136+N139</f>
        <v>180038</v>
      </c>
      <c r="O135" s="172">
        <f>O136+O139</f>
        <v>183335</v>
      </c>
      <c r="P135" s="173">
        <f>IFERROR(O135/N135-1,"-")</f>
        <v>1.8312800630977843E-2</v>
      </c>
      <c r="Q135" s="173" t="str">
        <f t="shared" si="42"/>
        <v>-</v>
      </c>
      <c r="R135" s="173">
        <f>O135/O$9</f>
        <v>5.2071528588429436E-2</v>
      </c>
      <c r="S135" s="172">
        <f>S136+S139</f>
        <v>77095</v>
      </c>
      <c r="T135" s="172">
        <f>T136+T139</f>
        <v>116590</v>
      </c>
      <c r="U135" s="172">
        <f>U136+U139</f>
        <v>211298</v>
      </c>
      <c r="V135" s="172">
        <f>V136+V139</f>
        <v>229046</v>
      </c>
      <c r="W135" s="172">
        <f>W136+W139</f>
        <v>235930</v>
      </c>
      <c r="X135" s="173">
        <f>IFERROR(W135/V135-1,"-")</f>
        <v>3.0055098102564459E-2</v>
      </c>
      <c r="Y135" s="173">
        <f t="shared" si="43"/>
        <v>2.0602503404890071</v>
      </c>
      <c r="Z135" s="173">
        <f t="shared" ref="Z135:Z147" si="62">U135/U$9</f>
        <v>5.5945222410179005E-2</v>
      </c>
    </row>
    <row r="136" spans="1:26" x14ac:dyDescent="0.25">
      <c r="A136" s="1" t="s">
        <v>96</v>
      </c>
      <c r="B136" s="155" t="s">
        <v>97</v>
      </c>
      <c r="C136" s="156">
        <v>0</v>
      </c>
      <c r="D136" s="156">
        <v>9339</v>
      </c>
      <c r="E136" s="156">
        <v>5486</v>
      </c>
      <c r="F136" s="156">
        <v>7999</v>
      </c>
      <c r="G136" s="156">
        <v>6701</v>
      </c>
      <c r="H136" s="157">
        <f>IFERROR(G136/F136-1,"-")</f>
        <v>-0.16227028378547315</v>
      </c>
      <c r="I136" s="174" t="str">
        <f t="shared" si="35"/>
        <v>-</v>
      </c>
      <c r="J136" s="157">
        <f>G136/G$9</f>
        <v>8.8309326445355236E-3</v>
      </c>
      <c r="K136" s="156">
        <v>0</v>
      </c>
      <c r="L136" s="156">
        <v>28431</v>
      </c>
      <c r="M136" s="156">
        <v>15843</v>
      </c>
      <c r="N136" s="156">
        <v>15164</v>
      </c>
      <c r="O136" s="156">
        <v>14762</v>
      </c>
      <c r="P136" s="157">
        <f>IFERROR(O136/N136-1,"-")</f>
        <v>-2.6510155631759402E-2</v>
      </c>
      <c r="Q136" s="174" t="str">
        <f t="shared" si="42"/>
        <v>-</v>
      </c>
      <c r="R136" s="157">
        <f>O136/O$9</f>
        <v>4.1927613659279205E-3</v>
      </c>
      <c r="S136" s="156">
        <v>22432</v>
      </c>
      <c r="T136" s="156">
        <v>37770</v>
      </c>
      <c r="U136" s="156">
        <v>21329</v>
      </c>
      <c r="V136" s="156">
        <v>23163</v>
      </c>
      <c r="W136" s="156">
        <v>21463</v>
      </c>
      <c r="X136" s="157">
        <f>IFERROR(W136/V136-1,"-")</f>
        <v>-7.3392911108232983E-2</v>
      </c>
      <c r="Y136" s="174">
        <f t="shared" si="43"/>
        <v>-4.3197218259629078E-2</v>
      </c>
      <c r="Z136" s="157">
        <f t="shared" si="62"/>
        <v>5.6472642845020208E-3</v>
      </c>
    </row>
    <row r="137" spans="1:26" x14ac:dyDescent="0.25">
      <c r="A137" s="158" t="s">
        <v>103</v>
      </c>
      <c r="B137" s="159" t="s">
        <v>103</v>
      </c>
      <c r="C137" s="160">
        <v>0</v>
      </c>
      <c r="D137" s="160">
        <v>9339</v>
      </c>
      <c r="E137" s="160">
        <v>5415</v>
      </c>
      <c r="F137" s="160">
        <v>7999</v>
      </c>
      <c r="G137" s="160">
        <v>6701</v>
      </c>
      <c r="H137" s="161">
        <f>IFERROR(G137/F137-1,"-")</f>
        <v>-0.16227028378547315</v>
      </c>
      <c r="I137" s="175" t="str">
        <f t="shared" si="35"/>
        <v>-</v>
      </c>
      <c r="J137" s="161">
        <f>G137/G$9</f>
        <v>8.8309326445355236E-3</v>
      </c>
      <c r="K137" s="160">
        <v>0</v>
      </c>
      <c r="L137" s="160">
        <v>20185</v>
      </c>
      <c r="M137" s="160">
        <v>9264</v>
      </c>
      <c r="N137" s="160">
        <v>6639</v>
      </c>
      <c r="O137" s="160">
        <v>6321</v>
      </c>
      <c r="P137" s="161">
        <f>IFERROR(O137/N137-1,"-")</f>
        <v>-4.7898779936737412E-2</v>
      </c>
      <c r="Q137" s="175" t="str">
        <f t="shared" si="42"/>
        <v>-</v>
      </c>
      <c r="R137" s="161">
        <f>O137/O$9</f>
        <v>1.7953153091742572E-3</v>
      </c>
      <c r="S137" s="160">
        <v>16366</v>
      </c>
      <c r="T137" s="160">
        <v>29524</v>
      </c>
      <c r="U137" s="160">
        <v>14679</v>
      </c>
      <c r="V137" s="160">
        <v>14638</v>
      </c>
      <c r="W137" s="160">
        <v>13022</v>
      </c>
      <c r="X137" s="161">
        <f>IFERROR(W137/V137-1,"-")</f>
        <v>-0.11039759529990434</v>
      </c>
      <c r="Y137" s="175">
        <f t="shared" si="43"/>
        <v>-0.20432604179396308</v>
      </c>
      <c r="Z137" s="161">
        <f t="shared" si="62"/>
        <v>3.8865484754186863E-3</v>
      </c>
    </row>
    <row r="138" spans="1:26" x14ac:dyDescent="0.25">
      <c r="A138" s="158" t="s">
        <v>100</v>
      </c>
      <c r="B138" s="159" t="s">
        <v>100</v>
      </c>
      <c r="C138" s="160">
        <v>0</v>
      </c>
      <c r="D138" s="160">
        <v>0</v>
      </c>
      <c r="E138" s="160">
        <v>71</v>
      </c>
      <c r="F138" s="160">
        <v>0</v>
      </c>
      <c r="G138" s="160">
        <v>0</v>
      </c>
      <c r="H138" s="161" t="str">
        <f>IFERROR(G138/F138-1,"-")</f>
        <v>-</v>
      </c>
      <c r="I138" s="175" t="str">
        <f t="shared" ref="I138:I161" si="63">IFERROR(G138/C138-1,"-")</f>
        <v>-</v>
      </c>
      <c r="J138" s="161">
        <f>G138/G$9</f>
        <v>0</v>
      </c>
      <c r="K138" s="160">
        <v>0</v>
      </c>
      <c r="L138" s="160">
        <v>8246</v>
      </c>
      <c r="M138" s="160">
        <v>6579</v>
      </c>
      <c r="N138" s="160">
        <v>8525</v>
      </c>
      <c r="O138" s="160">
        <v>8441</v>
      </c>
      <c r="P138" s="161">
        <f>IFERROR(O138/N138-1,"-")</f>
        <v>-9.8533724340176265E-3</v>
      </c>
      <c r="Q138" s="175" t="str">
        <f t="shared" si="42"/>
        <v>-</v>
      </c>
      <c r="R138" s="161">
        <f>O138/O$9</f>
        <v>2.3974460567536631E-3</v>
      </c>
      <c r="S138" s="160">
        <v>6066</v>
      </c>
      <c r="T138" s="160">
        <v>8246</v>
      </c>
      <c r="U138" s="160">
        <v>6650</v>
      </c>
      <c r="V138" s="160">
        <v>8525</v>
      </c>
      <c r="W138" s="160">
        <v>8441</v>
      </c>
      <c r="X138" s="161">
        <f>IFERROR(W138/V138-1,"-")</f>
        <v>-9.8533724340176265E-3</v>
      </c>
      <c r="Y138" s="175">
        <f t="shared" si="43"/>
        <v>0.39152654137817344</v>
      </c>
      <c r="Z138" s="161">
        <f t="shared" si="62"/>
        <v>1.7607158090833343E-3</v>
      </c>
    </row>
    <row r="139" spans="1:26" x14ac:dyDescent="0.25">
      <c r="A139" s="1" t="s">
        <v>146</v>
      </c>
      <c r="B139" s="155" t="s">
        <v>107</v>
      </c>
      <c r="C139" s="156">
        <v>0</v>
      </c>
      <c r="D139" s="156">
        <v>19898</v>
      </c>
      <c r="E139" s="156">
        <v>41899</v>
      </c>
      <c r="F139" s="156">
        <v>41009</v>
      </c>
      <c r="G139" s="156">
        <v>45894</v>
      </c>
      <c r="H139" s="157">
        <f>IFERROR(G139/F139-1,"-")</f>
        <v>0.11912019312833766</v>
      </c>
      <c r="I139" s="174" t="str">
        <f t="shared" si="63"/>
        <v>-</v>
      </c>
      <c r="J139" s="157">
        <f>G139/G$9</f>
        <v>6.0481543469379687E-2</v>
      </c>
      <c r="K139" s="156">
        <v>0</v>
      </c>
      <c r="L139" s="156">
        <v>58922</v>
      </c>
      <c r="M139" s="156">
        <v>148070</v>
      </c>
      <c r="N139" s="156">
        <v>164874</v>
      </c>
      <c r="O139" s="156">
        <v>168573</v>
      </c>
      <c r="P139" s="157">
        <f>IFERROR(O139/N139-1,"-")</f>
        <v>2.2435314239965143E-2</v>
      </c>
      <c r="Q139" s="174" t="str">
        <f t="shared" si="42"/>
        <v>-</v>
      </c>
      <c r="R139" s="157">
        <f>O139/O$9</f>
        <v>4.7878767222501513E-2</v>
      </c>
      <c r="S139" s="156">
        <v>54663</v>
      </c>
      <c r="T139" s="156">
        <v>78820</v>
      </c>
      <c r="U139" s="156">
        <v>189969</v>
      </c>
      <c r="V139" s="156">
        <v>205883</v>
      </c>
      <c r="W139" s="156">
        <v>214467</v>
      </c>
      <c r="X139" s="157">
        <f>IFERROR(W139/V139-1,"-")</f>
        <v>4.1693583248738397E-2</v>
      </c>
      <c r="Y139" s="174">
        <f t="shared" si="43"/>
        <v>2.9234399868283849</v>
      </c>
      <c r="Z139" s="157">
        <f t="shared" si="62"/>
        <v>5.0297958125676979E-2</v>
      </c>
    </row>
    <row r="140" spans="1:26" x14ac:dyDescent="0.25">
      <c r="A140" s="158" t="s">
        <v>110</v>
      </c>
      <c r="B140" s="159" t="s">
        <v>110</v>
      </c>
      <c r="C140" s="160">
        <v>0</v>
      </c>
      <c r="D140" s="160">
        <v>8616</v>
      </c>
      <c r="E140" s="160">
        <v>22074</v>
      </c>
      <c r="F140" s="160">
        <v>20929</v>
      </c>
      <c r="G140" s="160">
        <v>26456</v>
      </c>
      <c r="H140" s="161">
        <f t="shared" ref="H140:H147" si="64">IFERROR(G140/F140-1,"-")</f>
        <v>0.26408332935161738</v>
      </c>
      <c r="I140" s="175" t="str">
        <f t="shared" si="63"/>
        <v>-</v>
      </c>
      <c r="J140" s="161">
        <f t="shared" ref="J140:J147" si="65">G140/G$9</f>
        <v>3.4865117750161434E-2</v>
      </c>
      <c r="K140" s="160">
        <v>0</v>
      </c>
      <c r="L140" s="160">
        <v>13586</v>
      </c>
      <c r="M140" s="160">
        <v>60071</v>
      </c>
      <c r="N140" s="160">
        <v>68669</v>
      </c>
      <c r="O140" s="160">
        <v>70810</v>
      </c>
      <c r="P140" s="161">
        <f t="shared" ref="P140:P147" si="66">IFERROR(O140/N140-1,"-")</f>
        <v>3.1178552185120001E-2</v>
      </c>
      <c r="Q140" s="175" t="str">
        <f t="shared" si="42"/>
        <v>-</v>
      </c>
      <c r="R140" s="161">
        <f t="shared" ref="R140:R147" si="67">O140/O$9</f>
        <v>2.0111735017027236E-2</v>
      </c>
      <c r="S140" s="160">
        <v>18862</v>
      </c>
      <c r="T140" s="160">
        <v>22202</v>
      </c>
      <c r="U140" s="160">
        <v>82145</v>
      </c>
      <c r="V140" s="160">
        <v>89598</v>
      </c>
      <c r="W140" s="160">
        <v>97266</v>
      </c>
      <c r="X140" s="161">
        <f t="shared" ref="X140:X147" si="68">IFERROR(W140/V140-1,"-")</f>
        <v>8.5582267461327355E-2</v>
      </c>
      <c r="Y140" s="175">
        <f t="shared" si="43"/>
        <v>4.1567172092036904</v>
      </c>
      <c r="Z140" s="161">
        <f t="shared" si="62"/>
        <v>2.1749473704834661E-2</v>
      </c>
    </row>
    <row r="141" spans="1:26" x14ac:dyDescent="0.25">
      <c r="A141" s="158" t="s">
        <v>113</v>
      </c>
      <c r="B141" s="159" t="s">
        <v>113</v>
      </c>
      <c r="C141" s="160">
        <v>0</v>
      </c>
      <c r="D141" s="160">
        <v>1411</v>
      </c>
      <c r="E141" s="160">
        <v>1553</v>
      </c>
      <c r="F141" s="160">
        <v>1880</v>
      </c>
      <c r="G141" s="160">
        <v>1664</v>
      </c>
      <c r="H141" s="161">
        <f t="shared" si="64"/>
        <v>-0.11489361702127665</v>
      </c>
      <c r="I141" s="175" t="str">
        <f t="shared" si="63"/>
        <v>-</v>
      </c>
      <c r="J141" s="161">
        <f t="shared" si="65"/>
        <v>2.1929073154017473E-3</v>
      </c>
      <c r="K141" s="160">
        <v>0</v>
      </c>
      <c r="L141" s="160">
        <v>6291</v>
      </c>
      <c r="M141" s="160">
        <v>11965</v>
      </c>
      <c r="N141" s="160">
        <v>16181</v>
      </c>
      <c r="O141" s="160">
        <v>16944</v>
      </c>
      <c r="P141" s="161">
        <f t="shared" si="66"/>
        <v>4.7154069587788117E-2</v>
      </c>
      <c r="Q141" s="175" t="str">
        <f t="shared" si="42"/>
        <v>-</v>
      </c>
      <c r="R141" s="161">
        <f t="shared" si="67"/>
        <v>4.8125015976346486E-3</v>
      </c>
      <c r="S141" s="160">
        <v>5188</v>
      </c>
      <c r="T141" s="160">
        <v>7702</v>
      </c>
      <c r="U141" s="160">
        <v>13518</v>
      </c>
      <c r="V141" s="160">
        <v>18061</v>
      </c>
      <c r="W141" s="160">
        <v>18608</v>
      </c>
      <c r="X141" s="161">
        <f t="shared" si="68"/>
        <v>3.0286252145506953E-2</v>
      </c>
      <c r="Y141" s="175">
        <f t="shared" si="43"/>
        <v>2.5867386276021587</v>
      </c>
      <c r="Z141" s="161">
        <f t="shared" si="62"/>
        <v>3.5791513243892499E-3</v>
      </c>
    </row>
    <row r="142" spans="1:26" x14ac:dyDescent="0.25">
      <c r="A142" s="158" t="s">
        <v>116</v>
      </c>
      <c r="B142" s="159" t="s">
        <v>116</v>
      </c>
      <c r="C142" s="160">
        <v>0</v>
      </c>
      <c r="D142" s="160">
        <v>2188</v>
      </c>
      <c r="E142" s="160">
        <v>5813</v>
      </c>
      <c r="F142" s="160">
        <v>5043</v>
      </c>
      <c r="G142" s="160">
        <v>5027</v>
      </c>
      <c r="H142" s="161">
        <f t="shared" si="64"/>
        <v>-3.1727146539758388E-3</v>
      </c>
      <c r="I142" s="175" t="str">
        <f t="shared" si="63"/>
        <v>-</v>
      </c>
      <c r="J142" s="161">
        <f t="shared" si="65"/>
        <v>6.6248467995941012E-3</v>
      </c>
      <c r="K142" s="160">
        <v>0</v>
      </c>
      <c r="L142" s="160">
        <v>10850</v>
      </c>
      <c r="M142" s="160">
        <v>17158</v>
      </c>
      <c r="N142" s="160">
        <v>15976</v>
      </c>
      <c r="O142" s="160">
        <v>15484</v>
      </c>
      <c r="P142" s="161">
        <f t="shared" si="66"/>
        <v>-3.0796194291437207E-2</v>
      </c>
      <c r="Q142" s="175" t="str">
        <f t="shared" si="42"/>
        <v>-</v>
      </c>
      <c r="R142" s="161">
        <f t="shared" si="67"/>
        <v>4.3978266488299634E-3</v>
      </c>
      <c r="S142" s="160">
        <v>5864</v>
      </c>
      <c r="T142" s="160">
        <v>13038</v>
      </c>
      <c r="U142" s="160">
        <v>22971</v>
      </c>
      <c r="V142" s="160">
        <v>21019</v>
      </c>
      <c r="W142" s="160">
        <v>20511</v>
      </c>
      <c r="X142" s="161">
        <f t="shared" si="68"/>
        <v>-2.4168609353442116E-2</v>
      </c>
      <c r="Y142" s="175">
        <f t="shared" si="43"/>
        <v>2.4977830832196455</v>
      </c>
      <c r="Z142" s="161">
        <f t="shared" si="62"/>
        <v>6.0820154662335748E-3</v>
      </c>
    </row>
    <row r="143" spans="1:26" x14ac:dyDescent="0.25">
      <c r="A143" s="158" t="s">
        <v>123</v>
      </c>
      <c r="B143" s="159" t="s">
        <v>123</v>
      </c>
      <c r="C143" s="160">
        <v>0</v>
      </c>
      <c r="D143" s="160">
        <v>2549</v>
      </c>
      <c r="E143" s="160">
        <v>4370</v>
      </c>
      <c r="F143" s="160">
        <v>3569</v>
      </c>
      <c r="G143" s="160">
        <v>2063</v>
      </c>
      <c r="H143" s="161">
        <f t="shared" si="64"/>
        <v>-0.42196693751751191</v>
      </c>
      <c r="I143" s="175" t="str">
        <f t="shared" si="63"/>
        <v>-</v>
      </c>
      <c r="J143" s="161">
        <f t="shared" si="65"/>
        <v>2.7187306440347387E-3</v>
      </c>
      <c r="K143" s="160">
        <v>0</v>
      </c>
      <c r="L143" s="160">
        <v>1210</v>
      </c>
      <c r="M143" s="160">
        <v>3896</v>
      </c>
      <c r="N143" s="160">
        <v>3738</v>
      </c>
      <c r="O143" s="160">
        <v>3046</v>
      </c>
      <c r="P143" s="161">
        <f t="shared" si="66"/>
        <v>-0.18512573568753343</v>
      </c>
      <c r="Q143" s="175" t="str">
        <f t="shared" si="42"/>
        <v>-</v>
      </c>
      <c r="R143" s="161">
        <f t="shared" si="67"/>
        <v>8.6513691373908989E-4</v>
      </c>
      <c r="S143" s="160">
        <v>782</v>
      </c>
      <c r="T143" s="160">
        <v>3759</v>
      </c>
      <c r="U143" s="160">
        <v>8266</v>
      </c>
      <c r="V143" s="160">
        <v>7307</v>
      </c>
      <c r="W143" s="160">
        <v>5109</v>
      </c>
      <c r="X143" s="161">
        <f t="shared" si="68"/>
        <v>-0.30080744491583411</v>
      </c>
      <c r="Y143" s="175">
        <f t="shared" si="43"/>
        <v>5.5332480818414318</v>
      </c>
      <c r="Z143" s="161">
        <f t="shared" si="62"/>
        <v>2.1885829891553146E-3</v>
      </c>
    </row>
    <row r="144" spans="1:26" x14ac:dyDescent="0.25">
      <c r="A144" s="158" t="s">
        <v>119</v>
      </c>
      <c r="B144" s="159" t="s">
        <v>119</v>
      </c>
      <c r="C144" s="160">
        <v>0</v>
      </c>
      <c r="D144" s="160">
        <v>902</v>
      </c>
      <c r="E144" s="160">
        <v>435</v>
      </c>
      <c r="F144" s="160">
        <v>1205</v>
      </c>
      <c r="G144" s="160">
        <v>791</v>
      </c>
      <c r="H144" s="161">
        <f t="shared" si="64"/>
        <v>-0.34356846473029046</v>
      </c>
      <c r="I144" s="175" t="str">
        <f t="shared" si="63"/>
        <v>-</v>
      </c>
      <c r="J144" s="161">
        <f t="shared" si="65"/>
        <v>1.0424216865882105E-3</v>
      </c>
      <c r="K144" s="160">
        <v>0</v>
      </c>
      <c r="L144" s="160">
        <v>1918</v>
      </c>
      <c r="M144" s="160">
        <v>3253</v>
      </c>
      <c r="N144" s="160">
        <v>3495</v>
      </c>
      <c r="O144" s="160">
        <v>3931</v>
      </c>
      <c r="P144" s="161">
        <f t="shared" si="66"/>
        <v>0.12474964234620889</v>
      </c>
      <c r="Q144" s="175" t="str">
        <f t="shared" si="42"/>
        <v>-</v>
      </c>
      <c r="R144" s="161">
        <f t="shared" si="67"/>
        <v>1.1164980984597382E-3</v>
      </c>
      <c r="S144" s="160">
        <v>1676</v>
      </c>
      <c r="T144" s="160">
        <v>2820</v>
      </c>
      <c r="U144" s="160">
        <v>3688</v>
      </c>
      <c r="V144" s="160">
        <v>4700</v>
      </c>
      <c r="W144" s="160">
        <v>4722</v>
      </c>
      <c r="X144" s="161">
        <f t="shared" si="68"/>
        <v>4.6808510638298717E-3</v>
      </c>
      <c r="Y144" s="175">
        <f t="shared" si="43"/>
        <v>1.8174224343675416</v>
      </c>
      <c r="Z144" s="161">
        <f t="shared" si="62"/>
        <v>9.7646915848110323E-4</v>
      </c>
    </row>
    <row r="145" spans="1:26" x14ac:dyDescent="0.25">
      <c r="A145" s="158" t="s">
        <v>128</v>
      </c>
      <c r="B145" s="159" t="s">
        <v>128</v>
      </c>
      <c r="C145" s="160">
        <v>0</v>
      </c>
      <c r="D145" s="160">
        <v>93</v>
      </c>
      <c r="E145" s="160">
        <v>79</v>
      </c>
      <c r="F145" s="160">
        <v>139</v>
      </c>
      <c r="G145" s="160">
        <v>6</v>
      </c>
      <c r="H145" s="161">
        <f t="shared" si="64"/>
        <v>-0.95683453237410077</v>
      </c>
      <c r="I145" s="175" t="str">
        <f t="shared" si="63"/>
        <v>-</v>
      </c>
      <c r="J145" s="161">
        <f t="shared" si="65"/>
        <v>7.9071177238043773E-6</v>
      </c>
      <c r="K145" s="160">
        <v>0</v>
      </c>
      <c r="L145" s="160">
        <v>1104</v>
      </c>
      <c r="M145" s="160">
        <v>2826</v>
      </c>
      <c r="N145" s="160">
        <v>3106</v>
      </c>
      <c r="O145" s="160">
        <v>3058</v>
      </c>
      <c r="P145" s="161">
        <f t="shared" si="66"/>
        <v>-1.5453960077269846E-2</v>
      </c>
      <c r="Q145" s="175" t="str">
        <f t="shared" si="42"/>
        <v>-</v>
      </c>
      <c r="R145" s="161">
        <f t="shared" si="67"/>
        <v>8.6854520098953944E-4</v>
      </c>
      <c r="S145" s="160">
        <v>1597</v>
      </c>
      <c r="T145" s="160">
        <v>1197</v>
      </c>
      <c r="U145" s="160">
        <v>2905</v>
      </c>
      <c r="V145" s="160">
        <v>3245</v>
      </c>
      <c r="W145" s="160">
        <v>3064</v>
      </c>
      <c r="X145" s="161">
        <f t="shared" si="68"/>
        <v>-5.5778120184899804E-2</v>
      </c>
      <c r="Y145" s="175">
        <f t="shared" si="43"/>
        <v>0.9185973700688792</v>
      </c>
      <c r="Z145" s="161">
        <f t="shared" si="62"/>
        <v>7.6915480081008814E-4</v>
      </c>
    </row>
    <row r="146" spans="1:26" x14ac:dyDescent="0.25">
      <c r="A146" s="158" t="s">
        <v>131</v>
      </c>
      <c r="B146" s="159" t="s">
        <v>131</v>
      </c>
      <c r="C146" s="160">
        <v>0</v>
      </c>
      <c r="D146" s="160">
        <v>75</v>
      </c>
      <c r="E146" s="160">
        <v>49</v>
      </c>
      <c r="F146" s="160">
        <v>93</v>
      </c>
      <c r="G146" s="160">
        <v>54</v>
      </c>
      <c r="H146" s="161">
        <f t="shared" si="64"/>
        <v>-0.41935483870967738</v>
      </c>
      <c r="I146" s="175" t="str">
        <f t="shared" si="63"/>
        <v>-</v>
      </c>
      <c r="J146" s="161">
        <f t="shared" si="65"/>
        <v>7.1164059514239401E-5</v>
      </c>
      <c r="K146" s="160">
        <v>0</v>
      </c>
      <c r="L146" s="160">
        <v>715</v>
      </c>
      <c r="M146" s="160">
        <v>1637</v>
      </c>
      <c r="N146" s="160">
        <v>2212</v>
      </c>
      <c r="O146" s="160">
        <v>1992</v>
      </c>
      <c r="P146" s="161">
        <f t="shared" si="66"/>
        <v>-9.9457504520795714E-2</v>
      </c>
      <c r="Q146" s="175" t="str">
        <f t="shared" si="42"/>
        <v>-</v>
      </c>
      <c r="R146" s="161">
        <f t="shared" si="67"/>
        <v>5.6577568357461165E-4</v>
      </c>
      <c r="S146" s="160">
        <v>3384</v>
      </c>
      <c r="T146" s="160">
        <v>790</v>
      </c>
      <c r="U146" s="160">
        <v>1686</v>
      </c>
      <c r="V146" s="160">
        <v>2305</v>
      </c>
      <c r="W146" s="160">
        <v>2046</v>
      </c>
      <c r="X146" s="161">
        <f t="shared" si="68"/>
        <v>-0.11236442516268985</v>
      </c>
      <c r="Y146" s="175">
        <f t="shared" si="43"/>
        <v>-0.39539007092198586</v>
      </c>
      <c r="Z146" s="161">
        <f t="shared" si="62"/>
        <v>4.4640103069391E-4</v>
      </c>
    </row>
    <row r="147" spans="1:26" x14ac:dyDescent="0.25">
      <c r="A147" s="163" t="s">
        <v>145</v>
      </c>
      <c r="B147" s="164" t="s">
        <v>145</v>
      </c>
      <c r="C147" s="165">
        <f>C139-SUM(C140:C146)</f>
        <v>0</v>
      </c>
      <c r="D147" s="165">
        <f>D139-SUM(D140:D146)</f>
        <v>4064</v>
      </c>
      <c r="E147" s="165">
        <f>E139-SUM(E140:E146)</f>
        <v>7526</v>
      </c>
      <c r="F147" s="165">
        <f>F139-SUM(F140:F146)</f>
        <v>8151</v>
      </c>
      <c r="G147" s="165">
        <f>G139-SUM(G140:G146)</f>
        <v>9833</v>
      </c>
      <c r="H147" s="166">
        <f t="shared" si="64"/>
        <v>0.20635504846031161</v>
      </c>
      <c r="I147" s="176" t="str">
        <f t="shared" si="63"/>
        <v>-</v>
      </c>
      <c r="J147" s="166">
        <f t="shared" si="65"/>
        <v>1.2958448096361408E-2</v>
      </c>
      <c r="K147" s="165">
        <f>K139-SUM(K140:K146)</f>
        <v>0</v>
      </c>
      <c r="L147" s="165">
        <f>L139-SUM(L140:L146)</f>
        <v>23248</v>
      </c>
      <c r="M147" s="165">
        <f>M139-SUM(M140:M146)</f>
        <v>47264</v>
      </c>
      <c r="N147" s="165">
        <f>N139-SUM(N140:N146)</f>
        <v>51497</v>
      </c>
      <c r="O147" s="165">
        <f>O139-SUM(O140:O146)</f>
        <v>53308</v>
      </c>
      <c r="P147" s="166">
        <f t="shared" si="66"/>
        <v>3.5167097112453138E-2</v>
      </c>
      <c r="Q147" s="176" t="str">
        <f t="shared" si="42"/>
        <v>-</v>
      </c>
      <c r="R147" s="166">
        <f t="shared" si="67"/>
        <v>1.5140748062246686E-2</v>
      </c>
      <c r="S147" s="165">
        <f>S139-SUM(S140:S146)</f>
        <v>17310</v>
      </c>
      <c r="T147" s="165">
        <f>T139-SUM(T140:T146)</f>
        <v>27312</v>
      </c>
      <c r="U147" s="165">
        <f>U139-SUM(U140:U146)</f>
        <v>54790</v>
      </c>
      <c r="V147" s="165">
        <f>V139-SUM(V140:V146)</f>
        <v>59648</v>
      </c>
      <c r="W147" s="165">
        <f>W139-SUM(W140:W146)</f>
        <v>63141</v>
      </c>
      <c r="X147" s="166">
        <f t="shared" si="68"/>
        <v>5.8560219957081605E-2</v>
      </c>
      <c r="Y147" s="176">
        <f t="shared" si="43"/>
        <v>2.6476603119584055</v>
      </c>
      <c r="Z147" s="166">
        <f t="shared" si="62"/>
        <v>1.4506709651079081E-2</v>
      </c>
    </row>
    <row r="148" spans="1:26" x14ac:dyDescent="0.25">
      <c r="A148" s="1"/>
      <c r="B148" s="151" t="s">
        <v>53</v>
      </c>
      <c r="C148" s="149"/>
      <c r="D148" s="149"/>
      <c r="E148" s="149"/>
      <c r="F148" s="149"/>
      <c r="G148" s="149"/>
      <c r="H148" s="149"/>
      <c r="I148" s="149"/>
      <c r="J148" s="149"/>
      <c r="K148" s="149"/>
      <c r="L148" s="149"/>
      <c r="M148" s="149"/>
      <c r="N148" s="149"/>
      <c r="O148" s="149"/>
      <c r="P148" s="149"/>
      <c r="Q148" s="149"/>
      <c r="R148" s="149"/>
      <c r="S148" s="149"/>
      <c r="T148" s="149"/>
      <c r="U148" s="149"/>
      <c r="V148" s="149"/>
      <c r="W148" s="149"/>
      <c r="X148" s="149"/>
      <c r="Y148" s="149"/>
      <c r="Z148" s="149"/>
    </row>
    <row r="149" spans="1:26" x14ac:dyDescent="0.25">
      <c r="A149" s="1" t="s">
        <v>0</v>
      </c>
      <c r="B149" s="152" t="s">
        <v>68</v>
      </c>
      <c r="C149" s="172">
        <f>C150+C153</f>
        <v>11846</v>
      </c>
      <c r="D149" s="172">
        <f>D150+D153</f>
        <v>15189</v>
      </c>
      <c r="E149" s="172">
        <f>E150+E153</f>
        <v>30370</v>
      </c>
      <c r="F149" s="172">
        <f>F150+F153</f>
        <v>30695</v>
      </c>
      <c r="G149" s="172">
        <f>G150+G153</f>
        <v>35796</v>
      </c>
      <c r="H149" s="173">
        <f>IFERROR(G149/F149-1,"-")</f>
        <v>0.16618341749470589</v>
      </c>
      <c r="I149" s="173">
        <f t="shared" si="63"/>
        <v>2.0217795036299173</v>
      </c>
      <c r="J149" s="173">
        <f>G149/G$9</f>
        <v>4.717386434021692E-2</v>
      </c>
      <c r="K149" s="172">
        <f>K150+K153</f>
        <v>30203</v>
      </c>
      <c r="L149" s="172">
        <f>L150+L153</f>
        <v>55599</v>
      </c>
      <c r="M149" s="172">
        <f>M150+M153</f>
        <v>77698</v>
      </c>
      <c r="N149" s="172">
        <f>N150+N153</f>
        <v>83047</v>
      </c>
      <c r="O149" s="172">
        <f>O150+O153</f>
        <v>81300</v>
      </c>
      <c r="P149" s="173">
        <f>IFERROR(O149/N149-1,"-")</f>
        <v>-2.1036280660348905E-2</v>
      </c>
      <c r="Q149" s="173">
        <f t="shared" si="42"/>
        <v>1.6917855842134886</v>
      </c>
      <c r="R149" s="173">
        <f>O149/O$9</f>
        <v>2.3091146121795143E-2</v>
      </c>
      <c r="S149" s="172">
        <f>S150+S153</f>
        <v>42049</v>
      </c>
      <c r="T149" s="172">
        <f>T150+T153</f>
        <v>70788</v>
      </c>
      <c r="U149" s="172">
        <f>U150+U153</f>
        <v>108068</v>
      </c>
      <c r="V149" s="172">
        <f>V150+V153</f>
        <v>113742</v>
      </c>
      <c r="W149" s="172">
        <f>W150+W153</f>
        <v>117096</v>
      </c>
      <c r="X149" s="173">
        <f>IFERROR(W149/V149-1,"-")</f>
        <v>2.948778815213382E-2</v>
      </c>
      <c r="Y149" s="173">
        <f t="shared" si="43"/>
        <v>1.7847511236890297</v>
      </c>
      <c r="Z149" s="173">
        <f t="shared" ref="Z149:Z161" si="69">U149/U$9</f>
        <v>2.8613088128724477E-2</v>
      </c>
    </row>
    <row r="150" spans="1:26" x14ac:dyDescent="0.25">
      <c r="A150" s="1" t="s">
        <v>96</v>
      </c>
      <c r="B150" s="155" t="s">
        <v>97</v>
      </c>
      <c r="C150" s="156">
        <v>8198</v>
      </c>
      <c r="D150" s="156">
        <v>8139</v>
      </c>
      <c r="E150" s="156">
        <v>18008</v>
      </c>
      <c r="F150" s="156">
        <v>17683</v>
      </c>
      <c r="G150" s="156">
        <v>18511</v>
      </c>
      <c r="H150" s="157">
        <f>IFERROR(G150/F150-1,"-")</f>
        <v>4.6824633829101403E-2</v>
      </c>
      <c r="I150" s="174">
        <f t="shared" si="63"/>
        <v>1.2579897535984386</v>
      </c>
      <c r="J150" s="157">
        <f>G150/G$9</f>
        <v>2.4394776030890474E-2</v>
      </c>
      <c r="K150" s="156">
        <v>13645</v>
      </c>
      <c r="L150" s="156">
        <v>31999</v>
      </c>
      <c r="M150" s="156">
        <v>38624</v>
      </c>
      <c r="N150" s="156">
        <v>38986</v>
      </c>
      <c r="O150" s="156">
        <v>34388</v>
      </c>
      <c r="P150" s="157">
        <f>IFERROR(O150/N150-1,"-")</f>
        <v>-0.11793977325193661</v>
      </c>
      <c r="Q150" s="174">
        <f t="shared" si="42"/>
        <v>1.5201905459875413</v>
      </c>
      <c r="R150" s="157">
        <f>O150/O$9</f>
        <v>9.7670151640380249E-3</v>
      </c>
      <c r="S150" s="156">
        <v>21843</v>
      </c>
      <c r="T150" s="156">
        <v>40138</v>
      </c>
      <c r="U150" s="156">
        <v>56632</v>
      </c>
      <c r="V150" s="156">
        <v>56669</v>
      </c>
      <c r="W150" s="156">
        <v>52899</v>
      </c>
      <c r="X150" s="157">
        <f>IFERROR(W150/V150-1,"-")</f>
        <v>-6.6526672431135192E-2</v>
      </c>
      <c r="Y150" s="174">
        <f t="shared" si="43"/>
        <v>1.4217827221535502</v>
      </c>
      <c r="Z150" s="157">
        <f t="shared" si="69"/>
        <v>1.4994414691730434E-2</v>
      </c>
    </row>
    <row r="151" spans="1:26" x14ac:dyDescent="0.25">
      <c r="A151" s="158" t="s">
        <v>103</v>
      </c>
      <c r="B151" s="159" t="s">
        <v>103</v>
      </c>
      <c r="C151" s="160">
        <v>3239</v>
      </c>
      <c r="D151" s="160">
        <v>4159</v>
      </c>
      <c r="E151" s="160">
        <v>6621</v>
      </c>
      <c r="F151" s="160">
        <v>5819</v>
      </c>
      <c r="G151" s="160">
        <v>5597</v>
      </c>
      <c r="H151" s="161">
        <f>IFERROR(G151/F151-1,"-")</f>
        <v>-3.8150885031792425E-2</v>
      </c>
      <c r="I151" s="175">
        <f t="shared" si="63"/>
        <v>0.72800246989811668</v>
      </c>
      <c r="J151" s="161">
        <f>G151/G$9</f>
        <v>7.3760229833555171E-3</v>
      </c>
      <c r="K151" s="160">
        <v>11144</v>
      </c>
      <c r="L151" s="160">
        <v>28141</v>
      </c>
      <c r="M151" s="160">
        <v>34603</v>
      </c>
      <c r="N151" s="160">
        <v>36698</v>
      </c>
      <c r="O151" s="160">
        <v>31174</v>
      </c>
      <c r="P151" s="161">
        <f>IFERROR(O151/N151-1,"-")</f>
        <v>-0.15052591421875849</v>
      </c>
      <c r="Q151" s="175">
        <f t="shared" ref="Q151:Q161" si="70">IFERROR(O151/K151-1,"-")</f>
        <v>1.7973797559224693</v>
      </c>
      <c r="R151" s="161">
        <f>O151/O$9</f>
        <v>8.8541622287926433E-3</v>
      </c>
      <c r="S151" s="160">
        <v>14383</v>
      </c>
      <c r="T151" s="160">
        <v>32300</v>
      </c>
      <c r="U151" s="160">
        <v>41224</v>
      </c>
      <c r="V151" s="160">
        <v>42517</v>
      </c>
      <c r="W151" s="160">
        <v>36771</v>
      </c>
      <c r="X151" s="161">
        <f>IFERROR(W151/V151-1,"-")</f>
        <v>-0.1351459416233507</v>
      </c>
      <c r="Y151" s="175">
        <f t="shared" ref="Y151:Y161" si="71">IFERROR(W151/S151-1,"-")</f>
        <v>1.5565598275742194</v>
      </c>
      <c r="Z151" s="161">
        <f t="shared" si="69"/>
        <v>1.0914849400549079E-2</v>
      </c>
    </row>
    <row r="152" spans="1:26" x14ac:dyDescent="0.25">
      <c r="A152" s="158" t="s">
        <v>100</v>
      </c>
      <c r="B152" s="159" t="s">
        <v>100</v>
      </c>
      <c r="C152" s="160">
        <v>4959</v>
      </c>
      <c r="D152" s="160">
        <v>3980</v>
      </c>
      <c r="E152" s="160">
        <v>11387</v>
      </c>
      <c r="F152" s="160">
        <v>11864</v>
      </c>
      <c r="G152" s="160">
        <v>12914</v>
      </c>
      <c r="H152" s="161">
        <f>IFERROR(G152/F152-1,"-")</f>
        <v>8.8503034389750601E-2</v>
      </c>
      <c r="I152" s="175">
        <f t="shared" si="63"/>
        <v>1.6041540633192177</v>
      </c>
      <c r="J152" s="161">
        <f>G152/G$9</f>
        <v>1.7018753047534956E-2</v>
      </c>
      <c r="K152" s="160">
        <v>2501</v>
      </c>
      <c r="L152" s="160">
        <v>3858</v>
      </c>
      <c r="M152" s="160">
        <v>4021</v>
      </c>
      <c r="N152" s="160">
        <v>2288</v>
      </c>
      <c r="O152" s="160">
        <v>3214</v>
      </c>
      <c r="P152" s="161">
        <f>IFERROR(O152/N152-1,"-")</f>
        <v>0.4047202797202798</v>
      </c>
      <c r="Q152" s="175">
        <f t="shared" si="70"/>
        <v>0.28508596561375454</v>
      </c>
      <c r="R152" s="161">
        <f>O152/O$9</f>
        <v>9.1285293524538246E-4</v>
      </c>
      <c r="S152" s="160">
        <v>7460</v>
      </c>
      <c r="T152" s="160">
        <v>7838</v>
      </c>
      <c r="U152" s="160">
        <v>15408</v>
      </c>
      <c r="V152" s="160">
        <v>14152</v>
      </c>
      <c r="W152" s="160">
        <v>16128</v>
      </c>
      <c r="X152" s="161">
        <f>IFERROR(W152/V152-1,"-")</f>
        <v>0.13962690785754672</v>
      </c>
      <c r="Y152" s="175">
        <f t="shared" si="71"/>
        <v>1.1619302949061661</v>
      </c>
      <c r="Z152" s="161">
        <f t="shared" si="69"/>
        <v>4.0795652911813553E-3</v>
      </c>
    </row>
    <row r="153" spans="1:26" x14ac:dyDescent="0.25">
      <c r="A153" s="1" t="s">
        <v>146</v>
      </c>
      <c r="B153" s="155" t="s">
        <v>107</v>
      </c>
      <c r="C153" s="156">
        <v>3648</v>
      </c>
      <c r="D153" s="156">
        <v>7050</v>
      </c>
      <c r="E153" s="156">
        <v>12362</v>
      </c>
      <c r="F153" s="156">
        <v>13012</v>
      </c>
      <c r="G153" s="156">
        <v>17285</v>
      </c>
      <c r="H153" s="157">
        <f>IFERROR(G153/F153-1,"-")</f>
        <v>0.3283891792191822</v>
      </c>
      <c r="I153" s="174">
        <f t="shared" si="63"/>
        <v>3.7382127192982457</v>
      </c>
      <c r="J153" s="157">
        <f>G153/G$9</f>
        <v>2.2779088309326446E-2</v>
      </c>
      <c r="K153" s="156">
        <v>16558</v>
      </c>
      <c r="L153" s="156">
        <v>23600</v>
      </c>
      <c r="M153" s="156">
        <v>39074</v>
      </c>
      <c r="N153" s="156">
        <v>44061</v>
      </c>
      <c r="O153" s="156">
        <v>46912</v>
      </c>
      <c r="P153" s="157">
        <f>IFERROR(O153/N153-1,"-")</f>
        <v>6.4705748848187694E-2</v>
      </c>
      <c r="Q153" s="174">
        <f t="shared" si="70"/>
        <v>1.8331924145428191</v>
      </c>
      <c r="R153" s="157">
        <f>O153/O$9</f>
        <v>1.332413095775712E-2</v>
      </c>
      <c r="S153" s="156">
        <v>20206</v>
      </c>
      <c r="T153" s="156">
        <v>30650</v>
      </c>
      <c r="U153" s="156">
        <v>51436</v>
      </c>
      <c r="V153" s="156">
        <v>57073</v>
      </c>
      <c r="W153" s="156">
        <v>64197</v>
      </c>
      <c r="X153" s="157">
        <f>IFERROR(W153/V153-1,"-")</f>
        <v>0.12482259562314924</v>
      </c>
      <c r="Y153" s="174">
        <f t="shared" si="71"/>
        <v>2.1771256062555677</v>
      </c>
      <c r="Z153" s="157">
        <f t="shared" si="69"/>
        <v>1.3618673436994043E-2</v>
      </c>
    </row>
    <row r="154" spans="1:26" x14ac:dyDescent="0.25">
      <c r="A154" s="158" t="s">
        <v>110</v>
      </c>
      <c r="B154" s="159" t="s">
        <v>110</v>
      </c>
      <c r="C154" s="160">
        <v>434</v>
      </c>
      <c r="D154" s="160">
        <v>401</v>
      </c>
      <c r="E154" s="160">
        <v>974</v>
      </c>
      <c r="F154" s="160">
        <v>983</v>
      </c>
      <c r="G154" s="160">
        <v>1429</v>
      </c>
      <c r="H154" s="161">
        <f t="shared" ref="H154:H161" si="72">IFERROR(G154/F154-1,"-")</f>
        <v>0.45371312309257372</v>
      </c>
      <c r="I154" s="175">
        <f t="shared" si="63"/>
        <v>2.2926267281105992</v>
      </c>
      <c r="J154" s="161">
        <f t="shared" ref="J154:J161" si="73">G154/G$9</f>
        <v>1.8832118712194094E-3</v>
      </c>
      <c r="K154" s="160">
        <v>5335</v>
      </c>
      <c r="L154" s="160">
        <v>5197</v>
      </c>
      <c r="M154" s="160">
        <v>18197</v>
      </c>
      <c r="N154" s="160">
        <v>17767</v>
      </c>
      <c r="O154" s="160">
        <v>18362</v>
      </c>
      <c r="P154" s="161">
        <f t="shared" ref="P154:P161" si="74">IFERROR(O154/N154-1,"-")</f>
        <v>3.3489052738222558E-2</v>
      </c>
      <c r="Q154" s="175">
        <f t="shared" si="70"/>
        <v>2.4417994376757264</v>
      </c>
      <c r="R154" s="161">
        <f t="shared" ref="R154:R161" si="75">O154/O$9</f>
        <v>5.2152475410627607E-3</v>
      </c>
      <c r="S154" s="160">
        <v>5769</v>
      </c>
      <c r="T154" s="160">
        <v>5598</v>
      </c>
      <c r="U154" s="160">
        <v>19171</v>
      </c>
      <c r="V154" s="160">
        <v>18750</v>
      </c>
      <c r="W154" s="160">
        <v>19791</v>
      </c>
      <c r="X154" s="161">
        <f t="shared" ref="X154:X161" si="76">IFERROR(W154/V154-1,"-")</f>
        <v>5.5520000000000014E-2</v>
      </c>
      <c r="Y154" s="175">
        <f t="shared" si="71"/>
        <v>2.4305772230889238</v>
      </c>
      <c r="Z154" s="161">
        <f t="shared" si="69"/>
        <v>5.0758921467573834E-3</v>
      </c>
    </row>
    <row r="155" spans="1:26" x14ac:dyDescent="0.25">
      <c r="A155" s="158" t="s">
        <v>113</v>
      </c>
      <c r="B155" s="159" t="s">
        <v>113</v>
      </c>
      <c r="C155" s="160">
        <v>651</v>
      </c>
      <c r="D155" s="160">
        <v>1400</v>
      </c>
      <c r="E155" s="160">
        <v>2438</v>
      </c>
      <c r="F155" s="160">
        <v>2568</v>
      </c>
      <c r="G155" s="160">
        <v>2962</v>
      </c>
      <c r="H155" s="161">
        <f t="shared" si="72"/>
        <v>0.15342679127725867</v>
      </c>
      <c r="I155" s="175">
        <f t="shared" si="63"/>
        <v>3.5499231950844852</v>
      </c>
      <c r="J155" s="161">
        <f t="shared" si="73"/>
        <v>3.903480449651428E-3</v>
      </c>
      <c r="K155" s="160">
        <v>3972</v>
      </c>
      <c r="L155" s="160">
        <v>6636</v>
      </c>
      <c r="M155" s="160">
        <v>7498</v>
      </c>
      <c r="N155" s="160">
        <v>7764</v>
      </c>
      <c r="O155" s="160">
        <v>7140</v>
      </c>
      <c r="P155" s="161">
        <f t="shared" si="74"/>
        <v>-8.037094281298296E-2</v>
      </c>
      <c r="Q155" s="175">
        <f t="shared" si="70"/>
        <v>0.797583081570997</v>
      </c>
      <c r="R155" s="161">
        <f t="shared" si="75"/>
        <v>2.0279309140174332E-3</v>
      </c>
      <c r="S155" s="160">
        <v>4623</v>
      </c>
      <c r="T155" s="160">
        <v>8036</v>
      </c>
      <c r="U155" s="160">
        <v>9936</v>
      </c>
      <c r="V155" s="160">
        <v>10332</v>
      </c>
      <c r="W155" s="160">
        <v>10102</v>
      </c>
      <c r="X155" s="161">
        <f t="shared" si="76"/>
        <v>-2.2260936895083239E-2</v>
      </c>
      <c r="Y155" s="175">
        <f t="shared" si="71"/>
        <v>1.1851611507678999</v>
      </c>
      <c r="Z155" s="161">
        <f t="shared" si="69"/>
        <v>2.6307477111356405E-3</v>
      </c>
    </row>
    <row r="156" spans="1:26" x14ac:dyDescent="0.25">
      <c r="A156" s="158" t="s">
        <v>116</v>
      </c>
      <c r="B156" s="159" t="s">
        <v>116</v>
      </c>
      <c r="C156" s="160">
        <v>563</v>
      </c>
      <c r="D156" s="160">
        <v>1370</v>
      </c>
      <c r="E156" s="160">
        <v>2211</v>
      </c>
      <c r="F156" s="160">
        <v>2245</v>
      </c>
      <c r="G156" s="160">
        <v>2884</v>
      </c>
      <c r="H156" s="161">
        <f t="shared" si="72"/>
        <v>0.2846325167037862</v>
      </c>
      <c r="I156" s="175">
        <f t="shared" si="63"/>
        <v>4.1225577264653639</v>
      </c>
      <c r="J156" s="161">
        <f t="shared" si="73"/>
        <v>3.8006879192419708E-3</v>
      </c>
      <c r="K156" s="160">
        <v>1717</v>
      </c>
      <c r="L156" s="160">
        <v>3754</v>
      </c>
      <c r="M156" s="160">
        <v>4261</v>
      </c>
      <c r="N156" s="160">
        <v>7004</v>
      </c>
      <c r="O156" s="160">
        <v>8840</v>
      </c>
      <c r="P156" s="161">
        <f t="shared" si="74"/>
        <v>0.26213592233009719</v>
      </c>
      <c r="Q156" s="175">
        <f t="shared" si="70"/>
        <v>4.1485148514851486</v>
      </c>
      <c r="R156" s="161">
        <f t="shared" si="75"/>
        <v>2.5107716078311081E-3</v>
      </c>
      <c r="S156" s="160">
        <v>2280</v>
      </c>
      <c r="T156" s="160">
        <v>5124</v>
      </c>
      <c r="U156" s="160">
        <v>6472</v>
      </c>
      <c r="V156" s="160">
        <v>9249</v>
      </c>
      <c r="W156" s="160">
        <v>11724</v>
      </c>
      <c r="X156" s="161">
        <f t="shared" si="76"/>
        <v>0.26759649691858578</v>
      </c>
      <c r="Y156" s="175">
        <f t="shared" si="71"/>
        <v>4.1421052631578945</v>
      </c>
      <c r="Z156" s="161">
        <f t="shared" si="69"/>
        <v>1.7135868746447128E-3</v>
      </c>
    </row>
    <row r="157" spans="1:26" x14ac:dyDescent="0.25">
      <c r="A157" s="158" t="s">
        <v>123</v>
      </c>
      <c r="B157" s="159" t="s">
        <v>123</v>
      </c>
      <c r="C157" s="160">
        <v>250</v>
      </c>
      <c r="D157" s="160">
        <v>317</v>
      </c>
      <c r="E157" s="160">
        <v>761</v>
      </c>
      <c r="F157" s="160">
        <v>634</v>
      </c>
      <c r="G157" s="160">
        <v>898</v>
      </c>
      <c r="H157" s="161">
        <f t="shared" si="72"/>
        <v>0.41640378548895907</v>
      </c>
      <c r="I157" s="175">
        <f t="shared" si="63"/>
        <v>2.5920000000000001</v>
      </c>
      <c r="J157" s="161">
        <f t="shared" si="73"/>
        <v>1.1834319526627219E-3</v>
      </c>
      <c r="K157" s="160">
        <v>328</v>
      </c>
      <c r="L157" s="160">
        <v>589</v>
      </c>
      <c r="M157" s="160">
        <v>856</v>
      </c>
      <c r="N157" s="160">
        <v>868</v>
      </c>
      <c r="O157" s="160">
        <v>969</v>
      </c>
      <c r="P157" s="161">
        <f t="shared" si="74"/>
        <v>0.11635944700460832</v>
      </c>
      <c r="Q157" s="175">
        <f t="shared" si="70"/>
        <v>1.9542682926829267</v>
      </c>
      <c r="R157" s="161">
        <f t="shared" si="75"/>
        <v>2.7521919547379454E-4</v>
      </c>
      <c r="S157" s="160">
        <v>578</v>
      </c>
      <c r="T157" s="160">
        <v>906</v>
      </c>
      <c r="U157" s="160">
        <v>1617</v>
      </c>
      <c r="V157" s="160">
        <v>1502</v>
      </c>
      <c r="W157" s="160">
        <v>1867</v>
      </c>
      <c r="X157" s="161">
        <f t="shared" si="76"/>
        <v>0.24300932090545935</v>
      </c>
      <c r="Y157" s="175">
        <f t="shared" si="71"/>
        <v>2.2301038062283736</v>
      </c>
      <c r="Z157" s="161">
        <f t="shared" si="69"/>
        <v>4.2813194936657916E-4</v>
      </c>
    </row>
    <row r="158" spans="1:26" x14ac:dyDescent="0.25">
      <c r="A158" s="158" t="s">
        <v>119</v>
      </c>
      <c r="B158" s="159" t="s">
        <v>119</v>
      </c>
      <c r="C158" s="160">
        <v>236</v>
      </c>
      <c r="D158" s="160">
        <v>351</v>
      </c>
      <c r="E158" s="160">
        <v>597</v>
      </c>
      <c r="F158" s="160">
        <v>569</v>
      </c>
      <c r="G158" s="160">
        <v>772</v>
      </c>
      <c r="H158" s="161">
        <f t="shared" si="72"/>
        <v>0.35676625659050965</v>
      </c>
      <c r="I158" s="175">
        <f t="shared" si="63"/>
        <v>2.2711864406779663</v>
      </c>
      <c r="J158" s="161">
        <f t="shared" si="73"/>
        <v>1.0173824804628299E-3</v>
      </c>
      <c r="K158" s="160">
        <v>1262</v>
      </c>
      <c r="L158" s="160">
        <v>1393</v>
      </c>
      <c r="M158" s="160">
        <v>2346</v>
      </c>
      <c r="N158" s="160">
        <v>2305</v>
      </c>
      <c r="O158" s="160">
        <v>2540</v>
      </c>
      <c r="P158" s="161">
        <f t="shared" si="74"/>
        <v>0.10195227765726678</v>
      </c>
      <c r="Q158" s="175">
        <f t="shared" si="70"/>
        <v>1.0126782884310619</v>
      </c>
      <c r="R158" s="161">
        <f t="shared" si="75"/>
        <v>7.2142080134513734E-4</v>
      </c>
      <c r="S158" s="160">
        <v>1498</v>
      </c>
      <c r="T158" s="160">
        <v>1744</v>
      </c>
      <c r="U158" s="160">
        <v>2943</v>
      </c>
      <c r="V158" s="160">
        <v>2874</v>
      </c>
      <c r="W158" s="160">
        <v>3312</v>
      </c>
      <c r="X158" s="161">
        <f t="shared" si="76"/>
        <v>0.15240083507306879</v>
      </c>
      <c r="Y158" s="175">
        <f t="shared" si="71"/>
        <v>1.2109479305740987</v>
      </c>
      <c r="Z158" s="161">
        <f t="shared" si="69"/>
        <v>7.7921603400485004E-4</v>
      </c>
    </row>
    <row r="159" spans="1:26" x14ac:dyDescent="0.25">
      <c r="A159" s="158" t="s">
        <v>128</v>
      </c>
      <c r="B159" s="159" t="s">
        <v>128</v>
      </c>
      <c r="C159" s="160">
        <v>58</v>
      </c>
      <c r="D159" s="160">
        <v>71</v>
      </c>
      <c r="E159" s="160">
        <v>195</v>
      </c>
      <c r="F159" s="160">
        <v>156</v>
      </c>
      <c r="G159" s="160">
        <v>110</v>
      </c>
      <c r="H159" s="161">
        <f t="shared" si="72"/>
        <v>-0.29487179487179482</v>
      </c>
      <c r="I159" s="175">
        <f t="shared" si="63"/>
        <v>0.89655172413793105</v>
      </c>
      <c r="J159" s="161">
        <f t="shared" si="73"/>
        <v>1.449638249364136E-4</v>
      </c>
      <c r="K159" s="160">
        <v>174</v>
      </c>
      <c r="L159" s="160">
        <v>211</v>
      </c>
      <c r="M159" s="160">
        <v>277</v>
      </c>
      <c r="N159" s="160">
        <v>276</v>
      </c>
      <c r="O159" s="160">
        <v>264</v>
      </c>
      <c r="P159" s="161">
        <f t="shared" si="74"/>
        <v>-4.3478260869565188E-2</v>
      </c>
      <c r="Q159" s="175">
        <f t="shared" si="70"/>
        <v>0.51724137931034475</v>
      </c>
      <c r="R159" s="161">
        <f t="shared" si="75"/>
        <v>7.4982319509888295E-5</v>
      </c>
      <c r="S159" s="160">
        <v>232</v>
      </c>
      <c r="T159" s="160">
        <v>282</v>
      </c>
      <c r="U159" s="160">
        <v>472</v>
      </c>
      <c r="V159" s="160">
        <v>432</v>
      </c>
      <c r="W159" s="160">
        <v>374</v>
      </c>
      <c r="X159" s="161">
        <f t="shared" si="76"/>
        <v>-0.1342592592592593</v>
      </c>
      <c r="Y159" s="175">
        <f t="shared" si="71"/>
        <v>0.61206896551724133</v>
      </c>
      <c r="Z159" s="161">
        <f t="shared" si="69"/>
        <v>1.2497110705072688E-4</v>
      </c>
    </row>
    <row r="160" spans="1:26" x14ac:dyDescent="0.25">
      <c r="A160" s="158" t="s">
        <v>131</v>
      </c>
      <c r="B160" s="159" t="s">
        <v>131</v>
      </c>
      <c r="C160" s="160">
        <v>70</v>
      </c>
      <c r="D160" s="160">
        <v>84</v>
      </c>
      <c r="E160" s="160">
        <v>99</v>
      </c>
      <c r="F160" s="160">
        <v>155</v>
      </c>
      <c r="G160" s="160">
        <v>126</v>
      </c>
      <c r="H160" s="161">
        <f t="shared" si="72"/>
        <v>-0.18709677419354842</v>
      </c>
      <c r="I160" s="175">
        <f t="shared" si="63"/>
        <v>0.8</v>
      </c>
      <c r="J160" s="161">
        <f t="shared" si="73"/>
        <v>1.6604947219989194E-4</v>
      </c>
      <c r="K160" s="160">
        <v>228</v>
      </c>
      <c r="L160" s="160">
        <v>362</v>
      </c>
      <c r="M160" s="160">
        <v>555</v>
      </c>
      <c r="N160" s="160">
        <v>677</v>
      </c>
      <c r="O160" s="160">
        <v>456</v>
      </c>
      <c r="P160" s="161">
        <f t="shared" si="74"/>
        <v>-0.3264401772525849</v>
      </c>
      <c r="Q160" s="175">
        <f t="shared" si="70"/>
        <v>1</v>
      </c>
      <c r="R160" s="161">
        <f t="shared" si="75"/>
        <v>1.2951491551707977E-4</v>
      </c>
      <c r="S160" s="160">
        <v>298</v>
      </c>
      <c r="T160" s="160">
        <v>446</v>
      </c>
      <c r="U160" s="160">
        <v>654</v>
      </c>
      <c r="V160" s="160">
        <v>832</v>
      </c>
      <c r="W160" s="160">
        <v>582</v>
      </c>
      <c r="X160" s="161">
        <f t="shared" si="76"/>
        <v>-0.30048076923076927</v>
      </c>
      <c r="Y160" s="175">
        <f t="shared" si="71"/>
        <v>0.95302013422818788</v>
      </c>
      <c r="Z160" s="161">
        <f t="shared" si="69"/>
        <v>1.7315911866774445E-4</v>
      </c>
    </row>
    <row r="161" spans="1:26" x14ac:dyDescent="0.25">
      <c r="A161" s="163" t="s">
        <v>145</v>
      </c>
      <c r="B161" s="164" t="s">
        <v>145</v>
      </c>
      <c r="C161" s="165">
        <f>C153-SUM(C154:C160)</f>
        <v>1386</v>
      </c>
      <c r="D161" s="165">
        <f>D153-SUM(D154:D160)</f>
        <v>3056</v>
      </c>
      <c r="E161" s="165">
        <f>E153-SUM(E154:E160)</f>
        <v>5087</v>
      </c>
      <c r="F161" s="165">
        <f>F153-SUM(F154:F160)</f>
        <v>5702</v>
      </c>
      <c r="G161" s="165">
        <f>G153-SUM(G154:G160)</f>
        <v>8104</v>
      </c>
      <c r="H161" s="166">
        <f t="shared" si="72"/>
        <v>0.42125569975447208</v>
      </c>
      <c r="I161" s="176">
        <f t="shared" si="63"/>
        <v>4.8470418470418473</v>
      </c>
      <c r="J161" s="166">
        <f t="shared" si="73"/>
        <v>1.0679880338951779E-2</v>
      </c>
      <c r="K161" s="165">
        <f>K153-SUM(K154:K160)</f>
        <v>3542</v>
      </c>
      <c r="L161" s="165">
        <f>L153-SUM(L154:L160)</f>
        <v>5458</v>
      </c>
      <c r="M161" s="165">
        <f>M153-SUM(M154:M160)</f>
        <v>5084</v>
      </c>
      <c r="N161" s="165">
        <f>N153-SUM(N154:N160)</f>
        <v>7400</v>
      </c>
      <c r="O161" s="165">
        <f>O153-SUM(O154:O160)</f>
        <v>8341</v>
      </c>
      <c r="P161" s="166">
        <f t="shared" si="74"/>
        <v>0.12716216216216214</v>
      </c>
      <c r="Q161" s="176">
        <f t="shared" si="70"/>
        <v>1.3548842461885942</v>
      </c>
      <c r="R161" s="166">
        <f t="shared" si="75"/>
        <v>2.3690436629999175E-3</v>
      </c>
      <c r="S161" s="165">
        <f>S153-SUM(S154:S160)</f>
        <v>4928</v>
      </c>
      <c r="T161" s="165">
        <f>T153-SUM(T154:T160)</f>
        <v>8514</v>
      </c>
      <c r="U161" s="165">
        <f>U153-SUM(U154:U160)</f>
        <v>10171</v>
      </c>
      <c r="V161" s="165">
        <f>V153-SUM(V154:V160)</f>
        <v>13102</v>
      </c>
      <c r="W161" s="165">
        <f>W153-SUM(W154:W160)</f>
        <v>16445</v>
      </c>
      <c r="X161" s="166">
        <f t="shared" si="76"/>
        <v>0.25515188520836518</v>
      </c>
      <c r="Y161" s="176">
        <f t="shared" si="71"/>
        <v>2.3370535714285716</v>
      </c>
      <c r="Z161" s="166">
        <f t="shared" si="69"/>
        <v>2.692968495366405E-3</v>
      </c>
    </row>
    <row r="162" spans="1:26" ht="6" customHeight="1" x14ac:dyDescent="0.25">
      <c r="C162" s="79"/>
      <c r="D162" s="79"/>
      <c r="E162" s="79"/>
      <c r="F162" s="79"/>
      <c r="G162" s="79"/>
      <c r="H162" s="79"/>
      <c r="K162" s="79"/>
      <c r="L162" s="79"/>
      <c r="M162" s="79"/>
      <c r="N162" s="79"/>
      <c r="O162" s="79"/>
      <c r="P162" s="79"/>
      <c r="S162" s="79"/>
      <c r="T162" s="79"/>
      <c r="U162" s="79"/>
      <c r="V162" s="79"/>
      <c r="W162" s="79"/>
      <c r="X162" s="79"/>
    </row>
    <row r="163" spans="1:26" ht="6" customHeight="1" x14ac:dyDescent="0.25">
      <c r="B163" s="167"/>
      <c r="C163" s="167"/>
      <c r="D163" s="167"/>
      <c r="E163" s="167"/>
      <c r="F163" s="167"/>
      <c r="G163" s="167"/>
      <c r="H163" s="167"/>
      <c r="I163" s="167"/>
      <c r="J163" s="167"/>
      <c r="K163" s="167"/>
      <c r="L163" s="167"/>
      <c r="M163" s="167"/>
      <c r="N163" s="167"/>
      <c r="O163" s="167"/>
      <c r="P163" s="167"/>
      <c r="Q163" s="167"/>
      <c r="R163" s="167"/>
      <c r="S163" s="167"/>
      <c r="T163" s="167"/>
      <c r="U163" s="167"/>
      <c r="V163" s="167"/>
      <c r="W163" s="167"/>
      <c r="X163" s="167"/>
      <c r="Y163" s="167"/>
      <c r="Z163" s="167"/>
    </row>
    <row r="164" spans="1:26" x14ac:dyDescent="0.25">
      <c r="B164" s="105" t="s">
        <v>55</v>
      </c>
      <c r="C164" s="105"/>
      <c r="D164" s="105"/>
      <c r="E164" s="105"/>
      <c r="F164" s="105"/>
      <c r="G164" s="105"/>
      <c r="H164" s="105"/>
      <c r="I164" s="105"/>
      <c r="J164" s="105"/>
      <c r="K164" s="105"/>
      <c r="L164" s="105"/>
      <c r="M164" s="105"/>
      <c r="N164" s="105"/>
      <c r="O164" s="105"/>
      <c r="P164" s="105"/>
      <c r="Q164" s="105"/>
      <c r="R164" s="105"/>
      <c r="S164" s="105"/>
      <c r="T164" s="105"/>
      <c r="U164" s="105"/>
      <c r="V164" s="105"/>
      <c r="W164" s="105"/>
      <c r="X164" s="105"/>
      <c r="Y164" s="105"/>
      <c r="Z164" s="105"/>
    </row>
  </sheetData>
  <mergeCells count="3">
    <mergeCell ref="C6:J6"/>
    <mergeCell ref="K6:R6"/>
    <mergeCell ref="S6:Z6"/>
  </mergeCells>
  <pageMargins left="0.7" right="0.7" top="0.75" bottom="0.75" header="0.3" footer="0.3"/>
  <pageSetup paperSize="9" scale="20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4EAB1C-D965-4128-84A7-097F47337A67}">
  <sheetPr codeName="Hoja20">
    <tabColor rgb="FFFFC000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9370A7-D6EF-450D-B332-654DEABB2312}">
  <sheetPr codeName="Hoja2">
    <tabColor theme="8" tint="0.59999389629810485"/>
  </sheetPr>
  <dimension ref="A4:L76"/>
  <sheetViews>
    <sheetView showGridLines="0" zoomScaleNormal="100" workbookViewId="0"/>
  </sheetViews>
  <sheetFormatPr baseColWidth="10" defaultColWidth="11.42578125" defaultRowHeight="15" x14ac:dyDescent="0.25"/>
  <cols>
    <col min="3" max="3" width="16.85546875" customWidth="1"/>
    <col min="4" max="4" width="15.5703125" customWidth="1"/>
    <col min="5" max="9" width="12.7109375" customWidth="1"/>
    <col min="12" max="12" width="12" customWidth="1"/>
  </cols>
  <sheetData>
    <row r="4" spans="2:12" ht="21.75" thickBot="1" x14ac:dyDescent="0.3">
      <c r="B4" s="265" t="s">
        <v>223</v>
      </c>
      <c r="C4" s="265"/>
      <c r="D4" s="265"/>
      <c r="E4" s="265"/>
      <c r="F4" s="265"/>
      <c r="G4" s="265"/>
      <c r="H4" s="265"/>
      <c r="I4" s="265"/>
      <c r="J4" s="265"/>
      <c r="K4" s="265"/>
      <c r="L4" s="12"/>
    </row>
    <row r="5" spans="2:12" ht="7.5" customHeight="1" thickBot="1" x14ac:dyDescent="0.3">
      <c r="B5" s="4"/>
      <c r="C5" s="4"/>
      <c r="D5" s="4"/>
      <c r="E5" s="4"/>
      <c r="F5" s="4"/>
      <c r="G5" s="4"/>
      <c r="H5" s="4"/>
      <c r="I5" s="4"/>
      <c r="J5" s="4"/>
      <c r="K5" s="4"/>
      <c r="L5" s="4"/>
    </row>
    <row r="6" spans="2:12" ht="30" x14ac:dyDescent="0.25">
      <c r="B6" s="4"/>
      <c r="C6" s="4"/>
      <c r="D6" s="4"/>
      <c r="E6" s="13" t="s">
        <v>224</v>
      </c>
      <c r="F6" s="13" t="s">
        <v>225</v>
      </c>
      <c r="G6" s="13" t="s">
        <v>226</v>
      </c>
      <c r="H6" s="13" t="s">
        <v>227</v>
      </c>
      <c r="I6" s="13" t="s">
        <v>228</v>
      </c>
      <c r="J6" s="14" t="str">
        <f>CONCATENATE("var. ",RIGHT(I6,2),"/",RIGHT(H6,2))</f>
        <v>var. 25/24</v>
      </c>
      <c r="K6" s="14" t="str">
        <f>CONCATENATE("dif. ",RIGHT(I6,2),"/",RIGHT(H6,2))</f>
        <v>dif. 25/24</v>
      </c>
      <c r="L6" s="14" t="str">
        <f>CONCATENATE("cuota ",I6)</f>
        <v>cuota enero 2025</v>
      </c>
    </row>
    <row r="7" spans="2:12" x14ac:dyDescent="0.25">
      <c r="B7" s="266" t="s">
        <v>48</v>
      </c>
      <c r="C7" s="269" t="s">
        <v>8</v>
      </c>
      <c r="D7" s="15" t="s">
        <v>30</v>
      </c>
      <c r="E7" s="16">
        <v>4603</v>
      </c>
      <c r="F7" s="16">
        <v>36105</v>
      </c>
      <c r="G7" s="16">
        <v>60088</v>
      </c>
      <c r="H7" s="16">
        <v>64481</v>
      </c>
      <c r="I7" s="16">
        <v>65410</v>
      </c>
      <c r="J7" s="17">
        <f>I7/H7-1</f>
        <v>1.4407344799243216E-2</v>
      </c>
      <c r="K7" s="16">
        <f>I7-H7</f>
        <v>929</v>
      </c>
      <c r="L7" s="18">
        <f>I7/$I$7</f>
        <v>1</v>
      </c>
    </row>
    <row r="8" spans="2:12" x14ac:dyDescent="0.25">
      <c r="B8" s="267"/>
      <c r="C8" s="270"/>
      <c r="D8" s="19" t="s">
        <v>31</v>
      </c>
      <c r="E8" s="20">
        <v>3370</v>
      </c>
      <c r="F8" s="20">
        <v>28358</v>
      </c>
      <c r="G8" s="20">
        <v>49540</v>
      </c>
      <c r="H8" s="20">
        <v>54397</v>
      </c>
      <c r="I8" s="20">
        <v>54883</v>
      </c>
      <c r="J8" s="21">
        <f t="shared" ref="J8:J20" si="0">I8/H8-1</f>
        <v>8.9343162306745327E-3</v>
      </c>
      <c r="K8" s="20">
        <f t="shared" ref="K8:K17" si="1">I8-H8</f>
        <v>486</v>
      </c>
      <c r="L8" s="22">
        <f>I8/$I$7</f>
        <v>0.83906130561076286</v>
      </c>
    </row>
    <row r="9" spans="2:12" x14ac:dyDescent="0.25">
      <c r="B9" s="267"/>
      <c r="C9" s="271"/>
      <c r="D9" s="23" t="s">
        <v>32</v>
      </c>
      <c r="E9" s="24">
        <v>1233</v>
      </c>
      <c r="F9" s="24">
        <v>7747</v>
      </c>
      <c r="G9" s="24">
        <v>10548</v>
      </c>
      <c r="H9" s="24">
        <v>10084</v>
      </c>
      <c r="I9" s="24">
        <v>10527</v>
      </c>
      <c r="J9" s="25">
        <f>IFERROR(I9/H9-1,"-")</f>
        <v>4.3930979769932543E-2</v>
      </c>
      <c r="K9" s="24">
        <f>IFERROR(I9-H9,"-")</f>
        <v>443</v>
      </c>
      <c r="L9" s="25">
        <f>IFERROR(I9/$I$7,"-")</f>
        <v>0.16093869438923711</v>
      </c>
    </row>
    <row r="10" spans="2:12" x14ac:dyDescent="0.25">
      <c r="B10" s="267"/>
      <c r="C10" s="272" t="s">
        <v>33</v>
      </c>
      <c r="D10" s="26" t="s">
        <v>30</v>
      </c>
      <c r="E10" s="27">
        <v>5686</v>
      </c>
      <c r="F10" s="27">
        <v>46455</v>
      </c>
      <c r="G10" s="27">
        <v>73539</v>
      </c>
      <c r="H10" s="27">
        <v>78833</v>
      </c>
      <c r="I10" s="27">
        <v>80690</v>
      </c>
      <c r="J10" s="28">
        <f t="shared" si="0"/>
        <v>2.3556124973044268E-2</v>
      </c>
      <c r="K10" s="27">
        <f t="shared" si="1"/>
        <v>1857</v>
      </c>
      <c r="L10" s="18">
        <f>I10/$I$10</f>
        <v>1</v>
      </c>
    </row>
    <row r="11" spans="2:12" x14ac:dyDescent="0.25">
      <c r="B11" s="267"/>
      <c r="C11" s="273"/>
      <c r="D11" s="4" t="s">
        <v>31</v>
      </c>
      <c r="E11" s="29">
        <v>4057</v>
      </c>
      <c r="F11" s="29">
        <v>36141</v>
      </c>
      <c r="G11" s="29">
        <v>60160</v>
      </c>
      <c r="H11" s="29">
        <v>65827</v>
      </c>
      <c r="I11" s="29">
        <v>67018</v>
      </c>
      <c r="J11" s="30">
        <f t="shared" si="0"/>
        <v>1.8092879821349994E-2</v>
      </c>
      <c r="K11" s="29">
        <f t="shared" si="1"/>
        <v>1191</v>
      </c>
      <c r="L11" s="31">
        <f>I11/$I$10</f>
        <v>0.83056140785723143</v>
      </c>
    </row>
    <row r="12" spans="2:12" x14ac:dyDescent="0.25">
      <c r="B12" s="267"/>
      <c r="C12" s="274"/>
      <c r="D12" s="32" t="s">
        <v>32</v>
      </c>
      <c r="E12" s="33">
        <v>1629</v>
      </c>
      <c r="F12" s="33">
        <v>10314</v>
      </c>
      <c r="G12" s="33">
        <v>13379</v>
      </c>
      <c r="H12" s="33">
        <v>13006</v>
      </c>
      <c r="I12" s="33">
        <v>13672</v>
      </c>
      <c r="J12" s="34">
        <f>IFERROR(I12/H12-1,"-")</f>
        <v>5.1207135168383822E-2</v>
      </c>
      <c r="K12" s="33">
        <f>IFERROR(I12-H12,"-")</f>
        <v>666</v>
      </c>
      <c r="L12" s="34">
        <f>IFERROR(I12/$I$10,"-")</f>
        <v>0.16943859214276863</v>
      </c>
    </row>
    <row r="13" spans="2:12" x14ac:dyDescent="0.25">
      <c r="B13" s="267"/>
      <c r="C13" s="269" t="s">
        <v>21</v>
      </c>
      <c r="D13" s="15" t="s">
        <v>30</v>
      </c>
      <c r="E13" s="16">
        <v>29647</v>
      </c>
      <c r="F13" s="16">
        <v>262511</v>
      </c>
      <c r="G13" s="16">
        <v>459644</v>
      </c>
      <c r="H13" s="16">
        <v>482317</v>
      </c>
      <c r="I13" s="16">
        <v>494946</v>
      </c>
      <c r="J13" s="17">
        <f t="shared" si="0"/>
        <v>2.6184024199851885E-2</v>
      </c>
      <c r="K13" s="16">
        <f t="shared" si="1"/>
        <v>12629</v>
      </c>
      <c r="L13" s="18">
        <f>I13/$I$13</f>
        <v>1</v>
      </c>
    </row>
    <row r="14" spans="2:12" x14ac:dyDescent="0.25">
      <c r="B14" s="267"/>
      <c r="C14" s="270"/>
      <c r="D14" s="19" t="s">
        <v>31</v>
      </c>
      <c r="E14" s="20">
        <v>19618</v>
      </c>
      <c r="F14" s="20">
        <v>196008</v>
      </c>
      <c r="G14" s="20">
        <v>361401</v>
      </c>
      <c r="H14" s="20">
        <v>388603</v>
      </c>
      <c r="I14" s="20">
        <v>397887</v>
      </c>
      <c r="J14" s="21">
        <f t="shared" si="0"/>
        <v>2.3890705938965917E-2</v>
      </c>
      <c r="K14" s="20">
        <f t="shared" si="1"/>
        <v>9284</v>
      </c>
      <c r="L14" s="22">
        <f>I14/$I$13</f>
        <v>0.80389981937423471</v>
      </c>
    </row>
    <row r="15" spans="2:12" x14ac:dyDescent="0.25">
      <c r="B15" s="267"/>
      <c r="C15" s="271"/>
      <c r="D15" s="23" t="s">
        <v>32</v>
      </c>
      <c r="E15" s="24">
        <v>10029</v>
      </c>
      <c r="F15" s="24">
        <v>66503</v>
      </c>
      <c r="G15" s="24">
        <v>98243</v>
      </c>
      <c r="H15" s="24">
        <v>93714</v>
      </c>
      <c r="I15" s="24">
        <v>97059</v>
      </c>
      <c r="J15" s="25">
        <f>IFERROR(I15/H15-1,"-")</f>
        <v>3.56937063832512E-2</v>
      </c>
      <c r="K15" s="24">
        <f>IFERROR(I15-H15,"-")</f>
        <v>3345</v>
      </c>
      <c r="L15" s="25">
        <f>IFERROR(I15/$I$13,"-")</f>
        <v>0.19610018062576523</v>
      </c>
    </row>
    <row r="16" spans="2:12" x14ac:dyDescent="0.25">
      <c r="B16" s="267"/>
      <c r="C16" s="272" t="s">
        <v>22</v>
      </c>
      <c r="D16" s="26" t="s">
        <v>30</v>
      </c>
      <c r="E16" s="35">
        <v>6.4407994786009128</v>
      </c>
      <c r="F16" s="35">
        <v>7.2707658219083227</v>
      </c>
      <c r="G16" s="35">
        <v>7.6495140460657698</v>
      </c>
      <c r="H16" s="35">
        <v>7.4799863525689734</v>
      </c>
      <c r="I16" s="35">
        <v>7.5668246445497633</v>
      </c>
      <c r="J16" s="36">
        <f t="shared" si="0"/>
        <v>1.160941850528463E-2</v>
      </c>
      <c r="K16" s="37">
        <f t="shared" si="1"/>
        <v>8.6838291980789961E-2</v>
      </c>
      <c r="L16" s="38"/>
    </row>
    <row r="17" spans="2:12" x14ac:dyDescent="0.25">
      <c r="B17" s="267"/>
      <c r="C17" s="273"/>
      <c r="D17" s="4" t="s">
        <v>31</v>
      </c>
      <c r="E17" s="39">
        <f>E14/E8</f>
        <v>5.8213649851632043</v>
      </c>
      <c r="F17" s="39">
        <f t="shared" ref="F17:I17" si="2">F14/F8</f>
        <v>6.9119119825093449</v>
      </c>
      <c r="G17" s="39">
        <f t="shared" si="2"/>
        <v>7.2951352442470734</v>
      </c>
      <c r="H17" s="39">
        <f t="shared" si="2"/>
        <v>7.1438314612938214</v>
      </c>
      <c r="I17" s="39">
        <f t="shared" si="2"/>
        <v>7.2497312464697625</v>
      </c>
      <c r="J17" s="40">
        <f t="shared" si="0"/>
        <v>1.4823947870231668E-2</v>
      </c>
      <c r="K17" s="41">
        <f t="shared" si="1"/>
        <v>0.10589978517594112</v>
      </c>
      <c r="L17" s="42"/>
    </row>
    <row r="18" spans="2:12" x14ac:dyDescent="0.25">
      <c r="B18" s="267"/>
      <c r="C18" s="274"/>
      <c r="D18" s="32" t="s">
        <v>32</v>
      </c>
      <c r="E18" s="43">
        <f>IFERROR(E15/E9,"-")</f>
        <v>8.1338199513382001</v>
      </c>
      <c r="F18" s="43">
        <f t="shared" ref="F18:I18" si="3">IFERROR(F15/F9,"-")</f>
        <v>8.5843552342842386</v>
      </c>
      <c r="G18" s="43">
        <f t="shared" si="3"/>
        <v>9.3138983693591211</v>
      </c>
      <c r="H18" s="43">
        <f t="shared" si="3"/>
        <v>9.293335977786592</v>
      </c>
      <c r="I18" s="43">
        <f t="shared" si="3"/>
        <v>9.2200056996295245</v>
      </c>
      <c r="J18" s="34">
        <f>IFERROR(I18/H18-1,"-")</f>
        <v>-7.8906302680055163E-3</v>
      </c>
      <c r="K18" s="33">
        <f>IFERROR(I18-H18,"-")</f>
        <v>-7.3330278157067497E-2</v>
      </c>
      <c r="L18" s="34"/>
    </row>
    <row r="19" spans="2:12" x14ac:dyDescent="0.25">
      <c r="B19" s="267"/>
      <c r="C19" s="275" t="s">
        <v>34</v>
      </c>
      <c r="D19" s="15" t="s">
        <v>30</v>
      </c>
      <c r="E19" s="18">
        <v>0.1467</v>
      </c>
      <c r="F19" s="18">
        <v>0.46729999999999999</v>
      </c>
      <c r="G19" s="18">
        <v>0.77790000000000004</v>
      </c>
      <c r="H19" s="18">
        <v>0.78709999999999991</v>
      </c>
      <c r="I19" s="18">
        <v>0.80409999999999993</v>
      </c>
      <c r="J19" s="17">
        <f t="shared" si="0"/>
        <v>2.1598272138229069E-2</v>
      </c>
      <c r="K19" s="44">
        <f>(I19-H19)*100</f>
        <v>1.7000000000000015</v>
      </c>
      <c r="L19" s="18"/>
    </row>
    <row r="20" spans="2:12" x14ac:dyDescent="0.25">
      <c r="B20" s="267"/>
      <c r="C20" s="276"/>
      <c r="D20" s="19" t="s">
        <v>31</v>
      </c>
      <c r="E20" s="22">
        <v>0.1583</v>
      </c>
      <c r="F20" s="22">
        <v>0.4451</v>
      </c>
      <c r="G20" s="22">
        <v>0.79239999999999999</v>
      </c>
      <c r="H20" s="22">
        <v>0.81290000000000007</v>
      </c>
      <c r="I20" s="22">
        <v>0.83260000000000001</v>
      </c>
      <c r="J20" s="21">
        <f t="shared" si="0"/>
        <v>2.4234223151679002E-2</v>
      </c>
      <c r="K20" s="45">
        <f>(I20-H20)*100</f>
        <v>1.969999999999994</v>
      </c>
      <c r="L20" s="22"/>
    </row>
    <row r="21" spans="2:12" x14ac:dyDescent="0.25">
      <c r="B21" s="267"/>
      <c r="C21" s="277"/>
      <c r="D21" s="23" t="s">
        <v>32</v>
      </c>
      <c r="E21" s="25">
        <v>0.12839999999999999</v>
      </c>
      <c r="F21" s="25">
        <v>0.54770000000000008</v>
      </c>
      <c r="G21" s="25">
        <v>0.72870000000000001</v>
      </c>
      <c r="H21" s="25">
        <v>0.69540000000000002</v>
      </c>
      <c r="I21" s="25">
        <v>0.70499999999999996</v>
      </c>
      <c r="J21" s="25">
        <f>IFERROR(I21/H21-1,"-")</f>
        <v>1.380500431406384E-2</v>
      </c>
      <c r="K21" s="24">
        <f>IFERROR(I21-H21,"-")</f>
        <v>9.5999999999999419E-3</v>
      </c>
      <c r="L21" s="46"/>
    </row>
    <row r="22" spans="2:12" x14ac:dyDescent="0.25">
      <c r="B22" s="267"/>
      <c r="C22" s="278" t="s">
        <v>35</v>
      </c>
      <c r="D22" s="26" t="s">
        <v>30</v>
      </c>
      <c r="E22" s="27">
        <v>6518</v>
      </c>
      <c r="F22" s="27">
        <v>18123</v>
      </c>
      <c r="G22" s="27">
        <v>19061</v>
      </c>
      <c r="H22" s="27">
        <v>19768</v>
      </c>
      <c r="I22" s="27">
        <v>19856</v>
      </c>
      <c r="J22" s="36">
        <f>I22/H22-1</f>
        <v>4.4516390125455274E-3</v>
      </c>
      <c r="K22" s="27">
        <f>I22-H22</f>
        <v>88</v>
      </c>
      <c r="L22" s="38">
        <f>I22/$I$22</f>
        <v>1</v>
      </c>
    </row>
    <row r="23" spans="2:12" x14ac:dyDescent="0.25">
      <c r="B23" s="267"/>
      <c r="C23" s="279"/>
      <c r="D23" s="4" t="s">
        <v>31</v>
      </c>
      <c r="E23" s="29">
        <v>3998</v>
      </c>
      <c r="F23" s="29">
        <v>14206</v>
      </c>
      <c r="G23" s="29">
        <v>14712</v>
      </c>
      <c r="H23" s="29">
        <v>15421</v>
      </c>
      <c r="I23" s="29">
        <v>15415</v>
      </c>
      <c r="J23" s="40">
        <f>I23/H23-1</f>
        <v>-3.8907982621105841E-4</v>
      </c>
      <c r="K23" s="29">
        <f>I23-H23</f>
        <v>-6</v>
      </c>
      <c r="L23" s="42">
        <f>I23/$I$22</f>
        <v>0.77633964544722001</v>
      </c>
    </row>
    <row r="24" spans="2:12" x14ac:dyDescent="0.25">
      <c r="B24" s="268"/>
      <c r="C24" s="280"/>
      <c r="D24" s="32" t="s">
        <v>32</v>
      </c>
      <c r="E24" s="33">
        <v>2520</v>
      </c>
      <c r="F24" s="33">
        <v>3917</v>
      </c>
      <c r="G24" s="33">
        <v>4349</v>
      </c>
      <c r="H24" s="33">
        <v>4347</v>
      </c>
      <c r="I24" s="33">
        <v>4441</v>
      </c>
      <c r="J24" s="34">
        <f>IFERROR(I24/H24-1,"-")</f>
        <v>2.1624108580630352E-2</v>
      </c>
      <c r="K24" s="33">
        <f>IFERROR(I24-H24,"-")</f>
        <v>94</v>
      </c>
      <c r="L24" s="34">
        <f>IFERROR(I24/$I$22,"-")</f>
        <v>0.22366035455278002</v>
      </c>
    </row>
    <row r="25" spans="2:12" ht="7.5" customHeight="1" x14ac:dyDescent="0.25">
      <c r="B25" s="281"/>
      <c r="C25" s="281"/>
      <c r="D25" s="281"/>
      <c r="E25" s="281"/>
      <c r="F25" s="281"/>
      <c r="G25" s="281"/>
      <c r="H25" s="281"/>
      <c r="I25" s="281"/>
      <c r="J25" s="281"/>
      <c r="K25" s="281"/>
      <c r="L25" s="47"/>
    </row>
    <row r="26" spans="2:12" ht="24.75" customHeight="1" x14ac:dyDescent="0.25">
      <c r="B26" s="282" t="s">
        <v>36</v>
      </c>
      <c r="C26" s="283"/>
      <c r="D26" s="283"/>
      <c r="E26" s="283"/>
      <c r="F26" s="283"/>
      <c r="G26" s="283"/>
      <c r="H26" s="283"/>
      <c r="I26" s="283"/>
      <c r="J26" s="283"/>
      <c r="K26" s="283"/>
    </row>
    <row r="29" spans="2:12" ht="21.75" customHeight="1" thickBot="1" x14ac:dyDescent="0.3">
      <c r="B29" s="265" t="s">
        <v>223</v>
      </c>
      <c r="C29" s="265"/>
      <c r="D29" s="265"/>
      <c r="E29" s="265"/>
      <c r="F29" s="265"/>
      <c r="G29" s="265"/>
      <c r="H29" s="265"/>
      <c r="I29" s="265"/>
      <c r="J29" s="265"/>
      <c r="K29" s="265"/>
      <c r="L29" s="12"/>
    </row>
    <row r="30" spans="2:12" ht="6" customHeight="1" thickBot="1" x14ac:dyDescent="0.3"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</row>
    <row r="31" spans="2:12" ht="45" x14ac:dyDescent="0.25">
      <c r="B31" s="4"/>
      <c r="C31" s="4"/>
      <c r="D31" s="4"/>
      <c r="E31" s="13" t="s">
        <v>229</v>
      </c>
      <c r="F31" s="13" t="s">
        <v>230</v>
      </c>
      <c r="G31" s="13" t="s">
        <v>231</v>
      </c>
      <c r="H31" s="13" t="s">
        <v>232</v>
      </c>
      <c r="I31" s="13" t="s">
        <v>233</v>
      </c>
      <c r="J31" s="14" t="str">
        <f>CONCATENATE("var. ",RIGHT(I31,2),"/",RIGHT(H31,2))</f>
        <v>var. 25/24</v>
      </c>
      <c r="K31" s="14" t="str">
        <f>CONCATENATE("dif. ",RIGHT(I31,2),"/",RIGHT(H31,2))</f>
        <v>dif. 25/24</v>
      </c>
      <c r="L31" s="14" t="str">
        <f>CONCATENATE("cuota ",I31)</f>
        <v>cuota acumulado a enero 2025</v>
      </c>
    </row>
    <row r="32" spans="2:12" ht="15" customHeight="1" x14ac:dyDescent="0.25">
      <c r="B32" s="266" t="s">
        <v>48</v>
      </c>
      <c r="C32" s="269" t="s">
        <v>8</v>
      </c>
      <c r="D32" s="15" t="s">
        <v>30</v>
      </c>
      <c r="E32" s="49">
        <v>4603</v>
      </c>
      <c r="F32" s="49">
        <v>36105</v>
      </c>
      <c r="G32" s="49">
        <v>60088</v>
      </c>
      <c r="H32" s="49">
        <v>64481</v>
      </c>
      <c r="I32" s="49">
        <v>65410</v>
      </c>
      <c r="J32" s="17">
        <f>I32/H32-1</f>
        <v>1.4407344799243216E-2</v>
      </c>
      <c r="K32" s="16">
        <f>I32-H32</f>
        <v>929</v>
      </c>
      <c r="L32" s="18">
        <f>I32/$I$32</f>
        <v>1</v>
      </c>
    </row>
    <row r="33" spans="1:12" x14ac:dyDescent="0.25">
      <c r="B33" s="267"/>
      <c r="C33" s="270"/>
      <c r="D33" s="19" t="s">
        <v>31</v>
      </c>
      <c r="E33" s="50">
        <v>3370</v>
      </c>
      <c r="F33" s="50">
        <v>28358</v>
      </c>
      <c r="G33" s="50">
        <v>49540</v>
      </c>
      <c r="H33" s="50">
        <v>54397</v>
      </c>
      <c r="I33" s="50">
        <v>54883</v>
      </c>
      <c r="J33" s="21">
        <f t="shared" ref="J33:J45" si="4">I33/H33-1</f>
        <v>8.9343162306745327E-3</v>
      </c>
      <c r="K33" s="20">
        <f t="shared" ref="K33:K42" si="5">I33-H33</f>
        <v>486</v>
      </c>
      <c r="L33" s="22">
        <f>I33/$I$32</f>
        <v>0.83906130561076286</v>
      </c>
    </row>
    <row r="34" spans="1:12" x14ac:dyDescent="0.25">
      <c r="B34" s="267"/>
      <c r="C34" s="271"/>
      <c r="D34" s="23" t="s">
        <v>32</v>
      </c>
      <c r="E34" s="24">
        <v>1233</v>
      </c>
      <c r="F34" s="24">
        <v>7747</v>
      </c>
      <c r="G34" s="24">
        <v>10548</v>
      </c>
      <c r="H34" s="24">
        <v>10084</v>
      </c>
      <c r="I34" s="24">
        <v>10527</v>
      </c>
      <c r="J34" s="25">
        <f>IFERROR(I34/H34-1,"-")</f>
        <v>4.3930979769932543E-2</v>
      </c>
      <c r="K34" s="24">
        <f>IFERROR(I34-H34,"-")</f>
        <v>443</v>
      </c>
      <c r="L34" s="25">
        <f>IFERROR(I34/I32,"-")</f>
        <v>0.16093869438923711</v>
      </c>
    </row>
    <row r="35" spans="1:12" x14ac:dyDescent="0.25">
      <c r="B35" s="267"/>
      <c r="C35" s="272" t="s">
        <v>33</v>
      </c>
      <c r="D35" s="26" t="s">
        <v>30</v>
      </c>
      <c r="E35" s="51">
        <v>5686</v>
      </c>
      <c r="F35" s="51">
        <v>46455</v>
      </c>
      <c r="G35" s="51">
        <v>73539</v>
      </c>
      <c r="H35" s="51">
        <v>78833</v>
      </c>
      <c r="I35" s="51">
        <v>80690</v>
      </c>
      <c r="J35" s="28">
        <f t="shared" si="4"/>
        <v>2.3556124973044268E-2</v>
      </c>
      <c r="K35" s="27">
        <f t="shared" si="5"/>
        <v>1857</v>
      </c>
      <c r="L35" s="18">
        <f>I35/$I$35</f>
        <v>1</v>
      </c>
    </row>
    <row r="36" spans="1:12" x14ac:dyDescent="0.25">
      <c r="B36" s="267"/>
      <c r="C36" s="273"/>
      <c r="D36" s="4" t="s">
        <v>31</v>
      </c>
      <c r="E36" s="52">
        <v>4057</v>
      </c>
      <c r="F36" s="52">
        <v>36141</v>
      </c>
      <c r="G36" s="52">
        <v>60160</v>
      </c>
      <c r="H36" s="52">
        <v>65827</v>
      </c>
      <c r="I36" s="52">
        <v>67018</v>
      </c>
      <c r="J36" s="30">
        <f t="shared" si="4"/>
        <v>1.8092879821349994E-2</v>
      </c>
      <c r="K36" s="29">
        <f t="shared" si="5"/>
        <v>1191</v>
      </c>
      <c r="L36" s="31">
        <f>I36/$I$35</f>
        <v>0.83056140785723143</v>
      </c>
    </row>
    <row r="37" spans="1:12" x14ac:dyDescent="0.25">
      <c r="B37" s="267"/>
      <c r="C37" s="274"/>
      <c r="D37" s="32" t="s">
        <v>32</v>
      </c>
      <c r="E37" s="33">
        <v>1629</v>
      </c>
      <c r="F37" s="33">
        <v>10314</v>
      </c>
      <c r="G37" s="33">
        <v>13379</v>
      </c>
      <c r="H37" s="33">
        <v>13006</v>
      </c>
      <c r="I37" s="33">
        <v>13672</v>
      </c>
      <c r="J37" s="34">
        <f>IFERROR(I37/H37-1,"-")</f>
        <v>5.1207135168383822E-2</v>
      </c>
      <c r="K37" s="33">
        <f>IFERROR(I37-H37,"-")</f>
        <v>666</v>
      </c>
      <c r="L37" s="34">
        <f>IFERROR(I37/I35,"-")</f>
        <v>0.16943859214276863</v>
      </c>
    </row>
    <row r="38" spans="1:12" x14ac:dyDescent="0.25">
      <c r="B38" s="267"/>
      <c r="C38" s="269" t="s">
        <v>21</v>
      </c>
      <c r="D38" s="15" t="s">
        <v>30</v>
      </c>
      <c r="E38" s="49">
        <v>29647</v>
      </c>
      <c r="F38" s="49">
        <v>262511</v>
      </c>
      <c r="G38" s="49">
        <v>459644</v>
      </c>
      <c r="H38" s="49">
        <v>482317</v>
      </c>
      <c r="I38" s="49">
        <v>494946</v>
      </c>
      <c r="J38" s="17">
        <f t="shared" si="4"/>
        <v>2.6184024199851885E-2</v>
      </c>
      <c r="K38" s="16">
        <f t="shared" si="5"/>
        <v>12629</v>
      </c>
      <c r="L38" s="18">
        <f>I38/$I$38</f>
        <v>1</v>
      </c>
    </row>
    <row r="39" spans="1:12" x14ac:dyDescent="0.25">
      <c r="B39" s="267"/>
      <c r="C39" s="270"/>
      <c r="D39" s="19" t="s">
        <v>31</v>
      </c>
      <c r="E39" s="50">
        <v>19618</v>
      </c>
      <c r="F39" s="50">
        <v>196008</v>
      </c>
      <c r="G39" s="50">
        <v>361401</v>
      </c>
      <c r="H39" s="50">
        <v>388603</v>
      </c>
      <c r="I39" s="50">
        <v>397887</v>
      </c>
      <c r="J39" s="21">
        <f t="shared" si="4"/>
        <v>2.3890705938965917E-2</v>
      </c>
      <c r="K39" s="20">
        <f t="shared" si="5"/>
        <v>9284</v>
      </c>
      <c r="L39" s="22">
        <f>I39/$I$38</f>
        <v>0.80389981937423471</v>
      </c>
    </row>
    <row r="40" spans="1:12" x14ac:dyDescent="0.25">
      <c r="B40" s="267"/>
      <c r="C40" s="271"/>
      <c r="D40" s="23" t="s">
        <v>32</v>
      </c>
      <c r="E40" s="24">
        <v>10029</v>
      </c>
      <c r="F40" s="24">
        <v>66503</v>
      </c>
      <c r="G40" s="24">
        <v>98243</v>
      </c>
      <c r="H40" s="24">
        <v>93714</v>
      </c>
      <c r="I40" s="24">
        <v>97059</v>
      </c>
      <c r="J40" s="25">
        <f>IFERROR(I40/H40-1,"-")</f>
        <v>3.56937063832512E-2</v>
      </c>
      <c r="K40" s="24">
        <f>IFERROR(I40-H40,"-")</f>
        <v>3345</v>
      </c>
      <c r="L40" s="25">
        <f>IFERROR(I40/I38,"-")</f>
        <v>0.19610018062576523</v>
      </c>
    </row>
    <row r="41" spans="1:12" x14ac:dyDescent="0.25">
      <c r="B41" s="267"/>
      <c r="C41" s="272" t="s">
        <v>22</v>
      </c>
      <c r="D41" s="26" t="s">
        <v>30</v>
      </c>
      <c r="E41" s="53">
        <v>6.4407994786009128</v>
      </c>
      <c r="F41" s="53">
        <v>7.2707658219083227</v>
      </c>
      <c r="G41" s="53">
        <v>7.6495140460657698</v>
      </c>
      <c r="H41" s="53">
        <v>7.4799863525689734</v>
      </c>
      <c r="I41" s="53">
        <v>7.5668246445497633</v>
      </c>
      <c r="J41" s="36">
        <f t="shared" si="4"/>
        <v>1.160941850528463E-2</v>
      </c>
      <c r="K41" s="37">
        <f t="shared" si="5"/>
        <v>8.6838291980789961E-2</v>
      </c>
      <c r="L41" s="38"/>
    </row>
    <row r="42" spans="1:12" x14ac:dyDescent="0.25">
      <c r="B42" s="267"/>
      <c r="C42" s="273"/>
      <c r="D42" s="4" t="s">
        <v>31</v>
      </c>
      <c r="E42" s="54">
        <f t="shared" ref="E42:I42" si="6">E39/E33</f>
        <v>5.8213649851632043</v>
      </c>
      <c r="F42" s="54">
        <f t="shared" si="6"/>
        <v>6.9119119825093449</v>
      </c>
      <c r="G42" s="54">
        <f t="shared" si="6"/>
        <v>7.2951352442470734</v>
      </c>
      <c r="H42" s="54">
        <f t="shared" si="6"/>
        <v>7.1438314612938214</v>
      </c>
      <c r="I42" s="54">
        <f t="shared" si="6"/>
        <v>7.2497312464697625</v>
      </c>
      <c r="J42" s="40">
        <f t="shared" si="4"/>
        <v>1.4823947870231668E-2</v>
      </c>
      <c r="K42" s="41">
        <f t="shared" si="5"/>
        <v>0.10589978517594112</v>
      </c>
      <c r="L42" s="42"/>
    </row>
    <row r="43" spans="1:12" x14ac:dyDescent="0.25">
      <c r="B43" s="267"/>
      <c r="C43" s="274"/>
      <c r="D43" s="32" t="s">
        <v>32</v>
      </c>
      <c r="E43" s="43">
        <f>IFERROR(E40/E34,"-")</f>
        <v>8.1338199513382001</v>
      </c>
      <c r="F43" s="43">
        <f t="shared" ref="F43:I43" si="7">IFERROR(F40/F34,"-")</f>
        <v>8.5843552342842386</v>
      </c>
      <c r="G43" s="43">
        <f t="shared" si="7"/>
        <v>9.3138983693591211</v>
      </c>
      <c r="H43" s="43">
        <f t="shared" si="7"/>
        <v>9.293335977786592</v>
      </c>
      <c r="I43" s="43">
        <f t="shared" si="7"/>
        <v>9.2200056996295245</v>
      </c>
      <c r="J43" s="34">
        <f>IFERROR(I43/H43-1,"-")</f>
        <v>-7.8906302680055163E-3</v>
      </c>
      <c r="K43" s="33">
        <f>IFERROR(I43-H43,"-")</f>
        <v>-7.3330278157067497E-2</v>
      </c>
      <c r="L43" s="55"/>
    </row>
    <row r="44" spans="1:12" x14ac:dyDescent="0.25">
      <c r="A44" s="56"/>
      <c r="B44" s="267"/>
      <c r="C44" s="275" t="s">
        <v>34</v>
      </c>
      <c r="D44" s="15" t="s">
        <v>30</v>
      </c>
      <c r="E44" s="57">
        <v>0.14672519771550743</v>
      </c>
      <c r="F44" s="57">
        <v>0.4672568986477707</v>
      </c>
      <c r="G44" s="57">
        <v>0.77788289210700445</v>
      </c>
      <c r="H44" s="57">
        <v>0.78706054751243459</v>
      </c>
      <c r="I44" s="57">
        <v>0.80408944399677684</v>
      </c>
      <c r="J44" s="57">
        <f t="shared" si="4"/>
        <v>2.163606921749972E-2</v>
      </c>
      <c r="K44" s="44">
        <f>(I44-H44)*100</f>
        <v>1.7028896484342249</v>
      </c>
      <c r="L44" s="18"/>
    </row>
    <row r="45" spans="1:12" x14ac:dyDescent="0.25">
      <c r="B45" s="267"/>
      <c r="C45" s="276"/>
      <c r="D45" s="19" t="s">
        <v>31</v>
      </c>
      <c r="E45" s="58">
        <v>0.15828882183026996</v>
      </c>
      <c r="F45" s="58">
        <v>0.44508226873697165</v>
      </c>
      <c r="G45" s="58">
        <v>0.79242093353680998</v>
      </c>
      <c r="H45" s="58">
        <v>0.81289025647891122</v>
      </c>
      <c r="I45" s="58">
        <v>0.83263473993701154</v>
      </c>
      <c r="J45" s="58">
        <f t="shared" si="4"/>
        <v>2.428923621698309E-2</v>
      </c>
      <c r="K45" s="45">
        <f>(I45-H45)*100</f>
        <v>1.9744483458100315</v>
      </c>
      <c r="L45" s="22"/>
    </row>
    <row r="46" spans="1:12" x14ac:dyDescent="0.25">
      <c r="B46" s="267"/>
      <c r="C46" s="277"/>
      <c r="D46" s="23" t="s">
        <v>32</v>
      </c>
      <c r="E46" s="59">
        <v>0.1283794162826421</v>
      </c>
      <c r="F46" s="59">
        <v>0.54767885231455937</v>
      </c>
      <c r="G46" s="59">
        <v>0.72870292762889499</v>
      </c>
      <c r="H46" s="59">
        <v>0.69542955096952297</v>
      </c>
      <c r="I46" s="59">
        <v>0.70500686419071557</v>
      </c>
      <c r="J46" s="25">
        <f>IFERROR(I46/H46-1,"-")</f>
        <v>1.3771795011932486E-2</v>
      </c>
      <c r="K46" s="24">
        <f>IFERROR(I46-H46,"-")</f>
        <v>9.577313221192596E-3</v>
      </c>
      <c r="L46" s="46"/>
    </row>
    <row r="47" spans="1:12" x14ac:dyDescent="0.25">
      <c r="B47" s="267"/>
      <c r="C47" s="278" t="s">
        <v>37</v>
      </c>
      <c r="D47" s="26" t="s">
        <v>30</v>
      </c>
      <c r="E47" s="51">
        <v>6518</v>
      </c>
      <c r="F47" s="51">
        <v>18123</v>
      </c>
      <c r="G47" s="51">
        <v>19061</v>
      </c>
      <c r="H47" s="51">
        <v>19768</v>
      </c>
      <c r="I47" s="51">
        <v>19856</v>
      </c>
      <c r="J47" s="36">
        <f>I47/H47-1</f>
        <v>4.4516390125455274E-3</v>
      </c>
      <c r="K47" s="27">
        <f>I47-H47</f>
        <v>88</v>
      </c>
      <c r="L47" s="38">
        <f>I47/$I$22</f>
        <v>1</v>
      </c>
    </row>
    <row r="48" spans="1:12" x14ac:dyDescent="0.25">
      <c r="B48" s="267"/>
      <c r="C48" s="273"/>
      <c r="D48" s="4" t="s">
        <v>31</v>
      </c>
      <c r="E48" s="52">
        <v>3998</v>
      </c>
      <c r="F48" s="52">
        <v>14206</v>
      </c>
      <c r="G48" s="52">
        <v>14712</v>
      </c>
      <c r="H48" s="52">
        <v>15421</v>
      </c>
      <c r="I48" s="52">
        <v>15415</v>
      </c>
      <c r="J48" s="40">
        <f>I48/H48-1</f>
        <v>-3.8907982621105841E-4</v>
      </c>
      <c r="K48" s="29">
        <f>I48-H48</f>
        <v>-6</v>
      </c>
      <c r="L48" s="42">
        <f>I48/$I$22</f>
        <v>0.77633964544722001</v>
      </c>
    </row>
    <row r="49" spans="2:12" x14ac:dyDescent="0.25">
      <c r="B49" s="268"/>
      <c r="C49" s="274"/>
      <c r="D49" s="32" t="s">
        <v>32</v>
      </c>
      <c r="E49" s="33">
        <v>2520</v>
      </c>
      <c r="F49" s="33">
        <v>3917</v>
      </c>
      <c r="G49" s="33">
        <v>4349</v>
      </c>
      <c r="H49" s="33">
        <v>4347</v>
      </c>
      <c r="I49" s="33">
        <v>4441</v>
      </c>
      <c r="J49" s="34">
        <f>IFERROR(I49/H49-1,"-")</f>
        <v>2.1624108580630352E-2</v>
      </c>
      <c r="K49" s="33">
        <f>IFERROR(I49-H49,"-")</f>
        <v>94</v>
      </c>
      <c r="L49" s="34">
        <f>IFERROR(I49/I47,"-")</f>
        <v>0.22366035455278002</v>
      </c>
    </row>
    <row r="50" spans="2:12" ht="6" customHeight="1" x14ac:dyDescent="0.25">
      <c r="B50" s="281"/>
      <c r="C50" s="281"/>
      <c r="D50" s="281"/>
      <c r="E50" s="281"/>
      <c r="F50" s="281"/>
      <c r="G50" s="281"/>
      <c r="H50" s="281"/>
      <c r="I50" s="281"/>
      <c r="J50" s="281"/>
      <c r="K50" s="281"/>
      <c r="L50" s="47"/>
    </row>
    <row r="51" spans="2:12" ht="28.5" customHeight="1" x14ac:dyDescent="0.25">
      <c r="B51" s="282" t="s">
        <v>38</v>
      </c>
      <c r="C51" s="283"/>
      <c r="D51" s="283"/>
      <c r="E51" s="283"/>
      <c r="F51" s="283"/>
      <c r="G51" s="283"/>
      <c r="H51" s="283"/>
      <c r="I51" s="283"/>
      <c r="J51" s="283"/>
      <c r="K51" s="283"/>
    </row>
    <row r="52" spans="2:12" x14ac:dyDescent="0.25">
      <c r="B52" s="60"/>
    </row>
    <row r="54" spans="2:12" ht="21.75" thickBot="1" x14ac:dyDescent="0.3">
      <c r="B54" s="265" t="s">
        <v>223</v>
      </c>
      <c r="C54" s="265"/>
      <c r="D54" s="265"/>
      <c r="E54" s="265"/>
      <c r="F54" s="265"/>
      <c r="G54" s="265"/>
      <c r="H54" s="265"/>
      <c r="I54" s="265"/>
      <c r="J54" s="265"/>
      <c r="K54" s="265"/>
      <c r="L54" s="12"/>
    </row>
    <row r="55" spans="2:12" ht="15.75" thickBot="1" x14ac:dyDescent="0.3"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</row>
    <row r="56" spans="2:12" x14ac:dyDescent="0.25">
      <c r="B56" s="4"/>
      <c r="C56" s="4"/>
      <c r="D56" s="4"/>
      <c r="E56" s="14">
        <v>2020</v>
      </c>
      <c r="F56" s="14">
        <v>2021</v>
      </c>
      <c r="G56" s="14">
        <v>2022</v>
      </c>
      <c r="H56" s="14">
        <v>2023</v>
      </c>
      <c r="I56" s="14">
        <v>2024</v>
      </c>
      <c r="J56" s="14" t="str">
        <f>CONCATENATE("var. ",RIGHT(I56,2),"/",RIGHT(H56,2))</f>
        <v>var. 24/23</v>
      </c>
      <c r="K56" s="14" t="str">
        <f>CONCATENATE("dif. ",RIGHT(I56,2),"/",RIGHT(H56,2))</f>
        <v>dif. 24/23</v>
      </c>
      <c r="L56" s="14" t="str">
        <f>CONCATENATE("cuota ",I56)</f>
        <v>cuota 2024</v>
      </c>
    </row>
    <row r="57" spans="2:12" x14ac:dyDescent="0.25">
      <c r="B57" s="266" t="s">
        <v>48</v>
      </c>
      <c r="C57" s="269" t="s">
        <v>8</v>
      </c>
      <c r="D57" s="15" t="s">
        <v>30</v>
      </c>
      <c r="E57" s="49">
        <v>225835</v>
      </c>
      <c r="F57" s="49">
        <v>354204</v>
      </c>
      <c r="G57" s="49">
        <v>710225</v>
      </c>
      <c r="H57" s="49">
        <v>797848</v>
      </c>
      <c r="I57" s="49">
        <v>914356</v>
      </c>
      <c r="J57" s="17">
        <f t="shared" ref="J57:J73" si="8">I57/H57-1</f>
        <v>0.14602781482187077</v>
      </c>
      <c r="K57" s="16">
        <f t="shared" ref="K57:K73" si="9">I57-H57</f>
        <v>116508</v>
      </c>
      <c r="L57" s="17">
        <f>I57/$I$57</f>
        <v>1</v>
      </c>
    </row>
    <row r="58" spans="2:12" x14ac:dyDescent="0.25">
      <c r="B58" s="267"/>
      <c r="C58" s="270"/>
      <c r="D58" s="19" t="s">
        <v>31</v>
      </c>
      <c r="E58" s="50">
        <v>177177</v>
      </c>
      <c r="F58" s="50">
        <v>285256</v>
      </c>
      <c r="G58" s="50">
        <v>574800</v>
      </c>
      <c r="H58" s="50">
        <v>652648</v>
      </c>
      <c r="I58" s="50">
        <v>741051</v>
      </c>
      <c r="J58" s="21">
        <f t="shared" si="8"/>
        <v>0.13545280151015548</v>
      </c>
      <c r="K58" s="20">
        <f t="shared" si="9"/>
        <v>88403</v>
      </c>
      <c r="L58" s="21">
        <f t="shared" ref="L58" si="10">I58/$I$57</f>
        <v>0.81046222696630199</v>
      </c>
    </row>
    <row r="59" spans="2:12" x14ac:dyDescent="0.25">
      <c r="B59" s="267"/>
      <c r="C59" s="271"/>
      <c r="D59" s="23" t="s">
        <v>32</v>
      </c>
      <c r="E59" s="24">
        <v>48658</v>
      </c>
      <c r="F59" s="24">
        <v>68948</v>
      </c>
      <c r="G59" s="24">
        <v>135425</v>
      </c>
      <c r="H59" s="24">
        <v>145200</v>
      </c>
      <c r="I59" s="24">
        <v>173305</v>
      </c>
      <c r="J59" s="25">
        <f>IFERROR(I59/H59-1,"-")</f>
        <v>0.1935606060606061</v>
      </c>
      <c r="K59" s="24">
        <f>IFERROR(I59-H59,"-")</f>
        <v>28105</v>
      </c>
      <c r="L59" s="25">
        <f>IFERROR(I59/I57,"-")</f>
        <v>0.18953777303369804</v>
      </c>
    </row>
    <row r="60" spans="2:12" x14ac:dyDescent="0.25">
      <c r="B60" s="267"/>
      <c r="C60" s="272" t="s">
        <v>33</v>
      </c>
      <c r="D60" s="26" t="s">
        <v>30</v>
      </c>
      <c r="E60" s="51">
        <v>225835</v>
      </c>
      <c r="F60" s="51">
        <v>354204</v>
      </c>
      <c r="G60" s="51">
        <v>710225</v>
      </c>
      <c r="H60" s="51">
        <v>797848</v>
      </c>
      <c r="I60" s="51">
        <v>914356</v>
      </c>
      <c r="J60" s="36">
        <f t="shared" si="8"/>
        <v>0.14602781482187077</v>
      </c>
      <c r="K60" s="51">
        <f t="shared" si="9"/>
        <v>116508</v>
      </c>
      <c r="L60" s="36">
        <f>I60/$I$60</f>
        <v>1</v>
      </c>
    </row>
    <row r="61" spans="2:12" x14ac:dyDescent="0.25">
      <c r="B61" s="267"/>
      <c r="C61" s="273"/>
      <c r="D61" s="4" t="s">
        <v>31</v>
      </c>
      <c r="E61" s="52">
        <v>177177</v>
      </c>
      <c r="F61" s="52">
        <v>285256</v>
      </c>
      <c r="G61" s="52">
        <v>574800</v>
      </c>
      <c r="H61" s="52">
        <v>652648</v>
      </c>
      <c r="I61" s="52">
        <v>741051</v>
      </c>
      <c r="J61" s="40">
        <f t="shared" si="8"/>
        <v>0.13545280151015548</v>
      </c>
      <c r="K61" s="52">
        <f t="shared" si="9"/>
        <v>88403</v>
      </c>
      <c r="L61" s="40">
        <f t="shared" ref="L61" si="11">I61/$I$60</f>
        <v>0.81046222696630199</v>
      </c>
    </row>
    <row r="62" spans="2:12" x14ac:dyDescent="0.25">
      <c r="B62" s="267"/>
      <c r="C62" s="274"/>
      <c r="D62" s="32" t="s">
        <v>32</v>
      </c>
      <c r="E62" s="33">
        <v>48658</v>
      </c>
      <c r="F62" s="33">
        <v>68948</v>
      </c>
      <c r="G62" s="33">
        <v>135425</v>
      </c>
      <c r="H62" s="33">
        <v>145200</v>
      </c>
      <c r="I62" s="33">
        <v>173305</v>
      </c>
      <c r="J62" s="34">
        <f>IFERROR(I62/H62-1,"-")</f>
        <v>0.1935606060606061</v>
      </c>
      <c r="K62" s="33">
        <f>IFERROR(I62-H62,"-")</f>
        <v>28105</v>
      </c>
      <c r="L62" s="61">
        <f>IFERROR(I62/I60,"-")</f>
        <v>0.18953777303369804</v>
      </c>
    </row>
    <row r="63" spans="2:12" x14ac:dyDescent="0.25">
      <c r="B63" s="267"/>
      <c r="C63" s="269" t="s">
        <v>21</v>
      </c>
      <c r="D63" s="15" t="s">
        <v>30</v>
      </c>
      <c r="E63" s="49">
        <v>1546641</v>
      </c>
      <c r="F63" s="49">
        <v>1967362</v>
      </c>
      <c r="G63" s="49">
        <v>4352393</v>
      </c>
      <c r="H63" s="49">
        <v>5123327</v>
      </c>
      <c r="I63" s="49">
        <v>5751799</v>
      </c>
      <c r="J63" s="17">
        <f t="shared" si="8"/>
        <v>0.12266872678632468</v>
      </c>
      <c r="K63" s="16">
        <f t="shared" si="9"/>
        <v>628472</v>
      </c>
      <c r="L63" s="17">
        <f>I63/$I$63</f>
        <v>1</v>
      </c>
    </row>
    <row r="64" spans="2:12" x14ac:dyDescent="0.25">
      <c r="B64" s="267"/>
      <c r="C64" s="270"/>
      <c r="D64" s="19" t="s">
        <v>31</v>
      </c>
      <c r="E64" s="50">
        <v>1157521</v>
      </c>
      <c r="F64" s="50">
        <v>1534896</v>
      </c>
      <c r="G64" s="50">
        <v>3454999</v>
      </c>
      <c r="H64" s="50">
        <v>4107039</v>
      </c>
      <c r="I64" s="50">
        <v>4639829</v>
      </c>
      <c r="J64" s="21">
        <f t="shared" si="8"/>
        <v>0.12972606298601019</v>
      </c>
      <c r="K64" s="20">
        <f t="shared" si="9"/>
        <v>532790</v>
      </c>
      <c r="L64" s="21">
        <f t="shared" ref="L64" si="12">I64/$I$63</f>
        <v>0.80667439874028979</v>
      </c>
    </row>
    <row r="65" spans="2:12" x14ac:dyDescent="0.25">
      <c r="B65" s="267"/>
      <c r="C65" s="271"/>
      <c r="D65" s="23" t="s">
        <v>32</v>
      </c>
      <c r="E65" s="24">
        <v>389120</v>
      </c>
      <c r="F65" s="24">
        <v>432466</v>
      </c>
      <c r="G65" s="24">
        <v>897394</v>
      </c>
      <c r="H65" s="24">
        <v>1016288</v>
      </c>
      <c r="I65" s="24">
        <v>1111970</v>
      </c>
      <c r="J65" s="25">
        <f>IFERROR(I65/H65-1,"-")</f>
        <v>9.4148509084039267E-2</v>
      </c>
      <c r="K65" s="24">
        <f>IFERROR(I65-H65,"-")</f>
        <v>95682</v>
      </c>
      <c r="L65" s="25">
        <f>IFERROR(I65/I63,"-")</f>
        <v>0.19332560125971021</v>
      </c>
    </row>
    <row r="66" spans="2:12" x14ac:dyDescent="0.25">
      <c r="B66" s="267"/>
      <c r="C66" s="272" t="s">
        <v>22</v>
      </c>
      <c r="D66" s="26" t="s">
        <v>30</v>
      </c>
      <c r="E66" s="53">
        <v>6.8485442911860428</v>
      </c>
      <c r="F66" s="53">
        <v>5.5543189800228117</v>
      </c>
      <c r="G66" s="53">
        <v>6.1281889542046537</v>
      </c>
      <c r="H66" s="53">
        <v>6.4214324031645127</v>
      </c>
      <c r="I66" s="53">
        <v>6.2905465704823937</v>
      </c>
      <c r="J66" s="36">
        <f t="shared" si="8"/>
        <v>-2.0382653661139227E-2</v>
      </c>
      <c r="K66" s="37">
        <f t="shared" si="9"/>
        <v>-0.13088583268211895</v>
      </c>
      <c r="L66" s="36"/>
    </row>
    <row r="67" spans="2:12" x14ac:dyDescent="0.25">
      <c r="B67" s="267"/>
      <c r="C67" s="273"/>
      <c r="D67" s="4" t="s">
        <v>31</v>
      </c>
      <c r="E67" s="54">
        <f t="shared" ref="E67:I67" si="13">E64/E58</f>
        <v>6.5331335331335332</v>
      </c>
      <c r="F67" s="54">
        <f t="shared" si="13"/>
        <v>5.3807667498667859</v>
      </c>
      <c r="G67" s="54">
        <f t="shared" si="13"/>
        <v>6.0107846207376481</v>
      </c>
      <c r="H67" s="54">
        <f t="shared" si="13"/>
        <v>6.292885291918461</v>
      </c>
      <c r="I67" s="54">
        <f t="shared" si="13"/>
        <v>6.2611466687178075</v>
      </c>
      <c r="J67" s="40">
        <f t="shared" si="8"/>
        <v>-5.043572499472293E-3</v>
      </c>
      <c r="K67" s="41">
        <f t="shared" si="9"/>
        <v>-3.1738623200653571E-2</v>
      </c>
      <c r="L67" s="40"/>
    </row>
    <row r="68" spans="2:12" x14ac:dyDescent="0.25">
      <c r="B68" s="267"/>
      <c r="C68" s="274"/>
      <c r="D68" s="32" t="s">
        <v>32</v>
      </c>
      <c r="E68" s="43">
        <f>IFERROR(E65/E59,"-")</f>
        <v>7.997040568868429</v>
      </c>
      <c r="F68" s="43">
        <f t="shared" ref="F68:I68" si="14">IFERROR(F65/F59,"-")</f>
        <v>6.2723501769449443</v>
      </c>
      <c r="G68" s="43">
        <f t="shared" si="14"/>
        <v>6.6265017537382311</v>
      </c>
      <c r="H68" s="43">
        <f t="shared" si="14"/>
        <v>6.9992286501377414</v>
      </c>
      <c r="I68" s="43">
        <f t="shared" si="14"/>
        <v>6.4162603502495603</v>
      </c>
      <c r="J68" s="34">
        <f>IFERROR(I68/H68-1,"-")</f>
        <v>-8.3290363699821235E-2</v>
      </c>
      <c r="K68" s="33">
        <f>IFERROR(I68-H68,"-")</f>
        <v>-0.58296829988818111</v>
      </c>
      <c r="L68" s="61">
        <f>IFERROR(I68/I66,"-")</f>
        <v>1.0199845559298555</v>
      </c>
    </row>
    <row r="69" spans="2:12" x14ac:dyDescent="0.25">
      <c r="B69" s="267"/>
      <c r="C69" s="275" t="s">
        <v>34</v>
      </c>
      <c r="D69" s="15" t="s">
        <v>30</v>
      </c>
      <c r="E69" s="57">
        <v>0.48948502261743165</v>
      </c>
      <c r="F69" s="57">
        <v>0.48615455783025679</v>
      </c>
      <c r="G69" s="57">
        <v>0.6493275173640638</v>
      </c>
      <c r="H69" s="57">
        <v>0.73071425433679682</v>
      </c>
      <c r="I69" s="57">
        <v>0.78531451498170857</v>
      </c>
      <c r="J69" s="57">
        <f t="shared" si="8"/>
        <v>7.4721767532053285E-2</v>
      </c>
      <c r="K69" s="44">
        <f t="shared" si="9"/>
        <v>5.4600260644911747E-2</v>
      </c>
      <c r="L69" s="17"/>
    </row>
    <row r="70" spans="2:12" x14ac:dyDescent="0.25">
      <c r="B70" s="267"/>
      <c r="C70" s="276"/>
      <c r="D70" s="19" t="s">
        <v>31</v>
      </c>
      <c r="E70" s="58">
        <v>0.51022458290172568</v>
      </c>
      <c r="F70" s="58">
        <v>0.51651565552296963</v>
      </c>
      <c r="G70" s="58">
        <v>0.66840723443186234</v>
      </c>
      <c r="H70" s="58">
        <v>0.75711049413019116</v>
      </c>
      <c r="I70" s="58">
        <v>0.81153602495705168</v>
      </c>
      <c r="J70" s="58">
        <f t="shared" si="8"/>
        <v>7.1885849223880527E-2</v>
      </c>
      <c r="K70" s="45">
        <f t="shared" si="9"/>
        <v>5.4425530826860524E-2</v>
      </c>
      <c r="L70" s="21"/>
    </row>
    <row r="71" spans="2:12" x14ac:dyDescent="0.25">
      <c r="B71" s="267"/>
      <c r="C71" s="277"/>
      <c r="D71" s="23" t="s">
        <v>32</v>
      </c>
      <c r="E71" s="59">
        <v>0.43668308492718394</v>
      </c>
      <c r="F71" s="59">
        <v>0.40223857552634612</v>
      </c>
      <c r="G71" s="59">
        <v>0.58503273636647524</v>
      </c>
      <c r="H71" s="59">
        <v>0.6404747244880018</v>
      </c>
      <c r="I71" s="59">
        <v>0.69201596160452461</v>
      </c>
      <c r="J71" s="25">
        <f>IFERROR(I71/H71-1,"-")</f>
        <v>8.0473491218135296E-2</v>
      </c>
      <c r="K71" s="24">
        <f>IFERROR(I71-H71,"-")</f>
        <v>5.1541237116522809E-2</v>
      </c>
      <c r="L71" s="25">
        <f>IFERROR(I71/I69,"-")</f>
        <v>0.88119593920996475</v>
      </c>
    </row>
    <row r="72" spans="2:12" x14ac:dyDescent="0.25">
      <c r="B72" s="267"/>
      <c r="C72" s="278" t="s">
        <v>39</v>
      </c>
      <c r="D72" s="26" t="s">
        <v>30</v>
      </c>
      <c r="E72" s="51">
        <v>9244</v>
      </c>
      <c r="F72" s="51">
        <v>11050</v>
      </c>
      <c r="G72" s="51">
        <v>18364</v>
      </c>
      <c r="H72" s="51">
        <v>19209</v>
      </c>
      <c r="I72" s="51">
        <v>20011</v>
      </c>
      <c r="J72" s="36">
        <f t="shared" si="8"/>
        <v>4.175126242906968E-2</v>
      </c>
      <c r="K72" s="27">
        <f t="shared" si="9"/>
        <v>802</v>
      </c>
      <c r="L72" s="36">
        <f>I72/$I$72</f>
        <v>1</v>
      </c>
    </row>
    <row r="73" spans="2:12" x14ac:dyDescent="0.25">
      <c r="B73" s="267"/>
      <c r="C73" s="273"/>
      <c r="D73" s="4" t="s">
        <v>31</v>
      </c>
      <c r="E73" s="52">
        <v>6499</v>
      </c>
      <c r="F73" s="52">
        <v>8111</v>
      </c>
      <c r="G73" s="52">
        <v>14162</v>
      </c>
      <c r="H73" s="52">
        <v>14862</v>
      </c>
      <c r="I73" s="52">
        <v>15621</v>
      </c>
      <c r="J73" s="40">
        <f t="shared" si="8"/>
        <v>5.106984255147351E-2</v>
      </c>
      <c r="K73" s="29">
        <f t="shared" si="9"/>
        <v>759</v>
      </c>
      <c r="L73" s="40">
        <f t="shared" ref="L73" si="15">I73/$I$72</f>
        <v>0.78062065863774921</v>
      </c>
    </row>
    <row r="74" spans="2:12" x14ac:dyDescent="0.25">
      <c r="B74" s="268"/>
      <c r="C74" s="274"/>
      <c r="D74" s="32" t="s">
        <v>32</v>
      </c>
      <c r="E74" s="33">
        <v>2745</v>
      </c>
      <c r="F74" s="33">
        <v>2940</v>
      </c>
      <c r="G74" s="33">
        <v>4202</v>
      </c>
      <c r="H74" s="33">
        <v>4347</v>
      </c>
      <c r="I74" s="33">
        <v>4390</v>
      </c>
      <c r="J74" s="34">
        <f>IFERROR(I74/H74-1,"-")</f>
        <v>9.8918794570967972E-3</v>
      </c>
      <c r="K74" s="33">
        <f>IFERROR(I74-H74,"-")</f>
        <v>43</v>
      </c>
      <c r="L74" s="61">
        <f>IFERROR(I74/I72,"-")</f>
        <v>0.21937934136225076</v>
      </c>
    </row>
    <row r="75" spans="2:12" x14ac:dyDescent="0.25">
      <c r="B75" s="281"/>
      <c r="C75" s="281"/>
      <c r="D75" s="281"/>
      <c r="E75" s="281"/>
      <c r="F75" s="281"/>
      <c r="G75" s="281"/>
      <c r="H75" s="281"/>
      <c r="I75" s="281"/>
      <c r="J75" s="281"/>
      <c r="K75" s="281"/>
      <c r="L75" s="47"/>
    </row>
    <row r="76" spans="2:12" ht="27" customHeight="1" x14ac:dyDescent="0.25">
      <c r="B76" s="282" t="s">
        <v>36</v>
      </c>
      <c r="C76" s="283"/>
      <c r="D76" s="283"/>
      <c r="E76" s="283"/>
      <c r="F76" s="283"/>
      <c r="G76" s="283"/>
      <c r="H76" s="283"/>
      <c r="I76" s="283"/>
      <c r="J76" s="283"/>
      <c r="K76" s="283"/>
    </row>
  </sheetData>
  <mergeCells count="30">
    <mergeCell ref="B75:K75"/>
    <mergeCell ref="B76:K76"/>
    <mergeCell ref="B50:K50"/>
    <mergeCell ref="B51:K51"/>
    <mergeCell ref="B54:K54"/>
    <mergeCell ref="B57:B74"/>
    <mergeCell ref="C57:C59"/>
    <mergeCell ref="C60:C62"/>
    <mergeCell ref="C63:C65"/>
    <mergeCell ref="C66:C68"/>
    <mergeCell ref="C69:C71"/>
    <mergeCell ref="C72:C74"/>
    <mergeCell ref="B25:K25"/>
    <mergeCell ref="B26:K26"/>
    <mergeCell ref="B29:K29"/>
    <mergeCell ref="B32:B49"/>
    <mergeCell ref="C32:C34"/>
    <mergeCell ref="C35:C37"/>
    <mergeCell ref="C38:C40"/>
    <mergeCell ref="C41:C43"/>
    <mergeCell ref="C44:C46"/>
    <mergeCell ref="C47:C49"/>
    <mergeCell ref="B4:K4"/>
    <mergeCell ref="B7:B24"/>
    <mergeCell ref="C7:C9"/>
    <mergeCell ref="C10:C12"/>
    <mergeCell ref="C13:C15"/>
    <mergeCell ref="C16:C18"/>
    <mergeCell ref="C19:C21"/>
    <mergeCell ref="C22:C24"/>
  </mergeCells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382470-BC4E-4F29-A150-991CB0C75463}">
  <sheetPr codeName="Hoja22">
    <tabColor rgb="FFFFC000"/>
    <pageSetUpPr fitToPage="1"/>
  </sheetPr>
  <dimension ref="A1:X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3" customWidth="1"/>
    <col min="10" max="10" width="10.5703125" customWidth="1"/>
    <col min="11" max="11" width="11.5703125" customWidth="1"/>
    <col min="12" max="12" width="10.5703125" customWidth="1"/>
    <col min="14" max="14" width="11.42578125" customWidth="1"/>
    <col min="15" max="24" width="11.42578125" hidden="1" customWidth="1"/>
  </cols>
  <sheetData>
    <row r="1" spans="1:24" ht="42.75" customHeight="1" x14ac:dyDescent="0.25"/>
    <row r="4" spans="1:24" ht="42" customHeight="1" thickBot="1" x14ac:dyDescent="0.3">
      <c r="B4" s="265" t="str">
        <f>CONCATENATE("Viajeros alojados en los establecimientos alojativos de Tenerife según lugar de residencia y municipio de alojamiento (hotel + apartamento)")</f>
        <v>Viajeros alojados en los establecimientos alojativos de Tenerife según lugar de residencia y municipio de alojamiento (hotel + apartamento)</v>
      </c>
      <c r="C4" s="265"/>
      <c r="D4" s="265"/>
      <c r="E4" s="265"/>
      <c r="F4" s="265"/>
      <c r="G4" s="265"/>
      <c r="H4" s="265"/>
      <c r="I4" s="265"/>
      <c r="J4" s="265"/>
      <c r="K4" s="265"/>
      <c r="L4" s="265"/>
      <c r="O4" s="265" t="s">
        <v>268</v>
      </c>
      <c r="P4" s="265"/>
      <c r="Q4" s="265"/>
      <c r="R4" s="265"/>
      <c r="S4" s="265"/>
      <c r="T4" s="265"/>
      <c r="U4" s="265"/>
      <c r="V4" s="265"/>
      <c r="W4" s="265"/>
      <c r="X4" s="265"/>
    </row>
    <row r="5" spans="1:24" ht="6" customHeight="1" x14ac:dyDescent="0.25"/>
    <row r="6" spans="1:24" ht="15.75" x14ac:dyDescent="0.25">
      <c r="B6" s="141"/>
      <c r="C6" s="298" t="s">
        <v>43</v>
      </c>
      <c r="D6" s="299"/>
      <c r="E6" s="299"/>
      <c r="F6" s="299"/>
      <c r="G6" s="299"/>
      <c r="H6" s="299"/>
      <c r="I6" s="299"/>
      <c r="J6" s="299"/>
      <c r="K6" s="299"/>
      <c r="L6" s="299"/>
    </row>
    <row r="7" spans="1:24" s="142" customFormat="1" ht="72" customHeight="1" x14ac:dyDescent="0.25">
      <c r="B7" s="143"/>
      <c r="C7" s="168" t="s">
        <v>322</v>
      </c>
      <c r="D7" s="168" t="s">
        <v>316</v>
      </c>
      <c r="E7" s="168" t="s">
        <v>317</v>
      </c>
      <c r="F7" s="168" t="s">
        <v>318</v>
      </c>
      <c r="G7" s="168" t="s">
        <v>319</v>
      </c>
      <c r="H7" s="168" t="s">
        <v>320</v>
      </c>
      <c r="I7" s="168" t="s">
        <v>321</v>
      </c>
      <c r="J7" s="169" t="str">
        <f>CONCATENATE("var. ",RIGHT(I7,2),"/",RIGHT(H7,2))</f>
        <v>var. 25/24</v>
      </c>
      <c r="K7" s="168" t="str">
        <f>CONCATENATE("dif. ",RIGHT(I7,2),"/",RIGHT(H7,2))</f>
        <v>dif. 25/24</v>
      </c>
      <c r="L7" s="169" t="str">
        <f>CONCATENATE("Cuota s/ total lugares de residencia ",RIGHT(I7,4))</f>
        <v>Cuota s/ total lugares de residencia 2025</v>
      </c>
      <c r="O7" s="143"/>
      <c r="P7" s="168" t="s">
        <v>316</v>
      </c>
      <c r="Q7" s="168" t="s">
        <v>317</v>
      </c>
      <c r="R7" s="168" t="s">
        <v>318</v>
      </c>
      <c r="S7" s="168" t="s">
        <v>319</v>
      </c>
      <c r="T7" s="168" t="s">
        <v>320</v>
      </c>
      <c r="U7" s="168" t="s">
        <v>321</v>
      </c>
      <c r="V7" s="169" t="str">
        <f>CONCATENATE("var. ",RIGHT(U7,2),"/",RIGHT(T7,2))</f>
        <v>var. 25/24</v>
      </c>
      <c r="W7" s="168" t="str">
        <f>CONCATENATE("dif. ",RIGHT(U7,2),"/",RIGHT(T7,2))</f>
        <v>dif. 25/24</v>
      </c>
      <c r="X7" s="169" t="str">
        <f>CONCATENATE("Cuota s/ total lugares de residencia ",RIGHT(U7,4))</f>
        <v>Cuota s/ total lugares de residencia 2025</v>
      </c>
    </row>
    <row r="8" spans="1:24" x14ac:dyDescent="0.25">
      <c r="A8" s="1"/>
      <c r="B8" s="148" t="s">
        <v>43</v>
      </c>
      <c r="C8" s="149"/>
      <c r="D8" s="149"/>
      <c r="E8" s="149"/>
      <c r="F8" s="149"/>
      <c r="G8" s="149"/>
      <c r="H8" s="149"/>
      <c r="I8" s="150"/>
      <c r="J8" s="150"/>
      <c r="K8" s="150"/>
      <c r="L8" s="149"/>
      <c r="O8" s="151" t="s">
        <v>48</v>
      </c>
      <c r="P8" s="149"/>
      <c r="Q8" s="149"/>
      <c r="R8" s="149"/>
      <c r="S8" s="149"/>
      <c r="T8" s="149"/>
      <c r="U8" s="150"/>
      <c r="V8" s="150"/>
      <c r="W8" s="150"/>
      <c r="X8" s="149"/>
    </row>
    <row r="9" spans="1:24" x14ac:dyDescent="0.25">
      <c r="A9" s="1"/>
      <c r="B9" s="152" t="s">
        <v>68</v>
      </c>
      <c r="C9" s="172">
        <v>466593</v>
      </c>
      <c r="D9" s="172">
        <v>484978</v>
      </c>
      <c r="E9" s="172">
        <v>58605</v>
      </c>
      <c r="F9" s="172">
        <v>348878</v>
      </c>
      <c r="G9" s="172">
        <v>496191</v>
      </c>
      <c r="H9" s="172">
        <v>514135</v>
      </c>
      <c r="I9" s="172">
        <v>519530</v>
      </c>
      <c r="J9" s="173">
        <f>IFERROR(I9/H9-1,"-")</f>
        <v>1.0493352913145459E-2</v>
      </c>
      <c r="K9" s="172">
        <f t="shared" ref="K9:K21" si="0">I9-H9</f>
        <v>5395</v>
      </c>
      <c r="L9" s="173">
        <f t="shared" ref="L9:L21" si="1">I9/I$9</f>
        <v>1</v>
      </c>
      <c r="O9" s="152" t="s">
        <v>68</v>
      </c>
      <c r="P9" s="172">
        <v>76430</v>
      </c>
      <c r="Q9" s="172">
        <v>5686</v>
      </c>
      <c r="R9" s="172">
        <v>46455</v>
      </c>
      <c r="S9" s="172">
        <v>73539</v>
      </c>
      <c r="T9" s="172">
        <v>78833</v>
      </c>
      <c r="U9" s="172">
        <v>80690</v>
      </c>
      <c r="V9" s="173">
        <f>IFERROR(U9/T9-1,"-")</f>
        <v>2.3556124973044268E-2</v>
      </c>
      <c r="W9" s="172">
        <f>U9-T9</f>
        <v>1857</v>
      </c>
      <c r="X9" s="173">
        <f t="shared" ref="X9:X21" si="2">U9/U$9</f>
        <v>1</v>
      </c>
    </row>
    <row r="10" spans="1:24" x14ac:dyDescent="0.25">
      <c r="A10" s="1" t="s">
        <v>96</v>
      </c>
      <c r="B10" s="155" t="s">
        <v>97</v>
      </c>
      <c r="C10" s="156">
        <v>57228</v>
      </c>
      <c r="D10" s="156">
        <v>67208</v>
      </c>
      <c r="E10" s="156">
        <v>21837</v>
      </c>
      <c r="F10" s="156">
        <v>49855</v>
      </c>
      <c r="G10" s="156">
        <v>71641</v>
      </c>
      <c r="H10" s="156">
        <v>62501</v>
      </c>
      <c r="I10" s="156">
        <v>64036</v>
      </c>
      <c r="J10" s="174">
        <f>IFERROR(I10/H10-1,"-")</f>
        <v>2.4559607046287235E-2</v>
      </c>
      <c r="K10" s="155">
        <f t="shared" si="0"/>
        <v>1535</v>
      </c>
      <c r="L10" s="157">
        <f t="shared" si="1"/>
        <v>0.12325755971743692</v>
      </c>
      <c r="O10" s="155" t="s">
        <v>97</v>
      </c>
      <c r="P10" s="156">
        <v>23831</v>
      </c>
      <c r="Q10" s="156">
        <v>2380</v>
      </c>
      <c r="R10" s="156">
        <v>14579</v>
      </c>
      <c r="S10" s="156">
        <v>22585</v>
      </c>
      <c r="T10" s="156">
        <v>20080</v>
      </c>
      <c r="U10" s="156">
        <v>21637</v>
      </c>
      <c r="V10" s="174">
        <f>IFERROR(U10/T10-1,"-")</f>
        <v>7.7539840637450119E-2</v>
      </c>
      <c r="W10" s="155">
        <f t="shared" ref="W10:W20" si="3">U10-T10</f>
        <v>1557</v>
      </c>
      <c r="X10" s="157">
        <f t="shared" si="2"/>
        <v>0.26814970876192834</v>
      </c>
    </row>
    <row r="11" spans="1:24" x14ac:dyDescent="0.25">
      <c r="A11" s="158" t="s">
        <v>103</v>
      </c>
      <c r="B11" s="159" t="s">
        <v>103</v>
      </c>
      <c r="C11" s="160">
        <v>18477</v>
      </c>
      <c r="D11" s="160">
        <v>21085</v>
      </c>
      <c r="E11" s="160">
        <v>15270</v>
      </c>
      <c r="F11" s="160">
        <v>19221</v>
      </c>
      <c r="G11" s="160">
        <v>27326</v>
      </c>
      <c r="H11" s="160">
        <v>21146</v>
      </c>
      <c r="I11" s="160">
        <v>19952</v>
      </c>
      <c r="J11" s="175">
        <f>IFERROR(I11/H11-1,"-")</f>
        <v>-5.6464579589520447E-2</v>
      </c>
      <c r="K11" s="159">
        <f t="shared" si="0"/>
        <v>-1194</v>
      </c>
      <c r="L11" s="161">
        <f t="shared" si="1"/>
        <v>3.8403942024522165E-2</v>
      </c>
      <c r="O11" s="159" t="s">
        <v>103</v>
      </c>
      <c r="P11" s="160">
        <v>3932</v>
      </c>
      <c r="Q11" s="160">
        <v>1193</v>
      </c>
      <c r="R11" s="160">
        <v>3448</v>
      </c>
      <c r="S11" s="160">
        <v>4038</v>
      </c>
      <c r="T11" s="160">
        <v>3609</v>
      </c>
      <c r="U11" s="160">
        <v>4218</v>
      </c>
      <c r="V11" s="175">
        <f>IFERROR(U11/T11-1,"-")</f>
        <v>0.16874480465502906</v>
      </c>
      <c r="W11" s="159">
        <f t="shared" si="3"/>
        <v>609</v>
      </c>
      <c r="X11" s="161">
        <f t="shared" si="2"/>
        <v>5.2274135580617179E-2</v>
      </c>
    </row>
    <row r="12" spans="1:24" x14ac:dyDescent="0.25">
      <c r="A12" s="158" t="s">
        <v>100</v>
      </c>
      <c r="B12" s="159" t="s">
        <v>100</v>
      </c>
      <c r="C12" s="160">
        <v>38751</v>
      </c>
      <c r="D12" s="160">
        <v>46123</v>
      </c>
      <c r="E12" s="160">
        <v>6567</v>
      </c>
      <c r="F12" s="160">
        <v>30634</v>
      </c>
      <c r="G12" s="160">
        <v>44315</v>
      </c>
      <c r="H12" s="160">
        <v>41355</v>
      </c>
      <c r="I12" s="160">
        <v>44084</v>
      </c>
      <c r="J12" s="175">
        <f>IFERROR(I12/H12-1,"-")</f>
        <v>6.5989602224640231E-2</v>
      </c>
      <c r="K12" s="159">
        <f t="shared" si="0"/>
        <v>2729</v>
      </c>
      <c r="L12" s="161">
        <f t="shared" si="1"/>
        <v>8.4853617692914746E-2</v>
      </c>
      <c r="O12" s="159" t="s">
        <v>100</v>
      </c>
      <c r="P12" s="160">
        <v>19899</v>
      </c>
      <c r="Q12" s="160">
        <v>1187</v>
      </c>
      <c r="R12" s="160">
        <v>11131</v>
      </c>
      <c r="S12" s="160">
        <v>18547</v>
      </c>
      <c r="T12" s="160">
        <v>16471</v>
      </c>
      <c r="U12" s="160">
        <v>17419</v>
      </c>
      <c r="V12" s="175">
        <f>IFERROR(U12/T12-1,"-")</f>
        <v>5.7555703964543792E-2</v>
      </c>
      <c r="W12" s="159">
        <f t="shared" si="3"/>
        <v>948</v>
      </c>
      <c r="X12" s="161">
        <f t="shared" si="2"/>
        <v>0.2158755731813112</v>
      </c>
    </row>
    <row r="13" spans="1:24" x14ac:dyDescent="0.25">
      <c r="A13" s="1"/>
      <c r="B13" s="155" t="s">
        <v>107</v>
      </c>
      <c r="C13" s="156">
        <v>409365</v>
      </c>
      <c r="D13" s="156">
        <v>417770</v>
      </c>
      <c r="E13" s="156">
        <v>36768</v>
      </c>
      <c r="F13" s="156">
        <v>299023</v>
      </c>
      <c r="G13" s="156">
        <v>424550</v>
      </c>
      <c r="H13" s="156">
        <v>451634</v>
      </c>
      <c r="I13" s="156">
        <v>455494</v>
      </c>
      <c r="J13" s="174">
        <f>IFERROR(I13/H13-1,"-")</f>
        <v>8.5467436021202658E-3</v>
      </c>
      <c r="K13" s="155">
        <f t="shared" si="0"/>
        <v>3860</v>
      </c>
      <c r="L13" s="157">
        <f t="shared" si="1"/>
        <v>0.8767424402825631</v>
      </c>
      <c r="O13" s="155" t="s">
        <v>107</v>
      </c>
      <c r="P13" s="156">
        <v>52599</v>
      </c>
      <c r="Q13" s="156">
        <v>3306</v>
      </c>
      <c r="R13" s="156">
        <v>31876</v>
      </c>
      <c r="S13" s="156">
        <v>50954</v>
      </c>
      <c r="T13" s="156">
        <v>58753</v>
      </c>
      <c r="U13" s="156">
        <v>59053</v>
      </c>
      <c r="V13" s="174">
        <f>IFERROR(U13/T13-1,"-")</f>
        <v>5.1061222405663909E-3</v>
      </c>
      <c r="W13" s="155">
        <f t="shared" si="3"/>
        <v>300</v>
      </c>
      <c r="X13" s="157">
        <f t="shared" si="2"/>
        <v>0.73185029123807166</v>
      </c>
    </row>
    <row r="14" spans="1:24" s="56" customFormat="1" x14ac:dyDescent="0.25">
      <c r="B14" s="159" t="s">
        <v>110</v>
      </c>
      <c r="C14" s="160">
        <v>162886</v>
      </c>
      <c r="D14" s="160">
        <v>165600</v>
      </c>
      <c r="E14" s="160">
        <v>4672</v>
      </c>
      <c r="F14" s="160">
        <v>96256</v>
      </c>
      <c r="G14" s="160">
        <v>165242</v>
      </c>
      <c r="H14" s="160">
        <v>183399</v>
      </c>
      <c r="I14" s="160">
        <v>188077</v>
      </c>
      <c r="J14" s="175">
        <f t="shared" ref="J14:J21" si="4">IFERROR(I14/H14-1,"-")</f>
        <v>2.5507227411272648E-2</v>
      </c>
      <c r="K14" s="159">
        <f t="shared" si="0"/>
        <v>4678</v>
      </c>
      <c r="L14" s="161">
        <f t="shared" si="1"/>
        <v>0.36201374319096108</v>
      </c>
      <c r="O14" s="159" t="s">
        <v>110</v>
      </c>
      <c r="P14" s="160">
        <v>8587</v>
      </c>
      <c r="Q14" s="160">
        <v>357</v>
      </c>
      <c r="R14" s="160">
        <v>3579</v>
      </c>
      <c r="S14" s="160">
        <v>8849</v>
      </c>
      <c r="T14" s="160">
        <v>10897</v>
      </c>
      <c r="U14" s="160">
        <v>10975</v>
      </c>
      <c r="V14" s="175">
        <f t="shared" ref="V14:V21" si="5">IFERROR(U14/T14-1,"-")</f>
        <v>7.157933376158665E-3</v>
      </c>
      <c r="W14" s="159">
        <f t="shared" si="3"/>
        <v>78</v>
      </c>
      <c r="X14" s="161">
        <f t="shared" si="2"/>
        <v>0.13601437600694014</v>
      </c>
    </row>
    <row r="15" spans="1:24" s="56" customFormat="1" x14ac:dyDescent="0.25">
      <c r="B15" s="159" t="s">
        <v>113</v>
      </c>
      <c r="C15" s="160">
        <v>59498</v>
      </c>
      <c r="D15" s="160">
        <v>53507</v>
      </c>
      <c r="E15" s="160">
        <v>5565</v>
      </c>
      <c r="F15" s="160">
        <v>34917</v>
      </c>
      <c r="G15" s="160">
        <v>48636</v>
      </c>
      <c r="H15" s="160">
        <v>52305</v>
      </c>
      <c r="I15" s="160">
        <v>51762</v>
      </c>
      <c r="J15" s="175">
        <f t="shared" si="4"/>
        <v>-1.0381416690564915E-2</v>
      </c>
      <c r="K15" s="159">
        <f t="shared" si="0"/>
        <v>-543</v>
      </c>
      <c r="L15" s="161">
        <f t="shared" si="1"/>
        <v>9.963236001770831E-2</v>
      </c>
      <c r="O15" s="159" t="s">
        <v>113</v>
      </c>
      <c r="P15" s="160">
        <v>18991</v>
      </c>
      <c r="Q15" s="160">
        <v>913</v>
      </c>
      <c r="R15" s="160">
        <v>10854</v>
      </c>
      <c r="S15" s="160">
        <v>17148</v>
      </c>
      <c r="T15" s="160">
        <v>18648</v>
      </c>
      <c r="U15" s="160">
        <v>18509</v>
      </c>
      <c r="V15" s="175">
        <f t="shared" si="5"/>
        <v>-7.4538824538824544E-3</v>
      </c>
      <c r="W15" s="159">
        <f t="shared" si="3"/>
        <v>-139</v>
      </c>
      <c r="X15" s="161">
        <f t="shared" si="2"/>
        <v>0.22938406246127152</v>
      </c>
    </row>
    <row r="16" spans="1:24" x14ac:dyDescent="0.25">
      <c r="A16" s="1"/>
      <c r="B16" s="159" t="s">
        <v>116</v>
      </c>
      <c r="C16" s="160">
        <v>15797</v>
      </c>
      <c r="D16" s="160">
        <v>16914</v>
      </c>
      <c r="E16" s="160">
        <v>6288</v>
      </c>
      <c r="F16" s="160">
        <v>14292</v>
      </c>
      <c r="G16" s="160">
        <v>20310</v>
      </c>
      <c r="H16" s="160">
        <v>20435</v>
      </c>
      <c r="I16" s="160">
        <v>19938</v>
      </c>
      <c r="J16" s="175">
        <f t="shared" si="4"/>
        <v>-2.4321017861512084E-2</v>
      </c>
      <c r="K16" s="159">
        <f t="shared" si="0"/>
        <v>-497</v>
      </c>
      <c r="L16" s="161">
        <f t="shared" si="1"/>
        <v>3.837699459126518E-2</v>
      </c>
      <c r="O16" s="159" t="s">
        <v>116</v>
      </c>
      <c r="P16" s="160">
        <v>2440</v>
      </c>
      <c r="Q16" s="160">
        <v>656</v>
      </c>
      <c r="R16" s="160">
        <v>2131</v>
      </c>
      <c r="S16" s="160">
        <v>3539</v>
      </c>
      <c r="T16" s="160">
        <v>4470</v>
      </c>
      <c r="U16" s="160">
        <v>4566</v>
      </c>
      <c r="V16" s="175">
        <f t="shared" si="5"/>
        <v>2.1476510067114152E-2</v>
      </c>
      <c r="W16" s="159">
        <f t="shared" si="3"/>
        <v>96</v>
      </c>
      <c r="X16" s="161">
        <f t="shared" si="2"/>
        <v>5.6586937662659563E-2</v>
      </c>
    </row>
    <row r="17" spans="1:24" x14ac:dyDescent="0.25">
      <c r="A17" s="1"/>
      <c r="B17" s="159" t="s">
        <v>123</v>
      </c>
      <c r="C17" s="160">
        <v>12401</v>
      </c>
      <c r="D17" s="160">
        <v>12933</v>
      </c>
      <c r="E17" s="160">
        <v>580</v>
      </c>
      <c r="F17" s="160">
        <v>18123</v>
      </c>
      <c r="G17" s="160">
        <v>15395</v>
      </c>
      <c r="H17" s="160">
        <v>16147</v>
      </c>
      <c r="I17" s="160">
        <v>15057</v>
      </c>
      <c r="J17" s="175">
        <f t="shared" si="4"/>
        <v>-6.7504799653186343E-2</v>
      </c>
      <c r="K17" s="159">
        <f t="shared" si="0"/>
        <v>-1090</v>
      </c>
      <c r="L17" s="161">
        <f t="shared" si="1"/>
        <v>2.8981964467884435E-2</v>
      </c>
      <c r="O17" s="159" t="s">
        <v>123</v>
      </c>
      <c r="P17" s="160">
        <v>713</v>
      </c>
      <c r="Q17" s="160">
        <v>32</v>
      </c>
      <c r="R17" s="160">
        <v>1258</v>
      </c>
      <c r="S17" s="160">
        <v>1055</v>
      </c>
      <c r="T17" s="160">
        <v>1503</v>
      </c>
      <c r="U17" s="160">
        <v>1759</v>
      </c>
      <c r="V17" s="175">
        <f t="shared" si="5"/>
        <v>0.17032601463739194</v>
      </c>
      <c r="W17" s="159">
        <f t="shared" si="3"/>
        <v>256</v>
      </c>
      <c r="X17" s="161">
        <f t="shared" si="2"/>
        <v>2.1799479489403892E-2</v>
      </c>
    </row>
    <row r="18" spans="1:24" x14ac:dyDescent="0.25">
      <c r="A18" s="1"/>
      <c r="B18" s="159" t="s">
        <v>119</v>
      </c>
      <c r="C18" s="160">
        <v>15147</v>
      </c>
      <c r="D18" s="160">
        <v>15929</v>
      </c>
      <c r="E18" s="160">
        <v>2334</v>
      </c>
      <c r="F18" s="160">
        <v>16022</v>
      </c>
      <c r="G18" s="160">
        <v>16222</v>
      </c>
      <c r="H18" s="160">
        <v>16846</v>
      </c>
      <c r="I18" s="160">
        <v>15410</v>
      </c>
      <c r="J18" s="175">
        <f t="shared" si="4"/>
        <v>-8.5242787605366299E-2</v>
      </c>
      <c r="K18" s="159">
        <f t="shared" si="0"/>
        <v>-1436</v>
      </c>
      <c r="L18" s="161">
        <f t="shared" si="1"/>
        <v>2.966142474929263E-2</v>
      </c>
      <c r="O18" s="159" t="s">
        <v>119</v>
      </c>
      <c r="P18" s="160">
        <v>527</v>
      </c>
      <c r="Q18" s="160">
        <v>86</v>
      </c>
      <c r="R18" s="160">
        <v>707</v>
      </c>
      <c r="S18" s="160">
        <v>670</v>
      </c>
      <c r="T18" s="160">
        <v>736</v>
      </c>
      <c r="U18" s="160">
        <v>976</v>
      </c>
      <c r="V18" s="175">
        <f t="shared" si="5"/>
        <v>0.32608695652173902</v>
      </c>
      <c r="W18" s="159">
        <f t="shared" si="3"/>
        <v>240</v>
      </c>
      <c r="X18" s="161">
        <f t="shared" si="2"/>
        <v>1.2095674804808526E-2</v>
      </c>
    </row>
    <row r="19" spans="1:24" x14ac:dyDescent="0.25">
      <c r="A19" s="1"/>
      <c r="B19" s="159" t="s">
        <v>128</v>
      </c>
      <c r="C19" s="160">
        <v>13553</v>
      </c>
      <c r="D19" s="160">
        <v>13215</v>
      </c>
      <c r="E19" s="160">
        <v>171</v>
      </c>
      <c r="F19" s="160">
        <v>10264</v>
      </c>
      <c r="G19" s="160">
        <v>13172</v>
      </c>
      <c r="H19" s="160">
        <v>11587</v>
      </c>
      <c r="I19" s="160">
        <v>10490</v>
      </c>
      <c r="J19" s="175">
        <f t="shared" si="4"/>
        <v>-9.4675066885302472E-2</v>
      </c>
      <c r="K19" s="159">
        <f t="shared" si="0"/>
        <v>-1097</v>
      </c>
      <c r="L19" s="161">
        <f t="shared" si="1"/>
        <v>2.0191326776124573E-2</v>
      </c>
      <c r="O19" s="159" t="s">
        <v>128</v>
      </c>
      <c r="P19" s="160">
        <v>1583</v>
      </c>
      <c r="Q19" s="160">
        <v>17</v>
      </c>
      <c r="R19" s="160">
        <v>1097</v>
      </c>
      <c r="S19" s="160">
        <v>1801</v>
      </c>
      <c r="T19" s="160">
        <v>1606</v>
      </c>
      <c r="U19" s="160">
        <v>1482</v>
      </c>
      <c r="V19" s="175">
        <f t="shared" si="5"/>
        <v>-7.7210460772104583E-2</v>
      </c>
      <c r="W19" s="159">
        <f t="shared" si="3"/>
        <v>-124</v>
      </c>
      <c r="X19" s="161">
        <f t="shared" si="2"/>
        <v>1.8366588176973602E-2</v>
      </c>
    </row>
    <row r="20" spans="1:24" x14ac:dyDescent="0.25">
      <c r="A20" s="158" t="s">
        <v>144</v>
      </c>
      <c r="B20" s="159" t="s">
        <v>131</v>
      </c>
      <c r="C20" s="160">
        <v>20782</v>
      </c>
      <c r="D20" s="160">
        <v>21514</v>
      </c>
      <c r="E20" s="160">
        <v>960</v>
      </c>
      <c r="F20" s="160">
        <v>9924</v>
      </c>
      <c r="G20" s="160">
        <v>14512</v>
      </c>
      <c r="H20" s="160">
        <v>15668</v>
      </c>
      <c r="I20" s="160">
        <v>12918</v>
      </c>
      <c r="J20" s="175">
        <f t="shared" si="4"/>
        <v>-0.17551697727852944</v>
      </c>
      <c r="K20" s="159">
        <f t="shared" si="0"/>
        <v>-2750</v>
      </c>
      <c r="L20" s="161">
        <f t="shared" si="1"/>
        <v>2.4864781629549786E-2</v>
      </c>
      <c r="O20" s="159" t="s">
        <v>131</v>
      </c>
      <c r="P20" s="160">
        <v>2952</v>
      </c>
      <c r="Q20" s="160">
        <v>83</v>
      </c>
      <c r="R20" s="160">
        <v>1228</v>
      </c>
      <c r="S20" s="160">
        <v>1999</v>
      </c>
      <c r="T20" s="160">
        <v>2210</v>
      </c>
      <c r="U20" s="160">
        <v>1874</v>
      </c>
      <c r="V20" s="175">
        <f t="shared" si="5"/>
        <v>-0.15203619909502264</v>
      </c>
      <c r="W20" s="159">
        <f t="shared" si="3"/>
        <v>-336</v>
      </c>
      <c r="X20" s="161">
        <f t="shared" si="2"/>
        <v>2.3224687073986863E-2</v>
      </c>
    </row>
    <row r="21" spans="1:24" x14ac:dyDescent="0.25">
      <c r="A21" s="163" t="s">
        <v>145</v>
      </c>
      <c r="B21" s="164" t="s">
        <v>145</v>
      </c>
      <c r="C21" s="165">
        <f t="shared" ref="C21:I21" si="6">C13-SUM(C14:C20)</f>
        <v>109301</v>
      </c>
      <c r="D21" s="165">
        <f t="shared" si="6"/>
        <v>118158</v>
      </c>
      <c r="E21" s="165">
        <f t="shared" si="6"/>
        <v>16198</v>
      </c>
      <c r="F21" s="165">
        <f t="shared" si="6"/>
        <v>99225</v>
      </c>
      <c r="G21" s="165">
        <f t="shared" si="6"/>
        <v>131061</v>
      </c>
      <c r="H21" s="165">
        <f t="shared" si="6"/>
        <v>135247</v>
      </c>
      <c r="I21" s="165">
        <f t="shared" si="6"/>
        <v>141842</v>
      </c>
      <c r="J21" s="176">
        <f t="shared" si="4"/>
        <v>4.8762634291333651E-2</v>
      </c>
      <c r="K21" s="164">
        <f t="shared" si="0"/>
        <v>6595</v>
      </c>
      <c r="L21" s="166">
        <f t="shared" si="1"/>
        <v>0.27301984485977709</v>
      </c>
      <c r="O21" s="164" t="s">
        <v>145</v>
      </c>
      <c r="P21" s="165">
        <f t="shared" ref="P21:U21" si="7">P13-SUM(P14:P20)</f>
        <v>16806</v>
      </c>
      <c r="Q21" s="165">
        <f t="shared" si="7"/>
        <v>1162</v>
      </c>
      <c r="R21" s="165">
        <f t="shared" si="7"/>
        <v>11022</v>
      </c>
      <c r="S21" s="165">
        <f t="shared" si="7"/>
        <v>15893</v>
      </c>
      <c r="T21" s="165">
        <f t="shared" si="7"/>
        <v>18683</v>
      </c>
      <c r="U21" s="165">
        <f t="shared" si="7"/>
        <v>18912</v>
      </c>
      <c r="V21" s="176">
        <f t="shared" si="5"/>
        <v>1.2257132152224015E-2</v>
      </c>
      <c r="W21" s="164">
        <f>U21-T21</f>
        <v>229</v>
      </c>
      <c r="X21" s="166">
        <f t="shared" si="2"/>
        <v>0.23437848556202751</v>
      </c>
    </row>
    <row r="22" spans="1:24" x14ac:dyDescent="0.25">
      <c r="A22" s="1"/>
      <c r="B22" s="151" t="s">
        <v>44</v>
      </c>
      <c r="C22" s="149"/>
      <c r="D22" s="149"/>
      <c r="E22" s="149"/>
      <c r="F22" s="149"/>
      <c r="G22" s="149"/>
      <c r="H22" s="149"/>
      <c r="I22" s="149"/>
      <c r="J22" s="150"/>
      <c r="K22" s="150"/>
      <c r="L22" s="149"/>
    </row>
    <row r="23" spans="1:24" x14ac:dyDescent="0.25">
      <c r="A23" s="1"/>
      <c r="B23" s="152" t="s">
        <v>68</v>
      </c>
      <c r="C23" s="172">
        <v>168240</v>
      </c>
      <c r="D23" s="172">
        <v>177772</v>
      </c>
      <c r="E23" s="172">
        <v>20169</v>
      </c>
      <c r="F23" s="172">
        <v>128271</v>
      </c>
      <c r="G23" s="172">
        <v>176286</v>
      </c>
      <c r="H23" s="172">
        <v>189792</v>
      </c>
      <c r="I23" s="172">
        <v>182742</v>
      </c>
      <c r="J23" s="173">
        <f>IFERROR(I23/H23-1,"-")</f>
        <v>-3.7145928174000975E-2</v>
      </c>
      <c r="K23" s="172">
        <f>I23-H23</f>
        <v>-7050</v>
      </c>
      <c r="L23" s="173">
        <f t="shared" ref="L23:L35" si="8">I23/I$9</f>
        <v>0.35174484630338959</v>
      </c>
    </row>
    <row r="24" spans="1:24" x14ac:dyDescent="0.25">
      <c r="A24" s="1" t="s">
        <v>96</v>
      </c>
      <c r="B24" s="155" t="s">
        <v>97</v>
      </c>
      <c r="C24" s="156">
        <v>10094</v>
      </c>
      <c r="D24" s="156">
        <v>11427</v>
      </c>
      <c r="E24" s="156">
        <v>7031</v>
      </c>
      <c r="F24" s="156">
        <v>11181</v>
      </c>
      <c r="G24" s="156">
        <v>11250</v>
      </c>
      <c r="H24" s="156">
        <v>9374</v>
      </c>
      <c r="I24" s="156">
        <v>8686</v>
      </c>
      <c r="J24" s="174">
        <f>IFERROR(I24/H24-1,"-")</f>
        <v>-7.3394495412844041E-2</v>
      </c>
      <c r="K24" s="155">
        <f t="shared" ref="K24:K34" si="9">I24-H24</f>
        <v>-688</v>
      </c>
      <c r="L24" s="157">
        <f t="shared" si="8"/>
        <v>1.6718957519296286E-2</v>
      </c>
    </row>
    <row r="25" spans="1:24" x14ac:dyDescent="0.25">
      <c r="A25" s="158" t="s">
        <v>103</v>
      </c>
      <c r="B25" s="159" t="s">
        <v>103</v>
      </c>
      <c r="C25" s="160">
        <v>3875</v>
      </c>
      <c r="D25" s="160">
        <v>4837</v>
      </c>
      <c r="E25" s="160">
        <v>4844</v>
      </c>
      <c r="F25" s="160">
        <v>4705</v>
      </c>
      <c r="G25" s="160">
        <v>4494</v>
      </c>
      <c r="H25" s="160">
        <v>2577</v>
      </c>
      <c r="I25" s="160">
        <v>3099</v>
      </c>
      <c r="J25" s="175">
        <f>IFERROR(I25/H25-1,"-")</f>
        <v>0.20256111757857975</v>
      </c>
      <c r="K25" s="159">
        <f t="shared" si="9"/>
        <v>522</v>
      </c>
      <c r="L25" s="161">
        <f t="shared" si="8"/>
        <v>5.9650068330991471E-3</v>
      </c>
    </row>
    <row r="26" spans="1:24" x14ac:dyDescent="0.25">
      <c r="A26" s="158" t="s">
        <v>100</v>
      </c>
      <c r="B26" s="159" t="s">
        <v>100</v>
      </c>
      <c r="C26" s="160">
        <v>6219</v>
      </c>
      <c r="D26" s="160">
        <v>6590</v>
      </c>
      <c r="E26" s="160">
        <v>2187</v>
      </c>
      <c r="F26" s="160">
        <v>6476</v>
      </c>
      <c r="G26" s="160">
        <v>6756</v>
      </c>
      <c r="H26" s="160">
        <v>6797</v>
      </c>
      <c r="I26" s="160">
        <v>5587</v>
      </c>
      <c r="J26" s="175">
        <f>IFERROR(I26/H26-1,"-")</f>
        <v>-0.1780197145799618</v>
      </c>
      <c r="K26" s="159">
        <f t="shared" si="9"/>
        <v>-1210</v>
      </c>
      <c r="L26" s="161">
        <f t="shared" si="8"/>
        <v>1.0753950686197139E-2</v>
      </c>
    </row>
    <row r="27" spans="1:24" x14ac:dyDescent="0.25">
      <c r="A27" s="1"/>
      <c r="B27" s="155" t="s">
        <v>107</v>
      </c>
      <c r="C27" s="156">
        <v>158146</v>
      </c>
      <c r="D27" s="156">
        <v>166345</v>
      </c>
      <c r="E27" s="156">
        <v>13138</v>
      </c>
      <c r="F27" s="156">
        <v>117090</v>
      </c>
      <c r="G27" s="156">
        <v>165036</v>
      </c>
      <c r="H27" s="156">
        <v>180418</v>
      </c>
      <c r="I27" s="156">
        <v>174056</v>
      </c>
      <c r="J27" s="174">
        <f>IFERROR(I27/H27-1,"-")</f>
        <v>-3.5262556951080271E-2</v>
      </c>
      <c r="K27" s="155">
        <f t="shared" si="9"/>
        <v>-6362</v>
      </c>
      <c r="L27" s="157">
        <f t="shared" si="8"/>
        <v>0.33502588878409334</v>
      </c>
    </row>
    <row r="28" spans="1:24" s="56" customFormat="1" x14ac:dyDescent="0.25">
      <c r="B28" s="159" t="s">
        <v>110</v>
      </c>
      <c r="C28" s="160">
        <v>72586</v>
      </c>
      <c r="D28" s="160">
        <v>74463</v>
      </c>
      <c r="E28" s="160">
        <v>1525</v>
      </c>
      <c r="F28" s="160">
        <v>44443</v>
      </c>
      <c r="G28" s="160">
        <v>74914</v>
      </c>
      <c r="H28" s="160">
        <v>84180</v>
      </c>
      <c r="I28" s="160">
        <v>84528</v>
      </c>
      <c r="J28" s="175">
        <f t="shared" ref="J28:J35" si="10">IFERROR(I28/H28-1,"-")</f>
        <v>4.1339985744832664E-3</v>
      </c>
      <c r="K28" s="159">
        <f t="shared" si="9"/>
        <v>348</v>
      </c>
      <c r="L28" s="161">
        <f t="shared" si="8"/>
        <v>0.16270090273901411</v>
      </c>
    </row>
    <row r="29" spans="1:24" s="56" customFormat="1" x14ac:dyDescent="0.25">
      <c r="B29" s="159" t="s">
        <v>113</v>
      </c>
      <c r="C29" s="160">
        <v>20463</v>
      </c>
      <c r="D29" s="160">
        <v>19645</v>
      </c>
      <c r="E29" s="160">
        <v>2015</v>
      </c>
      <c r="F29" s="160">
        <v>13211</v>
      </c>
      <c r="G29" s="160">
        <v>17039</v>
      </c>
      <c r="H29" s="160">
        <v>18209</v>
      </c>
      <c r="I29" s="160">
        <v>17560</v>
      </c>
      <c r="J29" s="175">
        <f t="shared" si="10"/>
        <v>-3.5641715635125526E-2</v>
      </c>
      <c r="K29" s="159">
        <f t="shared" si="9"/>
        <v>-649</v>
      </c>
      <c r="L29" s="161">
        <f t="shared" si="8"/>
        <v>3.379978057090062E-2</v>
      </c>
    </row>
    <row r="30" spans="1:24" x14ac:dyDescent="0.25">
      <c r="A30" s="1"/>
      <c r="B30" s="159" t="s">
        <v>116</v>
      </c>
      <c r="C30" s="160">
        <v>5176</v>
      </c>
      <c r="D30" s="160">
        <v>5741</v>
      </c>
      <c r="E30" s="160">
        <v>2341</v>
      </c>
      <c r="F30" s="160">
        <v>4518</v>
      </c>
      <c r="G30" s="160">
        <v>5836</v>
      </c>
      <c r="H30" s="160">
        <v>7093</v>
      </c>
      <c r="I30" s="160">
        <v>5171</v>
      </c>
      <c r="J30" s="175">
        <f t="shared" si="10"/>
        <v>-0.27097138023403355</v>
      </c>
      <c r="K30" s="159">
        <f t="shared" si="9"/>
        <v>-1922</v>
      </c>
      <c r="L30" s="161">
        <f t="shared" si="8"/>
        <v>9.9532269551325242E-3</v>
      </c>
    </row>
    <row r="31" spans="1:24" x14ac:dyDescent="0.25">
      <c r="A31" s="1"/>
      <c r="B31" s="159" t="s">
        <v>123</v>
      </c>
      <c r="C31" s="160">
        <v>5254</v>
      </c>
      <c r="D31" s="160">
        <v>5613</v>
      </c>
      <c r="E31" s="160">
        <v>193</v>
      </c>
      <c r="F31" s="160">
        <v>7413</v>
      </c>
      <c r="G31" s="160">
        <v>6463</v>
      </c>
      <c r="H31" s="160">
        <v>6265</v>
      </c>
      <c r="I31" s="160">
        <v>5497</v>
      </c>
      <c r="J31" s="175">
        <f t="shared" si="10"/>
        <v>-0.12258579409417403</v>
      </c>
      <c r="K31" s="159">
        <f t="shared" si="9"/>
        <v>-768</v>
      </c>
      <c r="L31" s="161">
        <f t="shared" si="8"/>
        <v>1.0580717186687969E-2</v>
      </c>
    </row>
    <row r="32" spans="1:24" x14ac:dyDescent="0.25">
      <c r="A32" s="1"/>
      <c r="B32" s="159" t="s">
        <v>119</v>
      </c>
      <c r="C32" s="160">
        <v>7908</v>
      </c>
      <c r="D32" s="160">
        <v>8489</v>
      </c>
      <c r="E32" s="160">
        <v>1005</v>
      </c>
      <c r="F32" s="160">
        <v>9547</v>
      </c>
      <c r="G32" s="160">
        <v>8427</v>
      </c>
      <c r="H32" s="160">
        <v>8615</v>
      </c>
      <c r="I32" s="160">
        <v>8227</v>
      </c>
      <c r="J32" s="175">
        <f t="shared" si="10"/>
        <v>-4.503772489843294E-2</v>
      </c>
      <c r="K32" s="159">
        <f t="shared" si="9"/>
        <v>-388</v>
      </c>
      <c r="L32" s="161">
        <f t="shared" si="8"/>
        <v>1.5835466671799511E-2</v>
      </c>
    </row>
    <row r="33" spans="1:12" x14ac:dyDescent="0.25">
      <c r="A33" s="1"/>
      <c r="B33" s="159" t="s">
        <v>128</v>
      </c>
      <c r="C33" s="160">
        <v>5312</v>
      </c>
      <c r="D33" s="160">
        <v>5220</v>
      </c>
      <c r="E33" s="160">
        <v>15</v>
      </c>
      <c r="F33" s="160">
        <v>3148</v>
      </c>
      <c r="G33" s="160">
        <v>4430</v>
      </c>
      <c r="H33" s="160">
        <v>4045</v>
      </c>
      <c r="I33" s="160">
        <v>3118</v>
      </c>
      <c r="J33" s="175">
        <f t="shared" si="10"/>
        <v>-0.22917181705809642</v>
      </c>
      <c r="K33" s="159">
        <f t="shared" si="9"/>
        <v>-927</v>
      </c>
      <c r="L33" s="161">
        <f t="shared" si="8"/>
        <v>6.0015783496621946E-3</v>
      </c>
    </row>
    <row r="34" spans="1:12" x14ac:dyDescent="0.25">
      <c r="A34" s="158" t="s">
        <v>144</v>
      </c>
      <c r="B34" s="159" t="s">
        <v>131</v>
      </c>
      <c r="C34" s="160">
        <v>6196</v>
      </c>
      <c r="D34" s="160">
        <v>6827</v>
      </c>
      <c r="E34" s="160">
        <v>74</v>
      </c>
      <c r="F34" s="160">
        <v>2476</v>
      </c>
      <c r="G34" s="160">
        <v>5349</v>
      </c>
      <c r="H34" s="160">
        <v>5191</v>
      </c>
      <c r="I34" s="160">
        <v>3976</v>
      </c>
      <c r="J34" s="175">
        <f t="shared" si="10"/>
        <v>-0.23405894817954154</v>
      </c>
      <c r="K34" s="159">
        <f t="shared" si="9"/>
        <v>-1215</v>
      </c>
      <c r="L34" s="161">
        <f t="shared" si="8"/>
        <v>7.6530710449829653E-3</v>
      </c>
    </row>
    <row r="35" spans="1:12" x14ac:dyDescent="0.25">
      <c r="A35" s="163" t="s">
        <v>145</v>
      </c>
      <c r="B35" s="164" t="s">
        <v>145</v>
      </c>
      <c r="C35" s="165">
        <f t="shared" ref="C35:I35" si="11">C27-SUM(C28:C34)</f>
        <v>35251</v>
      </c>
      <c r="D35" s="165">
        <f t="shared" si="11"/>
        <v>40347</v>
      </c>
      <c r="E35" s="165">
        <f t="shared" si="11"/>
        <v>5970</v>
      </c>
      <c r="F35" s="165">
        <f t="shared" si="11"/>
        <v>32334</v>
      </c>
      <c r="G35" s="165">
        <f t="shared" si="11"/>
        <v>42578</v>
      </c>
      <c r="H35" s="165">
        <f t="shared" si="11"/>
        <v>46820</v>
      </c>
      <c r="I35" s="165">
        <f t="shared" si="11"/>
        <v>45979</v>
      </c>
      <c r="J35" s="176">
        <f t="shared" si="10"/>
        <v>-1.7962409226826126E-2</v>
      </c>
      <c r="K35" s="164">
        <f>I35-H35</f>
        <v>-841</v>
      </c>
      <c r="L35" s="166">
        <f t="shared" si="8"/>
        <v>8.850114526591342E-2</v>
      </c>
    </row>
    <row r="36" spans="1:12" x14ac:dyDescent="0.25">
      <c r="A36" s="1"/>
      <c r="B36" s="151" t="s">
        <v>45</v>
      </c>
      <c r="C36" s="149"/>
      <c r="D36" s="149"/>
      <c r="E36" s="149"/>
      <c r="F36" s="149"/>
      <c r="G36" s="149"/>
      <c r="H36" s="149"/>
      <c r="I36" s="149"/>
      <c r="J36" s="150"/>
      <c r="K36" s="150"/>
      <c r="L36" s="149"/>
    </row>
    <row r="37" spans="1:12" x14ac:dyDescent="0.25">
      <c r="A37" s="1"/>
      <c r="B37" s="152" t="s">
        <v>68</v>
      </c>
      <c r="C37" s="172">
        <v>130035</v>
      </c>
      <c r="D37" s="172">
        <v>132240</v>
      </c>
      <c r="E37" s="172">
        <v>10559</v>
      </c>
      <c r="F37" s="172">
        <v>94600</v>
      </c>
      <c r="G37" s="172">
        <v>128229</v>
      </c>
      <c r="H37" s="172">
        <v>128773</v>
      </c>
      <c r="I37" s="172">
        <v>137756</v>
      </c>
      <c r="J37" s="173">
        <f>IFERROR(I37/H37-1,"-")</f>
        <v>6.975841208949074E-2</v>
      </c>
      <c r="K37" s="172">
        <f>I37-H37</f>
        <v>8983</v>
      </c>
      <c r="L37" s="173">
        <f t="shared" ref="L37:L49" si="12">I37/I$9</f>
        <v>0.26515504398206069</v>
      </c>
    </row>
    <row r="38" spans="1:12" x14ac:dyDescent="0.25">
      <c r="A38" s="1" t="s">
        <v>96</v>
      </c>
      <c r="B38" s="155" t="s">
        <v>97</v>
      </c>
      <c r="C38" s="156">
        <v>6453</v>
      </c>
      <c r="D38" s="156">
        <v>7303</v>
      </c>
      <c r="E38" s="156">
        <v>2134</v>
      </c>
      <c r="F38" s="156">
        <v>5445</v>
      </c>
      <c r="G38" s="156">
        <v>6893</v>
      </c>
      <c r="H38" s="156">
        <v>5704</v>
      </c>
      <c r="I38" s="156">
        <v>7028</v>
      </c>
      <c r="J38" s="174">
        <f>IFERROR(I38/H38-1,"-")</f>
        <v>0.23211781206171112</v>
      </c>
      <c r="K38" s="155">
        <f t="shared" ref="K38:K48" si="13">I38-H38</f>
        <v>1324</v>
      </c>
      <c r="L38" s="157">
        <f t="shared" si="12"/>
        <v>1.3527611495005101E-2</v>
      </c>
    </row>
    <row r="39" spans="1:12" x14ac:dyDescent="0.25">
      <c r="A39" s="158" t="s">
        <v>103</v>
      </c>
      <c r="B39" s="159" t="s">
        <v>103</v>
      </c>
      <c r="C39" s="160">
        <v>1279</v>
      </c>
      <c r="D39" s="160">
        <v>2394</v>
      </c>
      <c r="E39" s="160">
        <v>1721</v>
      </c>
      <c r="F39" s="160">
        <v>1892</v>
      </c>
      <c r="G39" s="160">
        <v>1677</v>
      </c>
      <c r="H39" s="160">
        <v>1754</v>
      </c>
      <c r="I39" s="160">
        <v>2296</v>
      </c>
      <c r="J39" s="175">
        <f>IFERROR(I39/H39-1,"-")</f>
        <v>0.30900798175598632</v>
      </c>
      <c r="K39" s="159">
        <f t="shared" si="13"/>
        <v>542</v>
      </c>
      <c r="L39" s="161">
        <f t="shared" si="12"/>
        <v>4.4193790541450931E-3</v>
      </c>
    </row>
    <row r="40" spans="1:12" x14ac:dyDescent="0.25">
      <c r="A40" s="158" t="s">
        <v>100</v>
      </c>
      <c r="B40" s="159" t="s">
        <v>100</v>
      </c>
      <c r="C40" s="160">
        <v>5174</v>
      </c>
      <c r="D40" s="160">
        <v>4909</v>
      </c>
      <c r="E40" s="160">
        <v>413</v>
      </c>
      <c r="F40" s="160">
        <v>3553</v>
      </c>
      <c r="G40" s="160">
        <v>5216</v>
      </c>
      <c r="H40" s="160">
        <v>3950</v>
      </c>
      <c r="I40" s="160">
        <v>4732</v>
      </c>
      <c r="J40" s="175">
        <f>IFERROR(I40/H40-1,"-")</f>
        <v>0.1979746835443037</v>
      </c>
      <c r="K40" s="159">
        <f t="shared" si="13"/>
        <v>782</v>
      </c>
      <c r="L40" s="161">
        <f t="shared" si="12"/>
        <v>9.1082324408600073E-3</v>
      </c>
    </row>
    <row r="41" spans="1:12" x14ac:dyDescent="0.25">
      <c r="A41" s="1"/>
      <c r="B41" s="155" t="s">
        <v>107</v>
      </c>
      <c r="C41" s="156">
        <v>123582</v>
      </c>
      <c r="D41" s="156">
        <v>124937</v>
      </c>
      <c r="E41" s="156">
        <v>8425</v>
      </c>
      <c r="F41" s="156">
        <v>89155</v>
      </c>
      <c r="G41" s="156">
        <v>121336</v>
      </c>
      <c r="H41" s="156">
        <v>123069</v>
      </c>
      <c r="I41" s="156">
        <v>130728</v>
      </c>
      <c r="J41" s="174">
        <f>IFERROR(I41/H41-1,"-")</f>
        <v>6.223338127391953E-2</v>
      </c>
      <c r="K41" s="155">
        <f t="shared" si="13"/>
        <v>7659</v>
      </c>
      <c r="L41" s="157">
        <f t="shared" si="12"/>
        <v>0.2516274324870556</v>
      </c>
    </row>
    <row r="42" spans="1:12" s="56" customFormat="1" x14ac:dyDescent="0.25">
      <c r="B42" s="159" t="s">
        <v>110</v>
      </c>
      <c r="C42" s="160">
        <v>56958</v>
      </c>
      <c r="D42" s="160">
        <v>56005</v>
      </c>
      <c r="E42" s="160">
        <v>985</v>
      </c>
      <c r="F42" s="160">
        <v>30129</v>
      </c>
      <c r="G42" s="160">
        <v>51401</v>
      </c>
      <c r="H42" s="160">
        <v>54345</v>
      </c>
      <c r="I42" s="160">
        <v>58979</v>
      </c>
      <c r="J42" s="175">
        <f t="shared" ref="J42:J49" si="14">IFERROR(I42/H42-1,"-")</f>
        <v>8.5270034041770248E-2</v>
      </c>
      <c r="K42" s="159">
        <f t="shared" si="13"/>
        <v>4634</v>
      </c>
      <c r="L42" s="161">
        <f t="shared" si="12"/>
        <v>0.11352376186168267</v>
      </c>
    </row>
    <row r="43" spans="1:12" s="56" customFormat="1" x14ac:dyDescent="0.25">
      <c r="B43" s="159" t="s">
        <v>113</v>
      </c>
      <c r="C43" s="160">
        <v>6170</v>
      </c>
      <c r="D43" s="160">
        <v>5659</v>
      </c>
      <c r="E43" s="160">
        <v>704</v>
      </c>
      <c r="F43" s="160">
        <v>4146</v>
      </c>
      <c r="G43" s="160">
        <v>5163</v>
      </c>
      <c r="H43" s="160">
        <v>4900</v>
      </c>
      <c r="I43" s="160">
        <v>5183</v>
      </c>
      <c r="J43" s="175">
        <f t="shared" si="14"/>
        <v>5.7755102040816242E-2</v>
      </c>
      <c r="K43" s="159">
        <f t="shared" si="13"/>
        <v>283</v>
      </c>
      <c r="L43" s="161">
        <f t="shared" si="12"/>
        <v>9.97632475506708E-3</v>
      </c>
    </row>
    <row r="44" spans="1:12" x14ac:dyDescent="0.25">
      <c r="A44" s="1"/>
      <c r="B44" s="159" t="s">
        <v>116</v>
      </c>
      <c r="C44" s="160">
        <v>2312</v>
      </c>
      <c r="D44" s="160">
        <v>2723</v>
      </c>
      <c r="E44" s="160">
        <v>913</v>
      </c>
      <c r="F44" s="160">
        <v>2162</v>
      </c>
      <c r="G44" s="160">
        <v>2561</v>
      </c>
      <c r="H44" s="160">
        <v>2582</v>
      </c>
      <c r="I44" s="160">
        <v>2870</v>
      </c>
      <c r="J44" s="175">
        <f t="shared" si="14"/>
        <v>0.1115414407436095</v>
      </c>
      <c r="K44" s="159">
        <f t="shared" si="13"/>
        <v>288</v>
      </c>
      <c r="L44" s="161">
        <f t="shared" si="12"/>
        <v>5.5242238176813662E-3</v>
      </c>
    </row>
    <row r="45" spans="1:12" x14ac:dyDescent="0.25">
      <c r="A45" s="1"/>
      <c r="B45" s="159" t="s">
        <v>123</v>
      </c>
      <c r="C45" s="160">
        <v>4741</v>
      </c>
      <c r="D45" s="160">
        <v>5162</v>
      </c>
      <c r="E45" s="160">
        <v>220</v>
      </c>
      <c r="F45" s="160">
        <v>5508</v>
      </c>
      <c r="G45" s="160">
        <v>5148</v>
      </c>
      <c r="H45" s="160">
        <v>5268</v>
      </c>
      <c r="I45" s="160">
        <v>4620</v>
      </c>
      <c r="J45" s="175">
        <f t="shared" si="14"/>
        <v>-0.12300683371298404</v>
      </c>
      <c r="K45" s="159">
        <f t="shared" si="13"/>
        <v>-648</v>
      </c>
      <c r="L45" s="161">
        <f t="shared" si="12"/>
        <v>8.8926529748041497E-3</v>
      </c>
    </row>
    <row r="46" spans="1:12" x14ac:dyDescent="0.25">
      <c r="A46" s="1"/>
      <c r="B46" s="159" t="s">
        <v>119</v>
      </c>
      <c r="C46" s="160">
        <v>4676</v>
      </c>
      <c r="D46" s="160">
        <v>5249</v>
      </c>
      <c r="E46" s="160">
        <v>398</v>
      </c>
      <c r="F46" s="160">
        <v>3591</v>
      </c>
      <c r="G46" s="160">
        <v>4976</v>
      </c>
      <c r="H46" s="160">
        <v>5192</v>
      </c>
      <c r="I46" s="160">
        <v>3888</v>
      </c>
      <c r="J46" s="175">
        <f t="shared" si="14"/>
        <v>-0.25115562403698</v>
      </c>
      <c r="K46" s="159">
        <f t="shared" si="13"/>
        <v>-1304</v>
      </c>
      <c r="L46" s="161">
        <f t="shared" si="12"/>
        <v>7.4836871787962193E-3</v>
      </c>
    </row>
    <row r="47" spans="1:12" x14ac:dyDescent="0.25">
      <c r="A47" s="1"/>
      <c r="B47" s="159" t="s">
        <v>128</v>
      </c>
      <c r="C47" s="160">
        <v>4939</v>
      </c>
      <c r="D47" s="160">
        <v>4492</v>
      </c>
      <c r="E47" s="160">
        <v>106</v>
      </c>
      <c r="F47" s="160">
        <v>4088</v>
      </c>
      <c r="G47" s="160">
        <v>4147</v>
      </c>
      <c r="H47" s="160">
        <v>4118</v>
      </c>
      <c r="I47" s="160">
        <v>4073</v>
      </c>
      <c r="J47" s="175">
        <f t="shared" si="14"/>
        <v>-1.0927634774162254E-2</v>
      </c>
      <c r="K47" s="159">
        <f t="shared" si="13"/>
        <v>-45</v>
      </c>
      <c r="L47" s="161">
        <f t="shared" si="12"/>
        <v>7.839778261120629E-3</v>
      </c>
    </row>
    <row r="48" spans="1:12" x14ac:dyDescent="0.25">
      <c r="A48" s="158" t="s">
        <v>144</v>
      </c>
      <c r="B48" s="159" t="s">
        <v>131</v>
      </c>
      <c r="C48" s="160">
        <v>8389</v>
      </c>
      <c r="D48" s="160">
        <v>8544</v>
      </c>
      <c r="E48" s="160">
        <v>740</v>
      </c>
      <c r="F48" s="160">
        <v>4920</v>
      </c>
      <c r="G48" s="160">
        <v>5151</v>
      </c>
      <c r="H48" s="160">
        <v>5999</v>
      </c>
      <c r="I48" s="160">
        <v>4856</v>
      </c>
      <c r="J48" s="175">
        <f t="shared" si="14"/>
        <v>-0.19053175529254873</v>
      </c>
      <c r="K48" s="159">
        <f t="shared" si="13"/>
        <v>-1143</v>
      </c>
      <c r="L48" s="161">
        <f t="shared" si="12"/>
        <v>9.3469097068504224E-3</v>
      </c>
    </row>
    <row r="49" spans="1:12" x14ac:dyDescent="0.25">
      <c r="A49" s="163" t="s">
        <v>145</v>
      </c>
      <c r="B49" s="164" t="s">
        <v>145</v>
      </c>
      <c r="C49" s="165">
        <f t="shared" ref="C49:I49" si="15">C41-SUM(C42:C48)</f>
        <v>35397</v>
      </c>
      <c r="D49" s="165">
        <f t="shared" si="15"/>
        <v>37103</v>
      </c>
      <c r="E49" s="165">
        <f t="shared" si="15"/>
        <v>4359</v>
      </c>
      <c r="F49" s="165">
        <f t="shared" si="15"/>
        <v>34611</v>
      </c>
      <c r="G49" s="165">
        <f t="shared" si="15"/>
        <v>42789</v>
      </c>
      <c r="H49" s="165">
        <f t="shared" si="15"/>
        <v>40665</v>
      </c>
      <c r="I49" s="165">
        <f t="shared" si="15"/>
        <v>46259</v>
      </c>
      <c r="J49" s="176">
        <f t="shared" si="14"/>
        <v>0.13756301487765898</v>
      </c>
      <c r="K49" s="164">
        <f>I49-H49</f>
        <v>5594</v>
      </c>
      <c r="L49" s="166">
        <f t="shared" si="12"/>
        <v>8.9040093931053069E-2</v>
      </c>
    </row>
    <row r="50" spans="1:12" x14ac:dyDescent="0.25">
      <c r="A50" s="1"/>
      <c r="B50" s="151" t="s">
        <v>46</v>
      </c>
      <c r="C50" s="149"/>
      <c r="D50" s="149"/>
      <c r="E50" s="149"/>
      <c r="F50" s="149"/>
      <c r="G50" s="149"/>
      <c r="H50" s="149"/>
      <c r="I50" s="149"/>
      <c r="J50" s="150"/>
      <c r="K50" s="150"/>
      <c r="L50" s="149"/>
    </row>
    <row r="51" spans="1:12" x14ac:dyDescent="0.25">
      <c r="A51" s="1"/>
      <c r="B51" s="152" t="s">
        <v>68</v>
      </c>
      <c r="C51" s="172">
        <v>5754</v>
      </c>
      <c r="D51" s="172">
        <v>4476</v>
      </c>
      <c r="E51" s="172">
        <v>719</v>
      </c>
      <c r="F51" s="172">
        <v>3045</v>
      </c>
      <c r="G51" s="172">
        <v>7316</v>
      </c>
      <c r="H51" s="172">
        <v>5066</v>
      </c>
      <c r="I51" s="172">
        <v>5202</v>
      </c>
      <c r="J51" s="173">
        <f>IFERROR(I51/H51-1,"-")</f>
        <v>2.6845637583892579E-2</v>
      </c>
      <c r="K51" s="172">
        <f>I51-H51</f>
        <v>136</v>
      </c>
      <c r="L51" s="173">
        <f t="shared" ref="L51:L63" si="16">I51/I$9</f>
        <v>1.0012896271630127E-2</v>
      </c>
    </row>
    <row r="52" spans="1:12" x14ac:dyDescent="0.25">
      <c r="A52" s="1" t="s">
        <v>96</v>
      </c>
      <c r="B52" s="155" t="s">
        <v>97</v>
      </c>
      <c r="C52" s="156">
        <v>1040</v>
      </c>
      <c r="D52" s="156">
        <v>452</v>
      </c>
      <c r="E52" s="156">
        <v>134</v>
      </c>
      <c r="F52" s="156">
        <v>204</v>
      </c>
      <c r="G52" s="156">
        <v>3544</v>
      </c>
      <c r="H52" s="156">
        <v>620</v>
      </c>
      <c r="I52" s="156">
        <v>970</v>
      </c>
      <c r="J52" s="174">
        <f>IFERROR(I52/H52-1,"-")</f>
        <v>0.56451612903225801</v>
      </c>
      <c r="K52" s="155">
        <f t="shared" ref="K52:K62" si="17">I52-H52</f>
        <v>350</v>
      </c>
      <c r="L52" s="157">
        <f t="shared" si="16"/>
        <v>1.8670721613766289E-3</v>
      </c>
    </row>
    <row r="53" spans="1:12" x14ac:dyDescent="0.25">
      <c r="A53" s="158" t="s">
        <v>103</v>
      </c>
      <c r="B53" s="159" t="s">
        <v>103</v>
      </c>
      <c r="C53" s="160">
        <v>522</v>
      </c>
      <c r="D53" s="160">
        <v>223</v>
      </c>
      <c r="E53" s="160">
        <v>66</v>
      </c>
      <c r="F53" s="160">
        <v>39</v>
      </c>
      <c r="G53" s="160">
        <v>2768</v>
      </c>
      <c r="H53" s="160">
        <v>288</v>
      </c>
      <c r="I53" s="160">
        <v>426</v>
      </c>
      <c r="J53" s="175">
        <f>IFERROR(I53/H53-1,"-")</f>
        <v>0.47916666666666674</v>
      </c>
      <c r="K53" s="159">
        <f t="shared" si="17"/>
        <v>138</v>
      </c>
      <c r="L53" s="161">
        <f t="shared" si="16"/>
        <v>8.1997189767674626E-4</v>
      </c>
    </row>
    <row r="54" spans="1:12" x14ac:dyDescent="0.25">
      <c r="A54" s="158" t="s">
        <v>100</v>
      </c>
      <c r="B54" s="159" t="s">
        <v>100</v>
      </c>
      <c r="C54" s="160">
        <v>518</v>
      </c>
      <c r="D54" s="160">
        <v>229</v>
      </c>
      <c r="E54" s="160">
        <v>68</v>
      </c>
      <c r="F54" s="160">
        <v>165</v>
      </c>
      <c r="G54" s="160">
        <v>776</v>
      </c>
      <c r="H54" s="160">
        <v>332</v>
      </c>
      <c r="I54" s="160">
        <v>544</v>
      </c>
      <c r="J54" s="175">
        <f>IFERROR(I54/H54-1,"-")</f>
        <v>0.63855421686746983</v>
      </c>
      <c r="K54" s="159">
        <f t="shared" si="17"/>
        <v>212</v>
      </c>
      <c r="L54" s="161">
        <f t="shared" si="16"/>
        <v>1.0471002636998825E-3</v>
      </c>
    </row>
    <row r="55" spans="1:12" x14ac:dyDescent="0.25">
      <c r="A55" s="1"/>
      <c r="B55" s="155" t="s">
        <v>107</v>
      </c>
      <c r="C55" s="156">
        <v>4714</v>
      </c>
      <c r="D55" s="156">
        <v>4024</v>
      </c>
      <c r="E55" s="156">
        <v>585</v>
      </c>
      <c r="F55" s="156">
        <v>2841</v>
      </c>
      <c r="G55" s="156">
        <v>3772</v>
      </c>
      <c r="H55" s="156">
        <v>4446</v>
      </c>
      <c r="I55" s="156">
        <v>4232</v>
      </c>
      <c r="J55" s="174">
        <f>IFERROR(I55/H55-1,"-")</f>
        <v>-4.8133153396311301E-2</v>
      </c>
      <c r="K55" s="155">
        <f t="shared" si="17"/>
        <v>-214</v>
      </c>
      <c r="L55" s="157">
        <f t="shared" si="16"/>
        <v>8.1458241102534985E-3</v>
      </c>
    </row>
    <row r="56" spans="1:12" s="56" customFormat="1" x14ac:dyDescent="0.25">
      <c r="B56" s="159" t="s">
        <v>110</v>
      </c>
      <c r="C56" s="160">
        <v>1066</v>
      </c>
      <c r="D56" s="160">
        <v>1027</v>
      </c>
      <c r="E56" s="160">
        <v>28</v>
      </c>
      <c r="F56" s="160">
        <v>776</v>
      </c>
      <c r="G56" s="160">
        <v>1116</v>
      </c>
      <c r="H56" s="160">
        <v>1062</v>
      </c>
      <c r="I56" s="160">
        <v>1412</v>
      </c>
      <c r="J56" s="175">
        <f t="shared" ref="J56:J63" si="18">IFERROR(I56/H56-1,"-")</f>
        <v>0.32956685499058391</v>
      </c>
      <c r="K56" s="159">
        <f t="shared" si="17"/>
        <v>350</v>
      </c>
      <c r="L56" s="161">
        <f t="shared" si="16"/>
        <v>2.7178411256327836E-3</v>
      </c>
    </row>
    <row r="57" spans="1:12" s="56" customFormat="1" x14ac:dyDescent="0.25">
      <c r="B57" s="159" t="s">
        <v>113</v>
      </c>
      <c r="C57" s="160">
        <v>1176</v>
      </c>
      <c r="D57" s="160">
        <v>1180</v>
      </c>
      <c r="E57" s="160">
        <v>215</v>
      </c>
      <c r="F57" s="160">
        <v>962</v>
      </c>
      <c r="G57" s="160">
        <v>624</v>
      </c>
      <c r="H57" s="160">
        <v>1253</v>
      </c>
      <c r="I57" s="160">
        <v>1001</v>
      </c>
      <c r="J57" s="175">
        <f t="shared" si="18"/>
        <v>-0.2011173184357542</v>
      </c>
      <c r="K57" s="159">
        <f t="shared" si="17"/>
        <v>-252</v>
      </c>
      <c r="L57" s="161">
        <f t="shared" si="16"/>
        <v>1.9267414778742324E-3</v>
      </c>
    </row>
    <row r="58" spans="1:12" x14ac:dyDescent="0.25">
      <c r="A58" s="1"/>
      <c r="B58" s="159" t="s">
        <v>116</v>
      </c>
      <c r="C58" s="160">
        <v>304</v>
      </c>
      <c r="D58" s="160">
        <v>183</v>
      </c>
      <c r="E58" s="160">
        <v>48</v>
      </c>
      <c r="F58" s="160">
        <v>119</v>
      </c>
      <c r="G58" s="160">
        <v>367</v>
      </c>
      <c r="H58" s="160">
        <v>293</v>
      </c>
      <c r="I58" s="160">
        <v>199</v>
      </c>
      <c r="J58" s="175">
        <f t="shared" si="18"/>
        <v>-0.32081911262798635</v>
      </c>
      <c r="K58" s="159">
        <f t="shared" si="17"/>
        <v>-94</v>
      </c>
      <c r="L58" s="161">
        <f t="shared" si="16"/>
        <v>3.8303851558139088E-4</v>
      </c>
    </row>
    <row r="59" spans="1:12" x14ac:dyDescent="0.25">
      <c r="A59" s="1"/>
      <c r="B59" s="159" t="s">
        <v>123</v>
      </c>
      <c r="C59" s="160">
        <v>146</v>
      </c>
      <c r="D59" s="160">
        <v>89</v>
      </c>
      <c r="E59" s="160">
        <v>14</v>
      </c>
      <c r="F59" s="160">
        <v>105</v>
      </c>
      <c r="G59" s="160">
        <v>82</v>
      </c>
      <c r="H59" s="160">
        <v>136</v>
      </c>
      <c r="I59" s="160">
        <v>144</v>
      </c>
      <c r="J59" s="175">
        <f t="shared" si="18"/>
        <v>5.8823529411764719E-2</v>
      </c>
      <c r="K59" s="159">
        <f t="shared" si="17"/>
        <v>8</v>
      </c>
      <c r="L59" s="161">
        <f t="shared" si="16"/>
        <v>2.7717359921467481E-4</v>
      </c>
    </row>
    <row r="60" spans="1:12" x14ac:dyDescent="0.25">
      <c r="A60" s="1"/>
      <c r="B60" s="159" t="s">
        <v>119</v>
      </c>
      <c r="C60" s="160">
        <v>115</v>
      </c>
      <c r="D60" s="160">
        <v>74</v>
      </c>
      <c r="E60" s="160">
        <v>22</v>
      </c>
      <c r="F60" s="160">
        <v>97</v>
      </c>
      <c r="G60" s="160">
        <v>85</v>
      </c>
      <c r="H60" s="160">
        <v>194</v>
      </c>
      <c r="I60" s="160">
        <v>119</v>
      </c>
      <c r="J60" s="175">
        <f t="shared" si="18"/>
        <v>-0.38659793814432986</v>
      </c>
      <c r="K60" s="159">
        <f t="shared" si="17"/>
        <v>-75</v>
      </c>
      <c r="L60" s="161">
        <f t="shared" si="16"/>
        <v>2.2905318268434931E-4</v>
      </c>
    </row>
    <row r="61" spans="1:12" x14ac:dyDescent="0.25">
      <c r="A61" s="1"/>
      <c r="B61" s="159" t="s">
        <v>128</v>
      </c>
      <c r="C61" s="160">
        <v>103</v>
      </c>
      <c r="D61" s="160">
        <v>82</v>
      </c>
      <c r="E61" s="160">
        <v>3</v>
      </c>
      <c r="F61" s="160">
        <v>18</v>
      </c>
      <c r="G61" s="160">
        <v>52</v>
      </c>
      <c r="H61" s="160">
        <v>40</v>
      </c>
      <c r="I61" s="160">
        <v>40</v>
      </c>
      <c r="J61" s="175">
        <f t="shared" si="18"/>
        <v>0</v>
      </c>
      <c r="K61" s="159">
        <f t="shared" si="17"/>
        <v>0</v>
      </c>
      <c r="L61" s="161">
        <f t="shared" si="16"/>
        <v>7.6992666448520784E-5</v>
      </c>
    </row>
    <row r="62" spans="1:12" x14ac:dyDescent="0.25">
      <c r="A62" s="158" t="s">
        <v>144</v>
      </c>
      <c r="B62" s="159" t="s">
        <v>131</v>
      </c>
      <c r="C62" s="160">
        <v>173</v>
      </c>
      <c r="D62" s="160">
        <v>151</v>
      </c>
      <c r="E62" s="160">
        <v>2</v>
      </c>
      <c r="F62" s="160">
        <v>33</v>
      </c>
      <c r="G62" s="160">
        <v>48</v>
      </c>
      <c r="H62" s="160">
        <v>15</v>
      </c>
      <c r="I62" s="160">
        <v>62</v>
      </c>
      <c r="J62" s="175">
        <f t="shared" si="18"/>
        <v>3.1333333333333337</v>
      </c>
      <c r="K62" s="159">
        <f t="shared" si="17"/>
        <v>47</v>
      </c>
      <c r="L62" s="161">
        <f t="shared" si="16"/>
        <v>1.1933863299520721E-4</v>
      </c>
    </row>
    <row r="63" spans="1:12" x14ac:dyDescent="0.25">
      <c r="A63" s="163" t="s">
        <v>145</v>
      </c>
      <c r="B63" s="164" t="s">
        <v>145</v>
      </c>
      <c r="C63" s="165">
        <f t="shared" ref="C63:I63" si="19">C55-SUM(C56:C62)</f>
        <v>1631</v>
      </c>
      <c r="D63" s="165">
        <f t="shared" si="19"/>
        <v>1238</v>
      </c>
      <c r="E63" s="165">
        <f t="shared" si="19"/>
        <v>253</v>
      </c>
      <c r="F63" s="165">
        <f t="shared" si="19"/>
        <v>731</v>
      </c>
      <c r="G63" s="165">
        <f t="shared" si="19"/>
        <v>1398</v>
      </c>
      <c r="H63" s="165">
        <f t="shared" si="19"/>
        <v>1453</v>
      </c>
      <c r="I63" s="165">
        <f t="shared" si="19"/>
        <v>1255</v>
      </c>
      <c r="J63" s="176">
        <f t="shared" si="18"/>
        <v>-0.1362697866483138</v>
      </c>
      <c r="K63" s="164">
        <f>I63-H63</f>
        <v>-198</v>
      </c>
      <c r="L63" s="166">
        <f t="shared" si="16"/>
        <v>2.4156449098223392E-3</v>
      </c>
    </row>
    <row r="64" spans="1:12" x14ac:dyDescent="0.25">
      <c r="A64" s="1"/>
      <c r="B64" s="151" t="s">
        <v>47</v>
      </c>
      <c r="C64" s="149"/>
      <c r="D64" s="149"/>
      <c r="E64" s="149"/>
      <c r="F64" s="149"/>
      <c r="G64" s="149"/>
      <c r="H64" s="149"/>
      <c r="I64" s="149"/>
      <c r="J64" s="150"/>
      <c r="K64" s="150"/>
      <c r="L64" s="149"/>
    </row>
    <row r="65" spans="1:12" x14ac:dyDescent="0.25">
      <c r="A65" s="1"/>
      <c r="B65" s="152" t="s">
        <v>68</v>
      </c>
      <c r="C65" s="172">
        <v>11826</v>
      </c>
      <c r="D65" s="172">
        <v>12377</v>
      </c>
      <c r="E65" s="172">
        <v>2138</v>
      </c>
      <c r="F65" s="172">
        <v>13086</v>
      </c>
      <c r="G65" s="172">
        <v>21478</v>
      </c>
      <c r="H65" s="172">
        <v>18765</v>
      </c>
      <c r="I65" s="172">
        <v>17806</v>
      </c>
      <c r="J65" s="173">
        <f>IFERROR(I65/H65-1,"-")</f>
        <v>-5.1105782041033887E-2</v>
      </c>
      <c r="K65" s="172">
        <f>I65-H65</f>
        <v>-959</v>
      </c>
      <c r="L65" s="173">
        <f t="shared" ref="L65:L77" si="20">I65/I$9</f>
        <v>3.4273285469559024E-2</v>
      </c>
    </row>
    <row r="66" spans="1:12" x14ac:dyDescent="0.25">
      <c r="A66" s="1" t="s">
        <v>96</v>
      </c>
      <c r="B66" s="155" t="s">
        <v>97</v>
      </c>
      <c r="C66" s="156">
        <v>1515</v>
      </c>
      <c r="D66" s="156">
        <v>3043</v>
      </c>
      <c r="E66" s="156">
        <v>832</v>
      </c>
      <c r="F66" s="156">
        <v>2492</v>
      </c>
      <c r="G66" s="156">
        <v>3532</v>
      </c>
      <c r="H66" s="156">
        <v>3539</v>
      </c>
      <c r="I66" s="156">
        <v>2770</v>
      </c>
      <c r="J66" s="174">
        <f>IFERROR(I66/H66-1,"-")</f>
        <v>-0.21729302062729583</v>
      </c>
      <c r="K66" s="155">
        <f t="shared" ref="K66:K76" si="21">I66-H66</f>
        <v>-769</v>
      </c>
      <c r="L66" s="157">
        <f t="shared" si="20"/>
        <v>5.3317421515600635E-3</v>
      </c>
    </row>
    <row r="67" spans="1:12" x14ac:dyDescent="0.25">
      <c r="A67" s="158" t="s">
        <v>103</v>
      </c>
      <c r="B67" s="159" t="s">
        <v>103</v>
      </c>
      <c r="C67" s="160">
        <v>537</v>
      </c>
      <c r="D67" s="160">
        <v>948</v>
      </c>
      <c r="E67" s="160">
        <v>821</v>
      </c>
      <c r="F67" s="160">
        <v>1497</v>
      </c>
      <c r="G67" s="160">
        <v>2750</v>
      </c>
      <c r="H67" s="160">
        <v>2023</v>
      </c>
      <c r="I67" s="160">
        <v>453</v>
      </c>
      <c r="J67" s="175">
        <f>IFERROR(I67/H67-1,"-")</f>
        <v>-0.77607513593672761</v>
      </c>
      <c r="K67" s="159">
        <f t="shared" si="21"/>
        <v>-1570</v>
      </c>
      <c r="L67" s="161">
        <f t="shared" si="20"/>
        <v>8.7194194752949778E-4</v>
      </c>
    </row>
    <row r="68" spans="1:12" x14ac:dyDescent="0.25">
      <c r="A68" s="158" t="s">
        <v>100</v>
      </c>
      <c r="B68" s="159" t="s">
        <v>100</v>
      </c>
      <c r="C68" s="160">
        <v>978</v>
      </c>
      <c r="D68" s="160">
        <v>2095</v>
      </c>
      <c r="E68" s="160">
        <v>11</v>
      </c>
      <c r="F68" s="160">
        <v>995</v>
      </c>
      <c r="G68" s="160">
        <v>782</v>
      </c>
      <c r="H68" s="160">
        <v>1516</v>
      </c>
      <c r="I68" s="160">
        <v>2317</v>
      </c>
      <c r="J68" s="175">
        <f>IFERROR(I68/H68-1,"-")</f>
        <v>0.52836411609498679</v>
      </c>
      <c r="K68" s="159">
        <f t="shared" si="21"/>
        <v>801</v>
      </c>
      <c r="L68" s="161">
        <f t="shared" si="20"/>
        <v>4.4598002040305658E-3</v>
      </c>
    </row>
    <row r="69" spans="1:12" x14ac:dyDescent="0.25">
      <c r="A69" s="1"/>
      <c r="B69" s="155" t="s">
        <v>107</v>
      </c>
      <c r="C69" s="156">
        <v>10311</v>
      </c>
      <c r="D69" s="156">
        <v>9334</v>
      </c>
      <c r="E69" s="156">
        <v>1306</v>
      </c>
      <c r="F69" s="156">
        <v>10594</v>
      </c>
      <c r="G69" s="156">
        <v>17946</v>
      </c>
      <c r="H69" s="156">
        <v>15226</v>
      </c>
      <c r="I69" s="156">
        <v>15036</v>
      </c>
      <c r="J69" s="174">
        <f>IFERROR(I69/H69-1,"-")</f>
        <v>-1.2478654932352562E-2</v>
      </c>
      <c r="K69" s="155">
        <f t="shared" si="21"/>
        <v>-190</v>
      </c>
      <c r="L69" s="157">
        <f t="shared" si="20"/>
        <v>2.8941543317998961E-2</v>
      </c>
    </row>
    <row r="70" spans="1:12" s="56" customFormat="1" x14ac:dyDescent="0.25">
      <c r="B70" s="159" t="s">
        <v>110</v>
      </c>
      <c r="C70" s="160">
        <v>4221</v>
      </c>
      <c r="D70" s="160">
        <v>3219</v>
      </c>
      <c r="E70" s="160">
        <v>9</v>
      </c>
      <c r="F70" s="160">
        <v>2386</v>
      </c>
      <c r="G70" s="160">
        <v>5807</v>
      </c>
      <c r="H70" s="160">
        <v>7509</v>
      </c>
      <c r="I70" s="160">
        <v>6216</v>
      </c>
      <c r="J70" s="175">
        <f t="shared" ref="J70:J77" si="22">IFERROR(I70/H70-1,"-")</f>
        <v>-0.17219336795844986</v>
      </c>
      <c r="K70" s="159">
        <f t="shared" si="21"/>
        <v>-1293</v>
      </c>
      <c r="L70" s="161">
        <f t="shared" si="20"/>
        <v>1.196466036610013E-2</v>
      </c>
    </row>
    <row r="71" spans="1:12" s="56" customFormat="1" x14ac:dyDescent="0.25">
      <c r="B71" s="159" t="s">
        <v>113</v>
      </c>
      <c r="C71" s="160">
        <v>1290</v>
      </c>
      <c r="D71" s="160">
        <v>955</v>
      </c>
      <c r="E71" s="160">
        <v>273</v>
      </c>
      <c r="F71" s="160">
        <v>516</v>
      </c>
      <c r="G71" s="160">
        <v>1006</v>
      </c>
      <c r="H71" s="160">
        <v>1434</v>
      </c>
      <c r="I71" s="160">
        <v>1271</v>
      </c>
      <c r="J71" s="175">
        <f t="shared" si="22"/>
        <v>-0.11366806136680618</v>
      </c>
      <c r="K71" s="159">
        <f t="shared" si="21"/>
        <v>-163</v>
      </c>
      <c r="L71" s="161">
        <f t="shared" si="20"/>
        <v>2.4464419764017478E-3</v>
      </c>
    </row>
    <row r="72" spans="1:12" x14ac:dyDescent="0.25">
      <c r="A72" s="1"/>
      <c r="B72" s="159" t="s">
        <v>116</v>
      </c>
      <c r="C72" s="160">
        <v>873</v>
      </c>
      <c r="D72" s="160">
        <v>1521</v>
      </c>
      <c r="E72" s="160">
        <v>70</v>
      </c>
      <c r="F72" s="160">
        <v>1434</v>
      </c>
      <c r="G72" s="160">
        <v>2624</v>
      </c>
      <c r="H72" s="160">
        <v>569</v>
      </c>
      <c r="I72" s="160">
        <v>823</v>
      </c>
      <c r="J72" s="175">
        <f t="shared" si="22"/>
        <v>0.44639718804920925</v>
      </c>
      <c r="K72" s="159">
        <f t="shared" si="21"/>
        <v>254</v>
      </c>
      <c r="L72" s="161">
        <f t="shared" si="20"/>
        <v>1.5841241121783149E-3</v>
      </c>
    </row>
    <row r="73" spans="1:12" x14ac:dyDescent="0.25">
      <c r="A73" s="1"/>
      <c r="B73" s="159" t="s">
        <v>123</v>
      </c>
      <c r="C73" s="160">
        <v>240</v>
      </c>
      <c r="D73" s="160">
        <v>66</v>
      </c>
      <c r="E73" s="160">
        <v>0</v>
      </c>
      <c r="F73" s="160">
        <v>1282</v>
      </c>
      <c r="G73" s="160">
        <v>469</v>
      </c>
      <c r="H73" s="160">
        <v>696</v>
      </c>
      <c r="I73" s="160">
        <v>671</v>
      </c>
      <c r="J73" s="175">
        <f t="shared" si="22"/>
        <v>-3.5919540229885083E-2</v>
      </c>
      <c r="K73" s="159">
        <f t="shared" si="21"/>
        <v>-25</v>
      </c>
      <c r="L73" s="161">
        <f t="shared" si="20"/>
        <v>1.2915519796739361E-3</v>
      </c>
    </row>
    <row r="74" spans="1:12" x14ac:dyDescent="0.25">
      <c r="A74" s="1"/>
      <c r="B74" s="159" t="s">
        <v>119</v>
      </c>
      <c r="C74" s="160">
        <v>337</v>
      </c>
      <c r="D74" s="160">
        <v>185</v>
      </c>
      <c r="E74" s="160">
        <v>519</v>
      </c>
      <c r="F74" s="160">
        <v>221</v>
      </c>
      <c r="G74" s="160">
        <v>322</v>
      </c>
      <c r="H74" s="160">
        <v>191</v>
      </c>
      <c r="I74" s="160">
        <v>346</v>
      </c>
      <c r="J74" s="175">
        <f t="shared" si="22"/>
        <v>0.81151832460732987</v>
      </c>
      <c r="K74" s="159">
        <f t="shared" si="21"/>
        <v>155</v>
      </c>
      <c r="L74" s="161">
        <f t="shared" si="20"/>
        <v>6.659865647797047E-4</v>
      </c>
    </row>
    <row r="75" spans="1:12" x14ac:dyDescent="0.25">
      <c r="A75" s="1"/>
      <c r="B75" s="159" t="s">
        <v>128</v>
      </c>
      <c r="C75" s="160">
        <v>296</v>
      </c>
      <c r="D75" s="160">
        <v>358</v>
      </c>
      <c r="E75" s="160">
        <v>0</v>
      </c>
      <c r="F75" s="160">
        <v>736</v>
      </c>
      <c r="G75" s="160">
        <v>1226</v>
      </c>
      <c r="H75" s="160">
        <v>293</v>
      </c>
      <c r="I75" s="160">
        <v>460</v>
      </c>
      <c r="J75" s="175">
        <f t="shared" si="22"/>
        <v>0.56996587030716728</v>
      </c>
      <c r="K75" s="159">
        <f t="shared" si="21"/>
        <v>167</v>
      </c>
      <c r="L75" s="161">
        <f t="shared" si="20"/>
        <v>8.8541566415798899E-4</v>
      </c>
    </row>
    <row r="76" spans="1:12" x14ac:dyDescent="0.25">
      <c r="A76" s="158" t="s">
        <v>144</v>
      </c>
      <c r="B76" s="159" t="s">
        <v>131</v>
      </c>
      <c r="C76" s="160">
        <v>346</v>
      </c>
      <c r="D76" s="160">
        <v>384</v>
      </c>
      <c r="E76" s="160">
        <v>0</v>
      </c>
      <c r="F76" s="160">
        <v>209</v>
      </c>
      <c r="G76" s="160">
        <v>356</v>
      </c>
      <c r="H76" s="160">
        <v>572</v>
      </c>
      <c r="I76" s="160">
        <v>773</v>
      </c>
      <c r="J76" s="175">
        <f t="shared" si="22"/>
        <v>0.35139860139860146</v>
      </c>
      <c r="K76" s="159">
        <f t="shared" si="21"/>
        <v>201</v>
      </c>
      <c r="L76" s="161">
        <f t="shared" si="20"/>
        <v>1.4878832791176641E-3</v>
      </c>
    </row>
    <row r="77" spans="1:12" x14ac:dyDescent="0.25">
      <c r="A77" s="163" t="s">
        <v>145</v>
      </c>
      <c r="B77" s="164" t="s">
        <v>145</v>
      </c>
      <c r="C77" s="165">
        <f t="shared" ref="C77:I77" si="23">C69-SUM(C70:C76)</f>
        <v>2708</v>
      </c>
      <c r="D77" s="165">
        <f t="shared" si="23"/>
        <v>2646</v>
      </c>
      <c r="E77" s="165">
        <f t="shared" si="23"/>
        <v>435</v>
      </c>
      <c r="F77" s="165">
        <f t="shared" si="23"/>
        <v>3810</v>
      </c>
      <c r="G77" s="165">
        <f t="shared" si="23"/>
        <v>6136</v>
      </c>
      <c r="H77" s="165">
        <f t="shared" si="23"/>
        <v>3962</v>
      </c>
      <c r="I77" s="165">
        <f t="shared" si="23"/>
        <v>4476</v>
      </c>
      <c r="J77" s="176">
        <f t="shared" si="22"/>
        <v>0.12973245835436642</v>
      </c>
      <c r="K77" s="164">
        <f>I77-H77</f>
        <v>514</v>
      </c>
      <c r="L77" s="166">
        <f t="shared" si="20"/>
        <v>8.615479375589475E-3</v>
      </c>
    </row>
    <row r="78" spans="1:12" x14ac:dyDescent="0.25">
      <c r="A78" s="1"/>
      <c r="B78" s="151" t="s">
        <v>48</v>
      </c>
      <c r="C78" s="149"/>
      <c r="D78" s="149"/>
      <c r="E78" s="149"/>
      <c r="F78" s="149"/>
      <c r="G78" s="149"/>
      <c r="H78" s="149"/>
      <c r="I78" s="149"/>
      <c r="J78" s="150"/>
      <c r="K78" s="150"/>
      <c r="L78" s="149"/>
    </row>
    <row r="79" spans="1:12" x14ac:dyDescent="0.25">
      <c r="A79" s="1"/>
      <c r="B79" s="152" t="s">
        <v>68</v>
      </c>
      <c r="C79" s="172">
        <v>72063</v>
      </c>
      <c r="D79" s="172">
        <v>76430</v>
      </c>
      <c r="E79" s="172">
        <v>5686</v>
      </c>
      <c r="F79" s="172">
        <v>46455</v>
      </c>
      <c r="G79" s="172">
        <v>73539</v>
      </c>
      <c r="H79" s="172">
        <v>78833</v>
      </c>
      <c r="I79" s="172">
        <v>80690</v>
      </c>
      <c r="J79" s="173">
        <f>IFERROR(I79/H79-1,"-")</f>
        <v>2.3556124973044268E-2</v>
      </c>
      <c r="K79" s="172">
        <f>I79-H79</f>
        <v>1857</v>
      </c>
      <c r="L79" s="173">
        <f t="shared" ref="L79:L91" si="24">I79/I$9</f>
        <v>0.15531345639327854</v>
      </c>
    </row>
    <row r="80" spans="1:12" x14ac:dyDescent="0.25">
      <c r="A80" s="1" t="s">
        <v>96</v>
      </c>
      <c r="B80" s="155" t="s">
        <v>97</v>
      </c>
      <c r="C80" s="156">
        <v>18422</v>
      </c>
      <c r="D80" s="156">
        <v>23831</v>
      </c>
      <c r="E80" s="156">
        <v>2380</v>
      </c>
      <c r="F80" s="156">
        <v>14579</v>
      </c>
      <c r="G80" s="156">
        <v>22585</v>
      </c>
      <c r="H80" s="156">
        <v>20080</v>
      </c>
      <c r="I80" s="156">
        <v>21637</v>
      </c>
      <c r="J80" s="174">
        <f>IFERROR(I80/H80-1,"-")</f>
        <v>7.7539840637450119E-2</v>
      </c>
      <c r="K80" s="155">
        <f t="shared" ref="K80:K90" si="25">I80-H80</f>
        <v>1557</v>
      </c>
      <c r="L80" s="157">
        <f t="shared" si="24"/>
        <v>4.1647258098666103E-2</v>
      </c>
    </row>
    <row r="81" spans="1:12" x14ac:dyDescent="0.25">
      <c r="A81" s="158" t="s">
        <v>103</v>
      </c>
      <c r="B81" s="159" t="s">
        <v>103</v>
      </c>
      <c r="C81" s="160">
        <v>2829</v>
      </c>
      <c r="D81" s="160">
        <v>3932</v>
      </c>
      <c r="E81" s="160">
        <v>1193</v>
      </c>
      <c r="F81" s="160">
        <v>3448</v>
      </c>
      <c r="G81" s="160">
        <v>4038</v>
      </c>
      <c r="H81" s="160">
        <v>3609</v>
      </c>
      <c r="I81" s="160">
        <v>4218</v>
      </c>
      <c r="J81" s="175">
        <f>IFERROR(I81/H81-1,"-")</f>
        <v>0.16874480465502906</v>
      </c>
      <c r="K81" s="159">
        <f t="shared" si="25"/>
        <v>609</v>
      </c>
      <c r="L81" s="161">
        <f t="shared" si="24"/>
        <v>8.1188766769965167E-3</v>
      </c>
    </row>
    <row r="82" spans="1:12" x14ac:dyDescent="0.25">
      <c r="A82" s="158" t="s">
        <v>100</v>
      </c>
      <c r="B82" s="159" t="s">
        <v>100</v>
      </c>
      <c r="C82" s="160">
        <v>15593</v>
      </c>
      <c r="D82" s="160">
        <v>19899</v>
      </c>
      <c r="E82" s="160">
        <v>1187</v>
      </c>
      <c r="F82" s="160">
        <v>11131</v>
      </c>
      <c r="G82" s="160">
        <v>18547</v>
      </c>
      <c r="H82" s="160">
        <v>16471</v>
      </c>
      <c r="I82" s="160">
        <v>17419</v>
      </c>
      <c r="J82" s="175">
        <f>IFERROR(I82/H82-1,"-")</f>
        <v>5.7555703964543792E-2</v>
      </c>
      <c r="K82" s="159">
        <f t="shared" si="25"/>
        <v>948</v>
      </c>
      <c r="L82" s="161">
        <f t="shared" si="24"/>
        <v>3.3528381421669584E-2</v>
      </c>
    </row>
    <row r="83" spans="1:12" x14ac:dyDescent="0.25">
      <c r="A83" s="1"/>
      <c r="B83" s="155" t="s">
        <v>107</v>
      </c>
      <c r="C83" s="156">
        <v>53641</v>
      </c>
      <c r="D83" s="156">
        <v>52599</v>
      </c>
      <c r="E83" s="156">
        <v>3306</v>
      </c>
      <c r="F83" s="156">
        <v>31876</v>
      </c>
      <c r="G83" s="156">
        <v>50954</v>
      </c>
      <c r="H83" s="156">
        <v>58753</v>
      </c>
      <c r="I83" s="156">
        <v>59053</v>
      </c>
      <c r="J83" s="174">
        <f>IFERROR(I83/H83-1,"-")</f>
        <v>5.1061222405663909E-3</v>
      </c>
      <c r="K83" s="155">
        <f t="shared" si="25"/>
        <v>300</v>
      </c>
      <c r="L83" s="157">
        <f t="shared" si="24"/>
        <v>0.11366619829461244</v>
      </c>
    </row>
    <row r="84" spans="1:12" s="56" customFormat="1" x14ac:dyDescent="0.25">
      <c r="B84" s="159" t="s">
        <v>110</v>
      </c>
      <c r="C84" s="160">
        <v>7590</v>
      </c>
      <c r="D84" s="160">
        <v>8587</v>
      </c>
      <c r="E84" s="160">
        <v>357</v>
      </c>
      <c r="F84" s="160">
        <v>3579</v>
      </c>
      <c r="G84" s="160">
        <v>8849</v>
      </c>
      <c r="H84" s="160">
        <v>10897</v>
      </c>
      <c r="I84" s="160">
        <v>10975</v>
      </c>
      <c r="J84" s="175">
        <f t="shared" ref="J84:J91" si="26">IFERROR(I84/H84-1,"-")</f>
        <v>7.157933376158665E-3</v>
      </c>
      <c r="K84" s="159">
        <f t="shared" si="25"/>
        <v>78</v>
      </c>
      <c r="L84" s="161">
        <f t="shared" si="24"/>
        <v>2.1124862856812889E-2</v>
      </c>
    </row>
    <row r="85" spans="1:12" s="56" customFormat="1" x14ac:dyDescent="0.25">
      <c r="B85" s="159" t="s">
        <v>113</v>
      </c>
      <c r="C85" s="160">
        <v>22711</v>
      </c>
      <c r="D85" s="160">
        <v>18991</v>
      </c>
      <c r="E85" s="160">
        <v>913</v>
      </c>
      <c r="F85" s="160">
        <v>10854</v>
      </c>
      <c r="G85" s="160">
        <v>17148</v>
      </c>
      <c r="H85" s="160">
        <v>18648</v>
      </c>
      <c r="I85" s="160">
        <v>18509</v>
      </c>
      <c r="J85" s="175">
        <f t="shared" si="26"/>
        <v>-7.4538824538824544E-3</v>
      </c>
      <c r="K85" s="159">
        <f t="shared" si="25"/>
        <v>-139</v>
      </c>
      <c r="L85" s="161">
        <f t="shared" si="24"/>
        <v>3.5626431582391774E-2</v>
      </c>
    </row>
    <row r="86" spans="1:12" x14ac:dyDescent="0.25">
      <c r="A86" s="1"/>
      <c r="B86" s="159" t="s">
        <v>116</v>
      </c>
      <c r="C86" s="160">
        <v>2007</v>
      </c>
      <c r="D86" s="160">
        <v>2440</v>
      </c>
      <c r="E86" s="160">
        <v>656</v>
      </c>
      <c r="F86" s="160">
        <v>2131</v>
      </c>
      <c r="G86" s="160">
        <v>3539</v>
      </c>
      <c r="H86" s="160">
        <v>4470</v>
      </c>
      <c r="I86" s="160">
        <v>4566</v>
      </c>
      <c r="J86" s="175">
        <f t="shared" si="26"/>
        <v>2.1476510067114152E-2</v>
      </c>
      <c r="K86" s="159">
        <f t="shared" si="25"/>
        <v>96</v>
      </c>
      <c r="L86" s="161">
        <f t="shared" si="24"/>
        <v>8.7887128750986469E-3</v>
      </c>
    </row>
    <row r="87" spans="1:12" x14ac:dyDescent="0.25">
      <c r="A87" s="1"/>
      <c r="B87" s="159" t="s">
        <v>123</v>
      </c>
      <c r="C87" s="160">
        <v>830</v>
      </c>
      <c r="D87" s="160">
        <v>713</v>
      </c>
      <c r="E87" s="160">
        <v>32</v>
      </c>
      <c r="F87" s="160">
        <v>1258</v>
      </c>
      <c r="G87" s="160">
        <v>1055</v>
      </c>
      <c r="H87" s="160">
        <v>1503</v>
      </c>
      <c r="I87" s="160">
        <v>1759</v>
      </c>
      <c r="J87" s="175">
        <f t="shared" si="26"/>
        <v>0.17032601463739194</v>
      </c>
      <c r="K87" s="159">
        <f t="shared" si="25"/>
        <v>256</v>
      </c>
      <c r="L87" s="161">
        <f t="shared" si="24"/>
        <v>3.3857525070737013E-3</v>
      </c>
    </row>
    <row r="88" spans="1:12" x14ac:dyDescent="0.25">
      <c r="A88" s="1"/>
      <c r="B88" s="159" t="s">
        <v>119</v>
      </c>
      <c r="C88" s="160">
        <v>698</v>
      </c>
      <c r="D88" s="160">
        <v>527</v>
      </c>
      <c r="E88" s="160">
        <v>86</v>
      </c>
      <c r="F88" s="160">
        <v>707</v>
      </c>
      <c r="G88" s="160">
        <v>670</v>
      </c>
      <c r="H88" s="160">
        <v>736</v>
      </c>
      <c r="I88" s="160">
        <v>976</v>
      </c>
      <c r="J88" s="175">
        <f t="shared" si="26"/>
        <v>0.32608695652173902</v>
      </c>
      <c r="K88" s="159">
        <f t="shared" si="25"/>
        <v>240</v>
      </c>
      <c r="L88" s="161">
        <f t="shared" si="24"/>
        <v>1.878621061343907E-3</v>
      </c>
    </row>
    <row r="89" spans="1:12" x14ac:dyDescent="0.25">
      <c r="A89" s="1"/>
      <c r="B89" s="159" t="s">
        <v>128</v>
      </c>
      <c r="C89" s="160">
        <v>1819</v>
      </c>
      <c r="D89" s="160">
        <v>1583</v>
      </c>
      <c r="E89" s="160">
        <v>17</v>
      </c>
      <c r="F89" s="160">
        <v>1097</v>
      </c>
      <c r="G89" s="160">
        <v>1801</v>
      </c>
      <c r="H89" s="160">
        <v>1606</v>
      </c>
      <c r="I89" s="160">
        <v>1482</v>
      </c>
      <c r="J89" s="175">
        <f t="shared" si="26"/>
        <v>-7.7210460772104583E-2</v>
      </c>
      <c r="K89" s="159">
        <f t="shared" si="25"/>
        <v>-124</v>
      </c>
      <c r="L89" s="161">
        <f t="shared" si="24"/>
        <v>2.852578291917695E-3</v>
      </c>
    </row>
    <row r="90" spans="1:12" x14ac:dyDescent="0.25">
      <c r="A90" s="158" t="s">
        <v>144</v>
      </c>
      <c r="B90" s="159" t="s">
        <v>131</v>
      </c>
      <c r="C90" s="160">
        <v>2720</v>
      </c>
      <c r="D90" s="160">
        <v>2952</v>
      </c>
      <c r="E90" s="160">
        <v>83</v>
      </c>
      <c r="F90" s="160">
        <v>1228</v>
      </c>
      <c r="G90" s="160">
        <v>1999</v>
      </c>
      <c r="H90" s="160">
        <v>2210</v>
      </c>
      <c r="I90" s="160">
        <v>1874</v>
      </c>
      <c r="J90" s="175">
        <f t="shared" si="26"/>
        <v>-0.15203619909502264</v>
      </c>
      <c r="K90" s="159">
        <f t="shared" si="25"/>
        <v>-336</v>
      </c>
      <c r="L90" s="161">
        <f t="shared" si="24"/>
        <v>3.6071064231131987E-3</v>
      </c>
    </row>
    <row r="91" spans="1:12" x14ac:dyDescent="0.25">
      <c r="A91" s="163" t="s">
        <v>145</v>
      </c>
      <c r="B91" s="164" t="s">
        <v>145</v>
      </c>
      <c r="C91" s="165">
        <f t="shared" ref="C91:I91" si="27">C83-SUM(C84:C90)</f>
        <v>15266</v>
      </c>
      <c r="D91" s="165">
        <f t="shared" si="27"/>
        <v>16806</v>
      </c>
      <c r="E91" s="165">
        <f t="shared" si="27"/>
        <v>1162</v>
      </c>
      <c r="F91" s="165">
        <f t="shared" si="27"/>
        <v>11022</v>
      </c>
      <c r="G91" s="165">
        <f t="shared" si="27"/>
        <v>15893</v>
      </c>
      <c r="H91" s="165">
        <f t="shared" si="27"/>
        <v>18683</v>
      </c>
      <c r="I91" s="165">
        <f t="shared" si="27"/>
        <v>18912</v>
      </c>
      <c r="J91" s="176">
        <f t="shared" si="26"/>
        <v>1.2257132152224015E-2</v>
      </c>
      <c r="K91" s="164">
        <f>I91-H91</f>
        <v>229</v>
      </c>
      <c r="L91" s="166">
        <f t="shared" si="24"/>
        <v>3.6402132696860622E-2</v>
      </c>
    </row>
    <row r="92" spans="1:12" x14ac:dyDescent="0.25">
      <c r="A92" s="1"/>
      <c r="B92" s="151" t="s">
        <v>49</v>
      </c>
      <c r="C92" s="149"/>
      <c r="D92" s="149"/>
      <c r="E92" s="149"/>
      <c r="F92" s="149"/>
      <c r="G92" s="149"/>
      <c r="H92" s="149"/>
      <c r="I92" s="149"/>
      <c r="J92" s="150"/>
      <c r="K92" s="150"/>
      <c r="L92" s="149"/>
    </row>
    <row r="93" spans="1:12" x14ac:dyDescent="0.25">
      <c r="A93" s="1"/>
      <c r="B93" s="152" t="s">
        <v>68</v>
      </c>
      <c r="C93" s="172">
        <v>5059</v>
      </c>
      <c r="D93" s="172">
        <v>5501</v>
      </c>
      <c r="E93" s="172">
        <v>1199</v>
      </c>
      <c r="F93" s="172">
        <v>3897</v>
      </c>
      <c r="G93" s="172">
        <v>5725</v>
      </c>
      <c r="H93" s="172">
        <v>5545</v>
      </c>
      <c r="I93" s="172">
        <v>5676</v>
      </c>
      <c r="J93" s="173">
        <f>IFERROR(I93/H93-1,"-")</f>
        <v>2.362488728584311E-2</v>
      </c>
      <c r="K93" s="172">
        <f>I93-H93</f>
        <v>131</v>
      </c>
      <c r="L93" s="173">
        <f t="shared" ref="L93:L105" si="28">I93/I$9</f>
        <v>1.0925259369045098E-2</v>
      </c>
    </row>
    <row r="94" spans="1:12" x14ac:dyDescent="0.25">
      <c r="A94" s="1" t="s">
        <v>96</v>
      </c>
      <c r="B94" s="155" t="s">
        <v>97</v>
      </c>
      <c r="C94" s="156">
        <v>2788</v>
      </c>
      <c r="D94" s="156">
        <v>3135</v>
      </c>
      <c r="E94" s="156">
        <v>586</v>
      </c>
      <c r="F94" s="156">
        <v>1891</v>
      </c>
      <c r="G94" s="156">
        <v>3142</v>
      </c>
      <c r="H94" s="156">
        <v>2238</v>
      </c>
      <c r="I94" s="156">
        <v>2761</v>
      </c>
      <c r="J94" s="174">
        <f>IFERROR(I94/H94-1,"-")</f>
        <v>0.23369079535299364</v>
      </c>
      <c r="K94" s="155">
        <f t="shared" ref="K94:K104" si="29">I94-H94</f>
        <v>523</v>
      </c>
      <c r="L94" s="157">
        <f t="shared" si="28"/>
        <v>5.3144188016091467E-3</v>
      </c>
    </row>
    <row r="95" spans="1:12" x14ac:dyDescent="0.25">
      <c r="A95" s="158" t="s">
        <v>103</v>
      </c>
      <c r="B95" s="159" t="s">
        <v>103</v>
      </c>
      <c r="C95" s="160">
        <v>1416</v>
      </c>
      <c r="D95" s="160">
        <v>1885</v>
      </c>
      <c r="E95" s="160">
        <v>279</v>
      </c>
      <c r="F95" s="160">
        <v>758</v>
      </c>
      <c r="G95" s="160">
        <v>1501</v>
      </c>
      <c r="H95" s="160">
        <v>734</v>
      </c>
      <c r="I95" s="160">
        <v>950</v>
      </c>
      <c r="J95" s="175">
        <f>IFERROR(I95/H95-1,"-")</f>
        <v>0.29427792915531326</v>
      </c>
      <c r="K95" s="159">
        <f t="shared" si="29"/>
        <v>216</v>
      </c>
      <c r="L95" s="161">
        <f t="shared" si="28"/>
        <v>1.8285758281523685E-3</v>
      </c>
    </row>
    <row r="96" spans="1:12" x14ac:dyDescent="0.25">
      <c r="A96" s="158" t="s">
        <v>100</v>
      </c>
      <c r="B96" s="159" t="s">
        <v>100</v>
      </c>
      <c r="C96" s="160">
        <v>1372</v>
      </c>
      <c r="D96" s="160">
        <v>1250</v>
      </c>
      <c r="E96" s="160">
        <v>307</v>
      </c>
      <c r="F96" s="160">
        <v>1133</v>
      </c>
      <c r="G96" s="160">
        <v>1641</v>
      </c>
      <c r="H96" s="160">
        <v>1504</v>
      </c>
      <c r="I96" s="160">
        <v>1811</v>
      </c>
      <c r="J96" s="175">
        <f>IFERROR(I96/H96-1,"-")</f>
        <v>0.2041223404255319</v>
      </c>
      <c r="K96" s="159">
        <f t="shared" si="29"/>
        <v>307</v>
      </c>
      <c r="L96" s="161">
        <f t="shared" si="28"/>
        <v>3.4858429734567781E-3</v>
      </c>
    </row>
    <row r="97" spans="1:12" x14ac:dyDescent="0.25">
      <c r="A97" s="1"/>
      <c r="B97" s="155" t="s">
        <v>107</v>
      </c>
      <c r="C97" s="156">
        <v>2271</v>
      </c>
      <c r="D97" s="156">
        <v>2366</v>
      </c>
      <c r="E97" s="156">
        <v>613</v>
      </c>
      <c r="F97" s="156">
        <v>2006</v>
      </c>
      <c r="G97" s="156">
        <v>2583</v>
      </c>
      <c r="H97" s="156">
        <v>3307</v>
      </c>
      <c r="I97" s="156">
        <v>2915</v>
      </c>
      <c r="J97" s="174">
        <f>IFERROR(I97/H97-1,"-")</f>
        <v>-0.11853643785908674</v>
      </c>
      <c r="K97" s="155">
        <f t="shared" si="29"/>
        <v>-392</v>
      </c>
      <c r="L97" s="157">
        <f t="shared" si="28"/>
        <v>5.6108405674359521E-3</v>
      </c>
    </row>
    <row r="98" spans="1:12" s="56" customFormat="1" x14ac:dyDescent="0.25">
      <c r="B98" s="159" t="s">
        <v>110</v>
      </c>
      <c r="C98" s="160">
        <v>359</v>
      </c>
      <c r="D98" s="160">
        <v>391</v>
      </c>
      <c r="E98" s="160">
        <v>24</v>
      </c>
      <c r="F98" s="160">
        <v>326</v>
      </c>
      <c r="G98" s="160">
        <v>437</v>
      </c>
      <c r="H98" s="160">
        <v>466</v>
      </c>
      <c r="I98" s="160">
        <v>416</v>
      </c>
      <c r="J98" s="175">
        <f t="shared" ref="J98:J105" si="30">IFERROR(I98/H98-1,"-")</f>
        <v>-0.10729613733905574</v>
      </c>
      <c r="K98" s="159">
        <f t="shared" si="29"/>
        <v>-50</v>
      </c>
      <c r="L98" s="161">
        <f t="shared" si="28"/>
        <v>8.0072373106461611E-4</v>
      </c>
    </row>
    <row r="99" spans="1:12" s="56" customFormat="1" x14ac:dyDescent="0.25">
      <c r="B99" s="159" t="s">
        <v>113</v>
      </c>
      <c r="C99" s="160">
        <v>524</v>
      </c>
      <c r="D99" s="160">
        <v>526</v>
      </c>
      <c r="E99" s="160">
        <v>97</v>
      </c>
      <c r="F99" s="160">
        <v>410</v>
      </c>
      <c r="G99" s="160">
        <v>541</v>
      </c>
      <c r="H99" s="160">
        <v>738</v>
      </c>
      <c r="I99" s="160">
        <v>635</v>
      </c>
      <c r="J99" s="175">
        <f t="shared" si="30"/>
        <v>-0.13956639566395668</v>
      </c>
      <c r="K99" s="159">
        <f t="shared" si="29"/>
        <v>-103</v>
      </c>
      <c r="L99" s="161">
        <f t="shared" si="28"/>
        <v>1.2222585798702674E-3</v>
      </c>
    </row>
    <row r="100" spans="1:12" x14ac:dyDescent="0.25">
      <c r="A100" s="1"/>
      <c r="B100" s="159" t="s">
        <v>116</v>
      </c>
      <c r="C100" s="160">
        <v>388</v>
      </c>
      <c r="D100" s="160">
        <v>427</v>
      </c>
      <c r="E100" s="160">
        <v>241</v>
      </c>
      <c r="F100" s="160">
        <v>349</v>
      </c>
      <c r="G100" s="160">
        <v>499</v>
      </c>
      <c r="H100" s="160">
        <v>424</v>
      </c>
      <c r="I100" s="160">
        <v>431</v>
      </c>
      <c r="J100" s="175">
        <f t="shared" si="30"/>
        <v>1.6509433962264231E-2</v>
      </c>
      <c r="K100" s="159">
        <f t="shared" si="29"/>
        <v>7</v>
      </c>
      <c r="L100" s="161">
        <f t="shared" si="28"/>
        <v>8.295959809828114E-4</v>
      </c>
    </row>
    <row r="101" spans="1:12" x14ac:dyDescent="0.25">
      <c r="A101" s="1"/>
      <c r="B101" s="159" t="s">
        <v>123</v>
      </c>
      <c r="C101" s="160">
        <v>88</v>
      </c>
      <c r="D101" s="160">
        <v>93</v>
      </c>
      <c r="E101" s="160">
        <v>5</v>
      </c>
      <c r="F101" s="160">
        <v>136</v>
      </c>
      <c r="G101" s="160">
        <v>151</v>
      </c>
      <c r="H101" s="160">
        <v>169</v>
      </c>
      <c r="I101" s="160">
        <v>190</v>
      </c>
      <c r="J101" s="175">
        <f t="shared" si="30"/>
        <v>0.12426035502958577</v>
      </c>
      <c r="K101" s="159">
        <f t="shared" si="29"/>
        <v>21</v>
      </c>
      <c r="L101" s="161">
        <f t="shared" si="28"/>
        <v>3.6571516563047371E-4</v>
      </c>
    </row>
    <row r="102" spans="1:12" x14ac:dyDescent="0.25">
      <c r="A102" s="1"/>
      <c r="B102" s="159" t="s">
        <v>119</v>
      </c>
      <c r="C102" s="160">
        <v>81</v>
      </c>
      <c r="D102" s="160">
        <v>74</v>
      </c>
      <c r="E102" s="160">
        <v>24</v>
      </c>
      <c r="F102" s="160">
        <v>104</v>
      </c>
      <c r="G102" s="160">
        <v>90</v>
      </c>
      <c r="H102" s="160">
        <v>176</v>
      </c>
      <c r="I102" s="160">
        <v>145</v>
      </c>
      <c r="J102" s="175">
        <f t="shared" si="30"/>
        <v>-0.17613636363636365</v>
      </c>
      <c r="K102" s="159">
        <f t="shared" si="29"/>
        <v>-31</v>
      </c>
      <c r="L102" s="161">
        <f t="shared" si="28"/>
        <v>2.7909841587588785E-4</v>
      </c>
    </row>
    <row r="103" spans="1:12" x14ac:dyDescent="0.25">
      <c r="A103" s="1"/>
      <c r="B103" s="159" t="s">
        <v>128</v>
      </c>
      <c r="C103" s="160">
        <v>48</v>
      </c>
      <c r="D103" s="160">
        <v>92</v>
      </c>
      <c r="E103" s="160">
        <v>4</v>
      </c>
      <c r="F103" s="160">
        <v>50</v>
      </c>
      <c r="G103" s="160">
        <v>39</v>
      </c>
      <c r="H103" s="160">
        <v>66</v>
      </c>
      <c r="I103" s="160">
        <v>22</v>
      </c>
      <c r="J103" s="175">
        <f t="shared" si="30"/>
        <v>-0.66666666666666674</v>
      </c>
      <c r="K103" s="159">
        <f t="shared" si="29"/>
        <v>-44</v>
      </c>
      <c r="L103" s="161">
        <f t="shared" si="28"/>
        <v>4.2345966546686426E-5</v>
      </c>
    </row>
    <row r="104" spans="1:12" x14ac:dyDescent="0.25">
      <c r="A104" s="158" t="s">
        <v>144</v>
      </c>
      <c r="B104" s="159" t="s">
        <v>131</v>
      </c>
      <c r="C104" s="160">
        <v>18</v>
      </c>
      <c r="D104" s="160">
        <v>37</v>
      </c>
      <c r="E104" s="160">
        <v>7</v>
      </c>
      <c r="F104" s="160">
        <v>37</v>
      </c>
      <c r="G104" s="160">
        <v>64</v>
      </c>
      <c r="H104" s="160">
        <v>161</v>
      </c>
      <c r="I104" s="160">
        <v>83</v>
      </c>
      <c r="J104" s="175">
        <f t="shared" si="30"/>
        <v>-0.48447204968944102</v>
      </c>
      <c r="K104" s="159">
        <f t="shared" si="29"/>
        <v>-78</v>
      </c>
      <c r="L104" s="161">
        <f t="shared" si="28"/>
        <v>1.5975978288068063E-4</v>
      </c>
    </row>
    <row r="105" spans="1:12" x14ac:dyDescent="0.25">
      <c r="A105" s="163" t="s">
        <v>145</v>
      </c>
      <c r="B105" s="164" t="s">
        <v>145</v>
      </c>
      <c r="C105" s="165">
        <f t="shared" ref="C105:I105" si="31">C97-SUM(C98:C104)</f>
        <v>765</v>
      </c>
      <c r="D105" s="165">
        <f t="shared" si="31"/>
        <v>726</v>
      </c>
      <c r="E105" s="165">
        <f t="shared" si="31"/>
        <v>211</v>
      </c>
      <c r="F105" s="165">
        <f t="shared" si="31"/>
        <v>594</v>
      </c>
      <c r="G105" s="165">
        <f t="shared" si="31"/>
        <v>762</v>
      </c>
      <c r="H105" s="165">
        <f t="shared" si="31"/>
        <v>1107</v>
      </c>
      <c r="I105" s="165">
        <f t="shared" si="31"/>
        <v>993</v>
      </c>
      <c r="J105" s="176">
        <f t="shared" si="30"/>
        <v>-0.10298102981029811</v>
      </c>
      <c r="K105" s="164">
        <f>I105-H105</f>
        <v>-114</v>
      </c>
      <c r="L105" s="166">
        <f t="shared" si="28"/>
        <v>1.9113429445845283E-3</v>
      </c>
    </row>
    <row r="106" spans="1:12" x14ac:dyDescent="0.25">
      <c r="A106" s="1"/>
      <c r="B106" s="151" t="s">
        <v>50</v>
      </c>
      <c r="C106" s="149"/>
      <c r="D106" s="149"/>
      <c r="E106" s="149"/>
      <c r="F106" s="149"/>
      <c r="G106" s="149"/>
      <c r="H106" s="149"/>
      <c r="I106" s="149"/>
      <c r="J106" s="150"/>
      <c r="K106" s="150"/>
      <c r="L106" s="149"/>
    </row>
    <row r="107" spans="1:12" x14ac:dyDescent="0.25">
      <c r="A107" s="1"/>
      <c r="B107" s="152" t="s">
        <v>68</v>
      </c>
      <c r="C107" s="172">
        <v>15010</v>
      </c>
      <c r="D107" s="172">
        <v>18102</v>
      </c>
      <c r="E107" s="172">
        <v>3571</v>
      </c>
      <c r="F107" s="172">
        <v>15013</v>
      </c>
      <c r="G107" s="172">
        <v>18881</v>
      </c>
      <c r="H107" s="172">
        <v>21087</v>
      </c>
      <c r="I107" s="172">
        <v>23878</v>
      </c>
      <c r="J107" s="173">
        <f>IFERROR(I107/H107-1,"-")</f>
        <v>0.13235642813107606</v>
      </c>
      <c r="K107" s="172">
        <f>I107-H107</f>
        <v>2791</v>
      </c>
      <c r="L107" s="173">
        <f t="shared" ref="L107:L119" si="32">I107/I$9</f>
        <v>4.5960772236444479E-2</v>
      </c>
    </row>
    <row r="108" spans="1:12" x14ac:dyDescent="0.25">
      <c r="A108" s="1" t="s">
        <v>96</v>
      </c>
      <c r="B108" s="155" t="s">
        <v>97</v>
      </c>
      <c r="C108" s="156">
        <v>1452</v>
      </c>
      <c r="D108" s="156">
        <v>3985</v>
      </c>
      <c r="E108" s="156">
        <v>995</v>
      </c>
      <c r="F108" s="156">
        <v>2517</v>
      </c>
      <c r="G108" s="156">
        <v>3251</v>
      </c>
      <c r="H108" s="156">
        <v>2867</v>
      </c>
      <c r="I108" s="156">
        <v>3099</v>
      </c>
      <c r="J108" s="174">
        <f>IFERROR(I108/H108-1,"-")</f>
        <v>8.0920823160097743E-2</v>
      </c>
      <c r="K108" s="155">
        <f t="shared" ref="K108:K118" si="33">I108-H108</f>
        <v>232</v>
      </c>
      <c r="L108" s="157">
        <f t="shared" si="32"/>
        <v>5.9650068330991471E-3</v>
      </c>
    </row>
    <row r="109" spans="1:12" x14ac:dyDescent="0.25">
      <c r="A109" s="158" t="s">
        <v>103</v>
      </c>
      <c r="B109" s="159" t="s">
        <v>103</v>
      </c>
      <c r="C109" s="160">
        <v>485</v>
      </c>
      <c r="D109" s="160">
        <v>421</v>
      </c>
      <c r="E109" s="160">
        <v>847</v>
      </c>
      <c r="F109" s="160">
        <v>1151</v>
      </c>
      <c r="G109" s="160">
        <v>633</v>
      </c>
      <c r="H109" s="160">
        <v>612</v>
      </c>
      <c r="I109" s="160">
        <v>734</v>
      </c>
      <c r="J109" s="175">
        <f>IFERROR(I109/H109-1,"-")</f>
        <v>0.19934640522875813</v>
      </c>
      <c r="K109" s="159">
        <f t="shared" si="33"/>
        <v>122</v>
      </c>
      <c r="L109" s="161">
        <f t="shared" si="32"/>
        <v>1.4128154293303562E-3</v>
      </c>
    </row>
    <row r="110" spans="1:12" x14ac:dyDescent="0.25">
      <c r="A110" s="158" t="s">
        <v>100</v>
      </c>
      <c r="B110" s="159" t="s">
        <v>100</v>
      </c>
      <c r="C110" s="160">
        <v>967</v>
      </c>
      <c r="D110" s="160">
        <v>3564</v>
      </c>
      <c r="E110" s="160">
        <v>148</v>
      </c>
      <c r="F110" s="160">
        <v>1366</v>
      </c>
      <c r="G110" s="160">
        <v>2618</v>
      </c>
      <c r="H110" s="160">
        <v>2255</v>
      </c>
      <c r="I110" s="160">
        <v>2365</v>
      </c>
      <c r="J110" s="175">
        <f>IFERROR(I110/H110-1,"-")</f>
        <v>4.8780487804878092E-2</v>
      </c>
      <c r="K110" s="159">
        <f t="shared" si="33"/>
        <v>110</v>
      </c>
      <c r="L110" s="161">
        <f t="shared" si="32"/>
        <v>4.5521914037687907E-3</v>
      </c>
    </row>
    <row r="111" spans="1:12" x14ac:dyDescent="0.25">
      <c r="A111" s="1"/>
      <c r="B111" s="155" t="s">
        <v>107</v>
      </c>
      <c r="C111" s="156">
        <v>13558</v>
      </c>
      <c r="D111" s="156">
        <v>14117</v>
      </c>
      <c r="E111" s="156">
        <v>2576</v>
      </c>
      <c r="F111" s="156">
        <v>12496</v>
      </c>
      <c r="G111" s="156">
        <v>15630</v>
      </c>
      <c r="H111" s="156">
        <v>18220</v>
      </c>
      <c r="I111" s="156">
        <v>20779</v>
      </c>
      <c r="J111" s="174">
        <f>IFERROR(I111/H111-1,"-")</f>
        <v>0.14045005488474205</v>
      </c>
      <c r="K111" s="155">
        <f t="shared" si="33"/>
        <v>2559</v>
      </c>
      <c r="L111" s="157">
        <f t="shared" si="32"/>
        <v>3.9995765403345332E-2</v>
      </c>
    </row>
    <row r="112" spans="1:12" s="56" customFormat="1" x14ac:dyDescent="0.25">
      <c r="B112" s="159" t="s">
        <v>110</v>
      </c>
      <c r="C112" s="160">
        <v>6222</v>
      </c>
      <c r="D112" s="160">
        <v>7286</v>
      </c>
      <c r="E112" s="160">
        <v>1427</v>
      </c>
      <c r="F112" s="160">
        <v>6076</v>
      </c>
      <c r="G112" s="160">
        <v>8931</v>
      </c>
      <c r="H112" s="160">
        <v>10241</v>
      </c>
      <c r="I112" s="160">
        <v>11255</v>
      </c>
      <c r="J112" s="175">
        <f t="shared" ref="J112:J119" si="34">IFERROR(I112/H112-1,"-")</f>
        <v>9.901376818670049E-2</v>
      </c>
      <c r="K112" s="159">
        <f t="shared" si="33"/>
        <v>1014</v>
      </c>
      <c r="L112" s="161">
        <f t="shared" si="32"/>
        <v>2.1663811521952535E-2</v>
      </c>
    </row>
    <row r="113" spans="1:12" s="56" customFormat="1" x14ac:dyDescent="0.25">
      <c r="B113" s="159" t="s">
        <v>113</v>
      </c>
      <c r="C113" s="160">
        <v>1663</v>
      </c>
      <c r="D113" s="160">
        <v>1095</v>
      </c>
      <c r="E113" s="160">
        <v>523</v>
      </c>
      <c r="F113" s="160">
        <v>815</v>
      </c>
      <c r="G113" s="160">
        <v>940</v>
      </c>
      <c r="H113" s="160">
        <v>1095</v>
      </c>
      <c r="I113" s="160">
        <v>1094</v>
      </c>
      <c r="J113" s="175">
        <f t="shared" si="34"/>
        <v>-9.1324200913245335E-4</v>
      </c>
      <c r="K113" s="159">
        <f t="shared" si="33"/>
        <v>-1</v>
      </c>
      <c r="L113" s="161">
        <f t="shared" si="32"/>
        <v>2.1057494273670433E-3</v>
      </c>
    </row>
    <row r="114" spans="1:12" x14ac:dyDescent="0.25">
      <c r="A114" s="1"/>
      <c r="B114" s="159" t="s">
        <v>116</v>
      </c>
      <c r="C114" s="160">
        <v>1509</v>
      </c>
      <c r="D114" s="160">
        <v>653</v>
      </c>
      <c r="E114" s="160">
        <v>329</v>
      </c>
      <c r="F114" s="160">
        <v>683</v>
      </c>
      <c r="G114" s="160">
        <v>905</v>
      </c>
      <c r="H114" s="160">
        <v>966</v>
      </c>
      <c r="I114" s="160">
        <v>1391</v>
      </c>
      <c r="J114" s="175">
        <f t="shared" si="34"/>
        <v>0.4399585921325051</v>
      </c>
      <c r="K114" s="159">
        <f t="shared" si="33"/>
        <v>425</v>
      </c>
      <c r="L114" s="161">
        <f t="shared" si="32"/>
        <v>2.6774199757473101E-3</v>
      </c>
    </row>
    <row r="115" spans="1:12" x14ac:dyDescent="0.25">
      <c r="A115" s="1"/>
      <c r="B115" s="159" t="s">
        <v>123</v>
      </c>
      <c r="C115" s="160">
        <v>316</v>
      </c>
      <c r="D115" s="160">
        <v>346</v>
      </c>
      <c r="E115" s="160">
        <v>0</v>
      </c>
      <c r="F115" s="160">
        <v>826</v>
      </c>
      <c r="G115" s="160">
        <v>603</v>
      </c>
      <c r="H115" s="160">
        <v>765</v>
      </c>
      <c r="I115" s="160">
        <v>753</v>
      </c>
      <c r="J115" s="175">
        <f t="shared" si="34"/>
        <v>-1.5686274509803977E-2</v>
      </c>
      <c r="K115" s="159">
        <f t="shared" si="33"/>
        <v>-12</v>
      </c>
      <c r="L115" s="161">
        <f t="shared" si="32"/>
        <v>1.4493869458934037E-3</v>
      </c>
    </row>
    <row r="116" spans="1:12" x14ac:dyDescent="0.25">
      <c r="A116" s="1"/>
      <c r="B116" s="159" t="s">
        <v>119</v>
      </c>
      <c r="C116" s="160">
        <v>415</v>
      </c>
      <c r="D116" s="160">
        <v>395</v>
      </c>
      <c r="E116" s="160">
        <v>15</v>
      </c>
      <c r="F116" s="160">
        <v>632</v>
      </c>
      <c r="G116" s="160">
        <v>568</v>
      </c>
      <c r="H116" s="160">
        <v>589</v>
      </c>
      <c r="I116" s="160">
        <v>510</v>
      </c>
      <c r="J116" s="175">
        <f t="shared" si="34"/>
        <v>-0.13412563667232602</v>
      </c>
      <c r="K116" s="159">
        <f t="shared" si="33"/>
        <v>-79</v>
      </c>
      <c r="L116" s="161">
        <f t="shared" si="32"/>
        <v>9.8165649721863998E-4</v>
      </c>
    </row>
    <row r="117" spans="1:12" x14ac:dyDescent="0.25">
      <c r="A117" s="1"/>
      <c r="B117" s="159" t="s">
        <v>128</v>
      </c>
      <c r="C117" s="160">
        <v>132</v>
      </c>
      <c r="D117" s="160">
        <v>147</v>
      </c>
      <c r="E117" s="160">
        <v>0</v>
      </c>
      <c r="F117" s="160">
        <v>142</v>
      </c>
      <c r="G117" s="160">
        <v>187</v>
      </c>
      <c r="H117" s="160">
        <v>241</v>
      </c>
      <c r="I117" s="160">
        <v>214</v>
      </c>
      <c r="J117" s="175">
        <f t="shared" si="34"/>
        <v>-0.11203319502074693</v>
      </c>
      <c r="K117" s="159">
        <f t="shared" si="33"/>
        <v>-27</v>
      </c>
      <c r="L117" s="161">
        <f t="shared" si="32"/>
        <v>4.1191076549958617E-4</v>
      </c>
    </row>
    <row r="118" spans="1:12" x14ac:dyDescent="0.25">
      <c r="A118" s="158" t="s">
        <v>144</v>
      </c>
      <c r="B118" s="159" t="s">
        <v>131</v>
      </c>
      <c r="C118" s="160">
        <v>418</v>
      </c>
      <c r="D118" s="160">
        <v>442</v>
      </c>
      <c r="E118" s="160">
        <v>0</v>
      </c>
      <c r="F118" s="160">
        <v>262</v>
      </c>
      <c r="G118" s="160">
        <v>220</v>
      </c>
      <c r="H118" s="160">
        <v>320</v>
      </c>
      <c r="I118" s="160">
        <v>228</v>
      </c>
      <c r="J118" s="175">
        <f t="shared" si="34"/>
        <v>-0.28749999999999998</v>
      </c>
      <c r="K118" s="159">
        <f t="shared" si="33"/>
        <v>-92</v>
      </c>
      <c r="L118" s="161">
        <f t="shared" si="32"/>
        <v>4.3885819875656842E-4</v>
      </c>
    </row>
    <row r="119" spans="1:12" x14ac:dyDescent="0.25">
      <c r="A119" s="163" t="s">
        <v>145</v>
      </c>
      <c r="B119" s="164" t="s">
        <v>145</v>
      </c>
      <c r="C119" s="165">
        <f t="shared" ref="C119:I119" si="35">C111-SUM(C112:C118)</f>
        <v>2883</v>
      </c>
      <c r="D119" s="165">
        <f t="shared" si="35"/>
        <v>3753</v>
      </c>
      <c r="E119" s="165">
        <f t="shared" si="35"/>
        <v>282</v>
      </c>
      <c r="F119" s="165">
        <f t="shared" si="35"/>
        <v>3060</v>
      </c>
      <c r="G119" s="165">
        <f t="shared" si="35"/>
        <v>3276</v>
      </c>
      <c r="H119" s="165">
        <f t="shared" si="35"/>
        <v>4003</v>
      </c>
      <c r="I119" s="165">
        <f t="shared" si="35"/>
        <v>5334</v>
      </c>
      <c r="J119" s="176">
        <f t="shared" si="34"/>
        <v>0.33250062453160134</v>
      </c>
      <c r="K119" s="164">
        <f>I119-H119</f>
        <v>1331</v>
      </c>
      <c r="L119" s="166">
        <f t="shared" si="32"/>
        <v>1.0266972070910246E-2</v>
      </c>
    </row>
    <row r="120" spans="1:12" x14ac:dyDescent="0.25">
      <c r="A120" s="1"/>
      <c r="B120" s="151" t="s">
        <v>51</v>
      </c>
      <c r="C120" s="149"/>
      <c r="D120" s="149"/>
      <c r="E120" s="149"/>
      <c r="F120" s="149"/>
      <c r="G120" s="149"/>
      <c r="H120" s="149"/>
      <c r="I120" s="149"/>
      <c r="J120" s="150"/>
      <c r="K120" s="150"/>
      <c r="L120" s="149"/>
    </row>
    <row r="121" spans="1:12" x14ac:dyDescent="0.25">
      <c r="A121" s="1"/>
      <c r="B121" s="152" t="s">
        <v>68</v>
      </c>
      <c r="C121" s="172">
        <v>22049</v>
      </c>
      <c r="D121" s="172">
        <v>21994</v>
      </c>
      <c r="E121" s="172">
        <v>4922</v>
      </c>
      <c r="F121" s="172">
        <v>15421</v>
      </c>
      <c r="G121" s="172">
        <v>25102</v>
      </c>
      <c r="H121" s="172">
        <v>25562</v>
      </c>
      <c r="I121" s="172">
        <v>26122</v>
      </c>
      <c r="J121" s="173">
        <f>IFERROR(I121/H121-1,"-")</f>
        <v>2.1907518973476314E-2</v>
      </c>
      <c r="K121" s="172">
        <f>I121-H121</f>
        <v>560</v>
      </c>
      <c r="L121" s="173">
        <f t="shared" ref="L121:L133" si="36">I121/I$9</f>
        <v>5.0280060824206496E-2</v>
      </c>
    </row>
    <row r="122" spans="1:12" x14ac:dyDescent="0.25">
      <c r="A122" s="1" t="s">
        <v>96</v>
      </c>
      <c r="B122" s="155" t="s">
        <v>97</v>
      </c>
      <c r="C122" s="156">
        <v>9528</v>
      </c>
      <c r="D122" s="156">
        <v>10239</v>
      </c>
      <c r="E122" s="156">
        <v>2644</v>
      </c>
      <c r="F122" s="156">
        <v>6968</v>
      </c>
      <c r="G122" s="156">
        <v>10899</v>
      </c>
      <c r="H122" s="156">
        <v>12408</v>
      </c>
      <c r="I122" s="156">
        <v>12364</v>
      </c>
      <c r="J122" s="174">
        <f>IFERROR(I122/H122-1,"-")</f>
        <v>-3.5460992907800915E-3</v>
      </c>
      <c r="K122" s="155">
        <f t="shared" ref="K122:K132" si="37">I122-H122</f>
        <v>-44</v>
      </c>
      <c r="L122" s="157">
        <f t="shared" si="36"/>
        <v>2.3798433199237773E-2</v>
      </c>
    </row>
    <row r="123" spans="1:12" x14ac:dyDescent="0.25">
      <c r="A123" s="158" t="s">
        <v>103</v>
      </c>
      <c r="B123" s="159" t="s">
        <v>103</v>
      </c>
      <c r="C123" s="160">
        <v>4489</v>
      </c>
      <c r="D123" s="160">
        <v>5228</v>
      </c>
      <c r="E123" s="160">
        <v>1197</v>
      </c>
      <c r="F123" s="160">
        <v>2810</v>
      </c>
      <c r="G123" s="160">
        <v>5196</v>
      </c>
      <c r="H123" s="160">
        <v>5576</v>
      </c>
      <c r="I123" s="160">
        <v>5053</v>
      </c>
      <c r="J123" s="175">
        <f>IFERROR(I123/H123-1,"-")</f>
        <v>-9.379483500717356E-2</v>
      </c>
      <c r="K123" s="159">
        <f t="shared" si="37"/>
        <v>-523</v>
      </c>
      <c r="L123" s="161">
        <f t="shared" si="36"/>
        <v>9.726098589109387E-3</v>
      </c>
    </row>
    <row r="124" spans="1:12" x14ac:dyDescent="0.25">
      <c r="A124" s="158" t="s">
        <v>100</v>
      </c>
      <c r="B124" s="159" t="s">
        <v>100</v>
      </c>
      <c r="C124" s="160">
        <v>5039</v>
      </c>
      <c r="D124" s="160">
        <v>5011</v>
      </c>
      <c r="E124" s="160">
        <v>1447</v>
      </c>
      <c r="F124" s="160">
        <v>4158</v>
      </c>
      <c r="G124" s="160">
        <v>5703</v>
      </c>
      <c r="H124" s="160">
        <v>6832</v>
      </c>
      <c r="I124" s="160">
        <v>7311</v>
      </c>
      <c r="J124" s="175">
        <f>IFERROR(I124/H124-1,"-")</f>
        <v>7.0111241217798659E-2</v>
      </c>
      <c r="K124" s="159">
        <f t="shared" si="37"/>
        <v>479</v>
      </c>
      <c r="L124" s="161">
        <f t="shared" si="36"/>
        <v>1.4072334610128386E-2</v>
      </c>
    </row>
    <row r="125" spans="1:12" x14ac:dyDescent="0.25">
      <c r="A125" s="1"/>
      <c r="B125" s="155" t="s">
        <v>107</v>
      </c>
      <c r="C125" s="156">
        <v>12521</v>
      </c>
      <c r="D125" s="156">
        <v>11755</v>
      </c>
      <c r="E125" s="156">
        <v>2278</v>
      </c>
      <c r="F125" s="156">
        <v>8453</v>
      </c>
      <c r="G125" s="156">
        <v>14203</v>
      </c>
      <c r="H125" s="156">
        <v>13154</v>
      </c>
      <c r="I125" s="156">
        <v>13758</v>
      </c>
      <c r="J125" s="174">
        <f>IFERROR(I125/H125-1,"-")</f>
        <v>4.5917591607115726E-2</v>
      </c>
      <c r="K125" s="155">
        <f t="shared" si="37"/>
        <v>604</v>
      </c>
      <c r="L125" s="157">
        <f t="shared" si="36"/>
        <v>2.6481627624968723E-2</v>
      </c>
    </row>
    <row r="126" spans="1:12" s="56" customFormat="1" x14ac:dyDescent="0.25">
      <c r="B126" s="159" t="s">
        <v>110</v>
      </c>
      <c r="C126" s="160">
        <v>1454</v>
      </c>
      <c r="D126" s="160">
        <v>1415</v>
      </c>
      <c r="E126" s="160">
        <v>62</v>
      </c>
      <c r="F126" s="160">
        <v>888</v>
      </c>
      <c r="G126" s="160">
        <v>1807</v>
      </c>
      <c r="H126" s="160">
        <v>1694</v>
      </c>
      <c r="I126" s="160">
        <v>1732</v>
      </c>
      <c r="J126" s="175">
        <f t="shared" ref="J126:J133" si="38">IFERROR(I126/H126-1,"-")</f>
        <v>2.2432113341204207E-2</v>
      </c>
      <c r="K126" s="159">
        <f t="shared" si="37"/>
        <v>38</v>
      </c>
      <c r="L126" s="161">
        <f t="shared" si="36"/>
        <v>3.3337824572209499E-3</v>
      </c>
    </row>
    <row r="127" spans="1:12" s="56" customFormat="1" x14ac:dyDescent="0.25">
      <c r="B127" s="159" t="s">
        <v>113</v>
      </c>
      <c r="C127" s="160">
        <v>1747</v>
      </c>
      <c r="D127" s="160">
        <v>1459</v>
      </c>
      <c r="E127" s="160">
        <v>253</v>
      </c>
      <c r="F127" s="160">
        <v>1147</v>
      </c>
      <c r="G127" s="160">
        <v>2380</v>
      </c>
      <c r="H127" s="160">
        <v>2202</v>
      </c>
      <c r="I127" s="160">
        <v>2567</v>
      </c>
      <c r="J127" s="175">
        <f t="shared" si="38"/>
        <v>0.16575840145322429</v>
      </c>
      <c r="K127" s="159">
        <f t="shared" si="37"/>
        <v>365</v>
      </c>
      <c r="L127" s="161">
        <f t="shared" si="36"/>
        <v>4.941004369333821E-3</v>
      </c>
    </row>
    <row r="128" spans="1:12" x14ac:dyDescent="0.25">
      <c r="A128" s="1"/>
      <c r="B128" s="159" t="s">
        <v>116</v>
      </c>
      <c r="C128" s="160">
        <v>720</v>
      </c>
      <c r="D128" s="160">
        <v>740</v>
      </c>
      <c r="E128" s="160">
        <v>280</v>
      </c>
      <c r="F128" s="160">
        <v>739</v>
      </c>
      <c r="G128" s="160">
        <v>1130</v>
      </c>
      <c r="H128" s="160">
        <v>952</v>
      </c>
      <c r="I128" s="160">
        <v>934</v>
      </c>
      <c r="J128" s="175">
        <f t="shared" si="38"/>
        <v>-1.8907563025210128E-2</v>
      </c>
      <c r="K128" s="159">
        <f t="shared" si="37"/>
        <v>-18</v>
      </c>
      <c r="L128" s="161">
        <f t="shared" si="36"/>
        <v>1.7977787615729602E-3</v>
      </c>
    </row>
    <row r="129" spans="1:12" x14ac:dyDescent="0.25">
      <c r="A129" s="1"/>
      <c r="B129" s="159" t="s">
        <v>123</v>
      </c>
      <c r="C129" s="160">
        <v>274</v>
      </c>
      <c r="D129" s="160">
        <v>249</v>
      </c>
      <c r="E129" s="160">
        <v>41</v>
      </c>
      <c r="F129" s="160">
        <v>301</v>
      </c>
      <c r="G129" s="160">
        <v>330</v>
      </c>
      <c r="H129" s="160">
        <v>309</v>
      </c>
      <c r="I129" s="160">
        <v>418</v>
      </c>
      <c r="J129" s="175">
        <f t="shared" si="38"/>
        <v>0.35275080906148859</v>
      </c>
      <c r="K129" s="159">
        <f t="shared" si="37"/>
        <v>109</v>
      </c>
      <c r="L129" s="161">
        <f t="shared" si="36"/>
        <v>8.0457336438704218E-4</v>
      </c>
    </row>
    <row r="130" spans="1:12" x14ac:dyDescent="0.25">
      <c r="A130" s="1"/>
      <c r="B130" s="159" t="s">
        <v>119</v>
      </c>
      <c r="C130" s="160">
        <v>158</v>
      </c>
      <c r="D130" s="160">
        <v>229</v>
      </c>
      <c r="E130" s="160">
        <v>48</v>
      </c>
      <c r="F130" s="160">
        <v>190</v>
      </c>
      <c r="G130" s="160">
        <v>257</v>
      </c>
      <c r="H130" s="160">
        <v>300</v>
      </c>
      <c r="I130" s="160">
        <v>355</v>
      </c>
      <c r="J130" s="175">
        <f t="shared" si="38"/>
        <v>0.18333333333333335</v>
      </c>
      <c r="K130" s="159">
        <f t="shared" si="37"/>
        <v>55</v>
      </c>
      <c r="L130" s="161">
        <f t="shared" si="36"/>
        <v>6.8330991473062187E-4</v>
      </c>
    </row>
    <row r="131" spans="1:12" x14ac:dyDescent="0.25">
      <c r="A131" s="1"/>
      <c r="B131" s="159" t="s">
        <v>128</v>
      </c>
      <c r="C131" s="160">
        <v>309</v>
      </c>
      <c r="D131" s="160">
        <v>324</v>
      </c>
      <c r="E131" s="160">
        <v>2</v>
      </c>
      <c r="F131" s="160">
        <v>194</v>
      </c>
      <c r="G131" s="160">
        <v>205</v>
      </c>
      <c r="H131" s="160">
        <v>296</v>
      </c>
      <c r="I131" s="160">
        <v>223</v>
      </c>
      <c r="J131" s="175">
        <f t="shared" si="38"/>
        <v>-0.2466216216216216</v>
      </c>
      <c r="K131" s="159">
        <f t="shared" si="37"/>
        <v>-73</v>
      </c>
      <c r="L131" s="161">
        <f t="shared" si="36"/>
        <v>4.2923411545050334E-4</v>
      </c>
    </row>
    <row r="132" spans="1:12" x14ac:dyDescent="0.25">
      <c r="A132" s="158" t="s">
        <v>144</v>
      </c>
      <c r="B132" s="159" t="s">
        <v>131</v>
      </c>
      <c r="C132" s="160">
        <v>453</v>
      </c>
      <c r="D132" s="160">
        <v>415</v>
      </c>
      <c r="E132" s="160">
        <v>24</v>
      </c>
      <c r="F132" s="160">
        <v>296</v>
      </c>
      <c r="G132" s="160">
        <v>485</v>
      </c>
      <c r="H132" s="160">
        <v>417</v>
      </c>
      <c r="I132" s="160">
        <v>459</v>
      </c>
      <c r="J132" s="175">
        <f t="shared" si="38"/>
        <v>0.10071942446043169</v>
      </c>
      <c r="K132" s="159">
        <f t="shared" si="37"/>
        <v>42</v>
      </c>
      <c r="L132" s="161">
        <f t="shared" si="36"/>
        <v>8.834908474967759E-4</v>
      </c>
    </row>
    <row r="133" spans="1:12" x14ac:dyDescent="0.25">
      <c r="A133" s="163" t="s">
        <v>145</v>
      </c>
      <c r="B133" s="164" t="s">
        <v>145</v>
      </c>
      <c r="C133" s="165">
        <f t="shared" ref="C133:I133" si="39">C125-SUM(C126:C132)</f>
        <v>7406</v>
      </c>
      <c r="D133" s="165">
        <f t="shared" si="39"/>
        <v>6924</v>
      </c>
      <c r="E133" s="165">
        <f t="shared" si="39"/>
        <v>1568</v>
      </c>
      <c r="F133" s="165">
        <f t="shared" si="39"/>
        <v>4698</v>
      </c>
      <c r="G133" s="165">
        <f t="shared" si="39"/>
        <v>7609</v>
      </c>
      <c r="H133" s="165">
        <f t="shared" si="39"/>
        <v>6984</v>
      </c>
      <c r="I133" s="165">
        <f t="shared" si="39"/>
        <v>7070</v>
      </c>
      <c r="J133" s="176">
        <f t="shared" si="38"/>
        <v>1.2313860252004538E-2</v>
      </c>
      <c r="K133" s="164">
        <f>I133-H133</f>
        <v>86</v>
      </c>
      <c r="L133" s="166">
        <f t="shared" si="36"/>
        <v>1.3608453794776048E-2</v>
      </c>
    </row>
    <row r="134" spans="1:12" x14ac:dyDescent="0.25">
      <c r="A134" s="1"/>
      <c r="B134" s="151" t="s">
        <v>52</v>
      </c>
      <c r="C134" s="149"/>
      <c r="D134" s="149"/>
      <c r="E134" s="149"/>
      <c r="F134" s="149"/>
      <c r="G134" s="149"/>
      <c r="H134" s="149"/>
      <c r="I134" s="149"/>
      <c r="J134" s="150"/>
      <c r="K134" s="150"/>
      <c r="L134" s="149"/>
    </row>
    <row r="135" spans="1:12" x14ac:dyDescent="0.25">
      <c r="A135" s="1"/>
      <c r="B135" s="152" t="s">
        <v>68</v>
      </c>
      <c r="C135" s="172">
        <v>23685</v>
      </c>
      <c r="D135" s="172">
        <v>25133</v>
      </c>
      <c r="E135" s="172">
        <v>7206</v>
      </c>
      <c r="F135" s="172">
        <v>20125</v>
      </c>
      <c r="G135" s="172">
        <v>27531</v>
      </c>
      <c r="H135" s="172">
        <v>27956</v>
      </c>
      <c r="I135" s="172">
        <v>27900</v>
      </c>
      <c r="J135" s="173">
        <f>IFERROR(I135/H135-1,"-")</f>
        <v>-2.0031478036914852E-3</v>
      </c>
      <c r="K135" s="172">
        <f>I135-H135</f>
        <v>-56</v>
      </c>
      <c r="L135" s="173">
        <f t="shared" ref="L135:L147" si="40">I135/I$9</f>
        <v>5.3702384847843246E-2</v>
      </c>
    </row>
    <row r="136" spans="1:12" x14ac:dyDescent="0.25">
      <c r="A136" s="1" t="s">
        <v>96</v>
      </c>
      <c r="B136" s="155" t="s">
        <v>97</v>
      </c>
      <c r="C136" s="156">
        <v>1832</v>
      </c>
      <c r="D136" s="156">
        <v>989</v>
      </c>
      <c r="E136" s="156">
        <v>3526</v>
      </c>
      <c r="F136" s="156">
        <v>1079</v>
      </c>
      <c r="G136" s="156">
        <v>1985</v>
      </c>
      <c r="H136" s="156">
        <v>1286</v>
      </c>
      <c r="I136" s="156">
        <v>1133</v>
      </c>
      <c r="J136" s="174">
        <f>IFERROR(I136/H136-1,"-")</f>
        <v>-0.11897356143079318</v>
      </c>
      <c r="K136" s="155">
        <f t="shared" ref="K136:K146" si="41">I136-H136</f>
        <v>-153</v>
      </c>
      <c r="L136" s="157">
        <f t="shared" si="40"/>
        <v>2.1808172771543509E-3</v>
      </c>
    </row>
    <row r="137" spans="1:12" x14ac:dyDescent="0.25">
      <c r="A137" s="158" t="s">
        <v>103</v>
      </c>
      <c r="B137" s="159" t="s">
        <v>103</v>
      </c>
      <c r="C137" s="160">
        <v>782</v>
      </c>
      <c r="D137" s="160">
        <v>547</v>
      </c>
      <c r="E137" s="160">
        <v>2995</v>
      </c>
      <c r="F137" s="160">
        <v>304</v>
      </c>
      <c r="G137" s="160">
        <v>1119</v>
      </c>
      <c r="H137" s="160">
        <v>616</v>
      </c>
      <c r="I137" s="160">
        <v>274</v>
      </c>
      <c r="J137" s="175">
        <f>IFERROR(I137/H137-1,"-")</f>
        <v>-0.55519480519480524</v>
      </c>
      <c r="K137" s="159">
        <f t="shared" si="41"/>
        <v>-342</v>
      </c>
      <c r="L137" s="161">
        <f t="shared" si="40"/>
        <v>5.2739976517236732E-4</v>
      </c>
    </row>
    <row r="138" spans="1:12" x14ac:dyDescent="0.25">
      <c r="A138" s="158" t="s">
        <v>100</v>
      </c>
      <c r="B138" s="159" t="s">
        <v>100</v>
      </c>
      <c r="C138" s="160">
        <v>1050</v>
      </c>
      <c r="D138" s="160">
        <v>442</v>
      </c>
      <c r="E138" s="160">
        <v>531</v>
      </c>
      <c r="F138" s="160">
        <v>775</v>
      </c>
      <c r="G138" s="160">
        <v>866</v>
      </c>
      <c r="H138" s="160">
        <v>670</v>
      </c>
      <c r="I138" s="160">
        <v>859</v>
      </c>
      <c r="J138" s="175">
        <f>IFERROR(I138/H138-1,"-")</f>
        <v>0.28208955223880605</v>
      </c>
      <c r="K138" s="159">
        <f t="shared" si="41"/>
        <v>189</v>
      </c>
      <c r="L138" s="161">
        <f t="shared" si="40"/>
        <v>1.6534175119819836E-3</v>
      </c>
    </row>
    <row r="139" spans="1:12" x14ac:dyDescent="0.25">
      <c r="A139" s="1"/>
      <c r="B139" s="155" t="s">
        <v>107</v>
      </c>
      <c r="C139" s="156">
        <v>21853</v>
      </c>
      <c r="D139" s="156">
        <v>24144</v>
      </c>
      <c r="E139" s="156">
        <v>3680</v>
      </c>
      <c r="F139" s="156">
        <v>19046</v>
      </c>
      <c r="G139" s="156">
        <v>25546</v>
      </c>
      <c r="H139" s="156">
        <v>26670</v>
      </c>
      <c r="I139" s="156">
        <v>26767</v>
      </c>
      <c r="J139" s="174">
        <f>IFERROR(I139/H139-1,"-")</f>
        <v>3.6370453693288507E-3</v>
      </c>
      <c r="K139" s="155">
        <f t="shared" si="41"/>
        <v>97</v>
      </c>
      <c r="L139" s="157">
        <f t="shared" si="40"/>
        <v>5.1521567570688889E-2</v>
      </c>
    </row>
    <row r="140" spans="1:12" s="56" customFormat="1" x14ac:dyDescent="0.25">
      <c r="B140" s="159" t="s">
        <v>110</v>
      </c>
      <c r="C140" s="160">
        <v>9815</v>
      </c>
      <c r="D140" s="160">
        <v>10794</v>
      </c>
      <c r="E140" s="160">
        <v>220</v>
      </c>
      <c r="F140" s="160">
        <v>6035</v>
      </c>
      <c r="G140" s="160">
        <v>9672</v>
      </c>
      <c r="H140" s="160">
        <v>10545</v>
      </c>
      <c r="I140" s="160">
        <v>11194</v>
      </c>
      <c r="J140" s="175">
        <f t="shared" ref="J140:J147" si="42">IFERROR(I140/H140-1,"-")</f>
        <v>6.1545756282598285E-2</v>
      </c>
      <c r="K140" s="159">
        <f t="shared" si="41"/>
        <v>649</v>
      </c>
      <c r="L140" s="161">
        <f t="shared" si="40"/>
        <v>2.1546397705618541E-2</v>
      </c>
    </row>
    <row r="141" spans="1:12" s="56" customFormat="1" x14ac:dyDescent="0.25">
      <c r="B141" s="159" t="s">
        <v>113</v>
      </c>
      <c r="C141" s="160">
        <v>1332</v>
      </c>
      <c r="D141" s="160">
        <v>1712</v>
      </c>
      <c r="E141" s="160">
        <v>323</v>
      </c>
      <c r="F141" s="160">
        <v>1451</v>
      </c>
      <c r="G141" s="160">
        <v>2061</v>
      </c>
      <c r="H141" s="160">
        <v>2099</v>
      </c>
      <c r="I141" s="160">
        <v>2221</v>
      </c>
      <c r="J141" s="175">
        <f t="shared" si="42"/>
        <v>5.8122915674130526E-2</v>
      </c>
      <c r="K141" s="159">
        <f t="shared" si="41"/>
        <v>122</v>
      </c>
      <c r="L141" s="161">
        <f t="shared" si="40"/>
        <v>4.2750178045541159E-3</v>
      </c>
    </row>
    <row r="142" spans="1:12" x14ac:dyDescent="0.25">
      <c r="A142" s="1"/>
      <c r="B142" s="159" t="s">
        <v>116</v>
      </c>
      <c r="C142" s="160">
        <v>1541</v>
      </c>
      <c r="D142" s="160">
        <v>1593</v>
      </c>
      <c r="E142" s="160">
        <v>1209</v>
      </c>
      <c r="F142" s="160">
        <v>1664</v>
      </c>
      <c r="G142" s="160">
        <v>1864</v>
      </c>
      <c r="H142" s="160">
        <v>2004</v>
      </c>
      <c r="I142" s="160">
        <v>1880</v>
      </c>
      <c r="J142" s="175">
        <f t="shared" si="42"/>
        <v>-6.187624750498999E-2</v>
      </c>
      <c r="K142" s="159">
        <f t="shared" si="41"/>
        <v>-124</v>
      </c>
      <c r="L142" s="161">
        <f t="shared" si="40"/>
        <v>3.6186553230804766E-3</v>
      </c>
    </row>
    <row r="143" spans="1:12" x14ac:dyDescent="0.25">
      <c r="A143" s="1"/>
      <c r="B143" s="159" t="s">
        <v>123</v>
      </c>
      <c r="C143" s="160">
        <v>358</v>
      </c>
      <c r="D143" s="160">
        <v>377</v>
      </c>
      <c r="E143" s="160">
        <v>58</v>
      </c>
      <c r="F143" s="160">
        <v>1123</v>
      </c>
      <c r="G143" s="160">
        <v>840</v>
      </c>
      <c r="H143" s="160">
        <v>702</v>
      </c>
      <c r="I143" s="160">
        <v>606</v>
      </c>
      <c r="J143" s="175">
        <f t="shared" si="42"/>
        <v>-0.13675213675213671</v>
      </c>
      <c r="K143" s="159">
        <f t="shared" si="41"/>
        <v>-96</v>
      </c>
      <c r="L143" s="161">
        <f t="shared" si="40"/>
        <v>1.1664388966950898E-3</v>
      </c>
    </row>
    <row r="144" spans="1:12" x14ac:dyDescent="0.25">
      <c r="A144" s="1"/>
      <c r="B144" s="159" t="s">
        <v>119</v>
      </c>
      <c r="C144" s="160">
        <v>407</v>
      </c>
      <c r="D144" s="160">
        <v>403</v>
      </c>
      <c r="E144" s="160">
        <v>188</v>
      </c>
      <c r="F144" s="160">
        <v>656</v>
      </c>
      <c r="G144" s="160">
        <v>468</v>
      </c>
      <c r="H144" s="160">
        <v>494</v>
      </c>
      <c r="I144" s="160">
        <v>433</v>
      </c>
      <c r="J144" s="175">
        <f t="shared" si="42"/>
        <v>-0.12348178137651822</v>
      </c>
      <c r="K144" s="159">
        <f t="shared" si="41"/>
        <v>-61</v>
      </c>
      <c r="L144" s="161">
        <f t="shared" si="40"/>
        <v>8.3344561430523747E-4</v>
      </c>
    </row>
    <row r="145" spans="1:12" x14ac:dyDescent="0.25">
      <c r="A145" s="1"/>
      <c r="B145" s="159" t="s">
        <v>128</v>
      </c>
      <c r="C145" s="160">
        <v>486</v>
      </c>
      <c r="D145" s="160">
        <v>699</v>
      </c>
      <c r="E145" s="160">
        <v>18</v>
      </c>
      <c r="F145" s="160">
        <v>674</v>
      </c>
      <c r="G145" s="160">
        <v>960</v>
      </c>
      <c r="H145" s="160">
        <v>734</v>
      </c>
      <c r="I145" s="160">
        <v>755</v>
      </c>
      <c r="J145" s="175">
        <f t="shared" si="42"/>
        <v>2.8610354223433276E-2</v>
      </c>
      <c r="K145" s="159">
        <f t="shared" si="41"/>
        <v>21</v>
      </c>
      <c r="L145" s="161">
        <f t="shared" si="40"/>
        <v>1.4532365792158297E-3</v>
      </c>
    </row>
    <row r="146" spans="1:12" x14ac:dyDescent="0.25">
      <c r="A146" s="158" t="s">
        <v>144</v>
      </c>
      <c r="B146" s="159" t="s">
        <v>131</v>
      </c>
      <c r="C146" s="160">
        <v>1888</v>
      </c>
      <c r="D146" s="160">
        <v>1550</v>
      </c>
      <c r="E146" s="160">
        <v>20</v>
      </c>
      <c r="F146" s="160">
        <v>285</v>
      </c>
      <c r="G146" s="160">
        <v>615</v>
      </c>
      <c r="H146" s="160">
        <v>557</v>
      </c>
      <c r="I146" s="160">
        <v>441</v>
      </c>
      <c r="J146" s="175">
        <f t="shared" si="42"/>
        <v>-0.20825852782764809</v>
      </c>
      <c r="K146" s="159">
        <f t="shared" si="41"/>
        <v>-116</v>
      </c>
      <c r="L146" s="161">
        <f t="shared" si="40"/>
        <v>8.4884414759494155E-4</v>
      </c>
    </row>
    <row r="147" spans="1:12" x14ac:dyDescent="0.25">
      <c r="A147" s="163" t="s">
        <v>145</v>
      </c>
      <c r="B147" s="164" t="s">
        <v>145</v>
      </c>
      <c r="C147" s="165">
        <f t="shared" ref="C147:I147" si="43">C139-SUM(C140:C146)</f>
        <v>6026</v>
      </c>
      <c r="D147" s="165">
        <f t="shared" si="43"/>
        <v>7016</v>
      </c>
      <c r="E147" s="165">
        <f t="shared" si="43"/>
        <v>1644</v>
      </c>
      <c r="F147" s="165">
        <f t="shared" si="43"/>
        <v>7158</v>
      </c>
      <c r="G147" s="165">
        <f t="shared" si="43"/>
        <v>9066</v>
      </c>
      <c r="H147" s="165">
        <f t="shared" si="43"/>
        <v>9535</v>
      </c>
      <c r="I147" s="165">
        <f t="shared" si="43"/>
        <v>9237</v>
      </c>
      <c r="J147" s="176">
        <f t="shared" si="42"/>
        <v>-3.1253277399056145E-2</v>
      </c>
      <c r="K147" s="164">
        <f>I147-H147</f>
        <v>-298</v>
      </c>
      <c r="L147" s="166">
        <f t="shared" si="40"/>
        <v>1.7779531499624662E-2</v>
      </c>
    </row>
    <row r="148" spans="1:12" x14ac:dyDescent="0.25">
      <c r="A148" s="1"/>
      <c r="B148" s="151" t="s">
        <v>53</v>
      </c>
      <c r="C148" s="149"/>
      <c r="D148" s="149"/>
      <c r="E148" s="149"/>
      <c r="F148" s="149"/>
      <c r="G148" s="149"/>
      <c r="H148" s="149"/>
      <c r="I148" s="149"/>
      <c r="J148" s="150"/>
      <c r="K148" s="150"/>
      <c r="L148" s="149"/>
    </row>
    <row r="149" spans="1:12" x14ac:dyDescent="0.25">
      <c r="A149" s="1"/>
      <c r="B149" s="152" t="s">
        <v>68</v>
      </c>
      <c r="C149" s="172">
        <v>12872</v>
      </c>
      <c r="D149" s="172">
        <v>10953</v>
      </c>
      <c r="E149" s="172">
        <v>2436</v>
      </c>
      <c r="F149" s="172">
        <v>8965</v>
      </c>
      <c r="G149" s="172">
        <v>12104</v>
      </c>
      <c r="H149" s="172">
        <v>12756</v>
      </c>
      <c r="I149" s="172">
        <v>11758</v>
      </c>
      <c r="J149" s="173">
        <f>IFERROR(I149/H149-1,"-")</f>
        <v>-7.823769206647857E-2</v>
      </c>
      <c r="K149" s="172">
        <f>I149-H149</f>
        <v>-998</v>
      </c>
      <c r="L149" s="173">
        <f t="shared" ref="L149:L161" si="44">I149/I$9</f>
        <v>2.2631994302542684E-2</v>
      </c>
    </row>
    <row r="150" spans="1:12" x14ac:dyDescent="0.25">
      <c r="A150" s="1" t="s">
        <v>96</v>
      </c>
      <c r="B150" s="155" t="s">
        <v>97</v>
      </c>
      <c r="C150" s="156">
        <v>4104</v>
      </c>
      <c r="D150" s="156">
        <v>2804</v>
      </c>
      <c r="E150" s="156">
        <v>1575</v>
      </c>
      <c r="F150" s="156">
        <v>3499</v>
      </c>
      <c r="G150" s="156">
        <v>4560</v>
      </c>
      <c r="H150" s="156">
        <v>4385</v>
      </c>
      <c r="I150" s="156">
        <v>3588</v>
      </c>
      <c r="J150" s="174">
        <f>IFERROR(I150/H150-1,"-")</f>
        <v>-0.18175598631698975</v>
      </c>
      <c r="K150" s="155">
        <f t="shared" ref="K150:K160" si="45">I150-H150</f>
        <v>-797</v>
      </c>
      <c r="L150" s="157">
        <f t="shared" si="44"/>
        <v>6.906242180432314E-3</v>
      </c>
    </row>
    <row r="151" spans="1:12" x14ac:dyDescent="0.25">
      <c r="A151" s="158" t="s">
        <v>103</v>
      </c>
      <c r="B151" s="159" t="s">
        <v>103</v>
      </c>
      <c r="C151" s="160">
        <v>2263</v>
      </c>
      <c r="D151" s="160">
        <v>670</v>
      </c>
      <c r="E151" s="160">
        <v>1307</v>
      </c>
      <c r="F151" s="160">
        <v>2617</v>
      </c>
      <c r="G151" s="160">
        <v>3150</v>
      </c>
      <c r="H151" s="160">
        <v>3357</v>
      </c>
      <c r="I151" s="160">
        <v>2449</v>
      </c>
      <c r="J151" s="175">
        <f>IFERROR(I151/H151-1,"-")</f>
        <v>-0.27047959487637774</v>
      </c>
      <c r="K151" s="159">
        <f t="shared" si="45"/>
        <v>-908</v>
      </c>
      <c r="L151" s="161">
        <f t="shared" si="44"/>
        <v>4.7138760033106847E-3</v>
      </c>
    </row>
    <row r="152" spans="1:12" x14ac:dyDescent="0.25">
      <c r="A152" s="158" t="s">
        <v>100</v>
      </c>
      <c r="B152" s="159" t="s">
        <v>100</v>
      </c>
      <c r="C152" s="160">
        <v>1841</v>
      </c>
      <c r="D152" s="160">
        <v>2134</v>
      </c>
      <c r="E152" s="160">
        <v>268</v>
      </c>
      <c r="F152" s="160">
        <v>882</v>
      </c>
      <c r="G152" s="160">
        <v>1410</v>
      </c>
      <c r="H152" s="160">
        <v>1028</v>
      </c>
      <c r="I152" s="160">
        <v>1139</v>
      </c>
      <c r="J152" s="175">
        <f>IFERROR(I152/H152-1,"-")</f>
        <v>0.10797665369649811</v>
      </c>
      <c r="K152" s="159">
        <f t="shared" si="45"/>
        <v>111</v>
      </c>
      <c r="L152" s="161">
        <f t="shared" si="44"/>
        <v>2.1923661771216293E-3</v>
      </c>
    </row>
    <row r="153" spans="1:12" x14ac:dyDescent="0.25">
      <c r="A153" s="1"/>
      <c r="B153" s="155" t="s">
        <v>107</v>
      </c>
      <c r="C153" s="156">
        <v>8768</v>
      </c>
      <c r="D153" s="156">
        <v>8149</v>
      </c>
      <c r="E153" s="156">
        <v>861</v>
      </c>
      <c r="F153" s="156">
        <v>5466</v>
      </c>
      <c r="G153" s="156">
        <v>7544</v>
      </c>
      <c r="H153" s="156">
        <v>8371</v>
      </c>
      <c r="I153" s="156">
        <v>8170</v>
      </c>
      <c r="J153" s="174">
        <f>IFERROR(I153/H153-1,"-")</f>
        <v>-2.4011468163899208E-2</v>
      </c>
      <c r="K153" s="155">
        <f t="shared" si="45"/>
        <v>-201</v>
      </c>
      <c r="L153" s="157">
        <f t="shared" si="44"/>
        <v>1.572575212211037E-2</v>
      </c>
    </row>
    <row r="154" spans="1:12" s="56" customFormat="1" x14ac:dyDescent="0.25">
      <c r="B154" s="159" t="s">
        <v>110</v>
      </c>
      <c r="C154" s="160">
        <v>2615</v>
      </c>
      <c r="D154" s="160">
        <v>2413</v>
      </c>
      <c r="E154" s="160">
        <v>35</v>
      </c>
      <c r="F154" s="160">
        <v>1618</v>
      </c>
      <c r="G154" s="160">
        <v>2308</v>
      </c>
      <c r="H154" s="160">
        <v>2460</v>
      </c>
      <c r="I154" s="160">
        <v>1370</v>
      </c>
      <c r="J154" s="175">
        <f t="shared" ref="J154:J161" si="46">IFERROR(I154/H154-1,"-")</f>
        <v>-0.44308943089430897</v>
      </c>
      <c r="K154" s="159">
        <f t="shared" si="45"/>
        <v>-1090</v>
      </c>
      <c r="L154" s="161">
        <f t="shared" si="44"/>
        <v>2.6369988258618366E-3</v>
      </c>
    </row>
    <row r="155" spans="1:12" s="56" customFormat="1" x14ac:dyDescent="0.25">
      <c r="B155" s="159" t="s">
        <v>113</v>
      </c>
      <c r="C155" s="160">
        <v>2422</v>
      </c>
      <c r="D155" s="160">
        <v>2285</v>
      </c>
      <c r="E155" s="160">
        <v>249</v>
      </c>
      <c r="F155" s="160">
        <v>1405</v>
      </c>
      <c r="G155" s="160">
        <v>1734</v>
      </c>
      <c r="H155" s="160">
        <v>1727</v>
      </c>
      <c r="I155" s="160">
        <v>1721</v>
      </c>
      <c r="J155" s="175">
        <f t="shared" si="46"/>
        <v>-3.4742327735958201E-3</v>
      </c>
      <c r="K155" s="159">
        <f t="shared" si="45"/>
        <v>-6</v>
      </c>
      <c r="L155" s="161">
        <f t="shared" si="44"/>
        <v>3.3126094739476066E-3</v>
      </c>
    </row>
    <row r="156" spans="1:12" x14ac:dyDescent="0.25">
      <c r="A156" s="1"/>
      <c r="B156" s="159" t="s">
        <v>116</v>
      </c>
      <c r="C156" s="160">
        <v>967</v>
      </c>
      <c r="D156" s="160">
        <v>893</v>
      </c>
      <c r="E156" s="160">
        <v>201</v>
      </c>
      <c r="F156" s="160">
        <v>493</v>
      </c>
      <c r="G156" s="160">
        <v>985</v>
      </c>
      <c r="H156" s="160">
        <v>1082</v>
      </c>
      <c r="I156" s="160">
        <v>1673</v>
      </c>
      <c r="J156" s="175">
        <f t="shared" si="46"/>
        <v>0.54621072088724576</v>
      </c>
      <c r="K156" s="159">
        <f t="shared" si="45"/>
        <v>591</v>
      </c>
      <c r="L156" s="161">
        <f t="shared" si="44"/>
        <v>3.2202182742093817E-3</v>
      </c>
    </row>
    <row r="157" spans="1:12" x14ac:dyDescent="0.25">
      <c r="A157" s="1"/>
      <c r="B157" s="159" t="s">
        <v>123</v>
      </c>
      <c r="C157" s="160">
        <v>154</v>
      </c>
      <c r="D157" s="160">
        <v>225</v>
      </c>
      <c r="E157" s="160">
        <v>17</v>
      </c>
      <c r="F157" s="160">
        <v>171</v>
      </c>
      <c r="G157" s="160">
        <v>254</v>
      </c>
      <c r="H157" s="160">
        <v>334</v>
      </c>
      <c r="I157" s="160">
        <v>399</v>
      </c>
      <c r="J157" s="175">
        <f t="shared" si="46"/>
        <v>0.1946107784431137</v>
      </c>
      <c r="K157" s="159">
        <f t="shared" si="45"/>
        <v>65</v>
      </c>
      <c r="L157" s="161">
        <f t="shared" si="44"/>
        <v>7.6800184782399475E-4</v>
      </c>
    </row>
    <row r="158" spans="1:12" x14ac:dyDescent="0.25">
      <c r="A158" s="1"/>
      <c r="B158" s="159" t="s">
        <v>119</v>
      </c>
      <c r="C158" s="160">
        <v>352</v>
      </c>
      <c r="D158" s="160">
        <v>304</v>
      </c>
      <c r="E158" s="160">
        <v>29</v>
      </c>
      <c r="F158" s="160">
        <v>277</v>
      </c>
      <c r="G158" s="160">
        <v>359</v>
      </c>
      <c r="H158" s="160">
        <v>359</v>
      </c>
      <c r="I158" s="160">
        <v>411</v>
      </c>
      <c r="J158" s="175">
        <f t="shared" si="46"/>
        <v>0.14484679665738165</v>
      </c>
      <c r="K158" s="159">
        <f t="shared" si="45"/>
        <v>52</v>
      </c>
      <c r="L158" s="161">
        <f t="shared" si="44"/>
        <v>7.9109964775855098E-4</v>
      </c>
    </row>
    <row r="159" spans="1:12" x14ac:dyDescent="0.25">
      <c r="A159" s="1"/>
      <c r="B159" s="159" t="s">
        <v>128</v>
      </c>
      <c r="C159" s="160">
        <v>109</v>
      </c>
      <c r="D159" s="160">
        <v>218</v>
      </c>
      <c r="E159" s="160">
        <v>6</v>
      </c>
      <c r="F159" s="160">
        <v>117</v>
      </c>
      <c r="G159" s="160">
        <v>125</v>
      </c>
      <c r="H159" s="160">
        <v>148</v>
      </c>
      <c r="I159" s="160">
        <v>103</v>
      </c>
      <c r="J159" s="175">
        <f t="shared" si="46"/>
        <v>-0.30405405405405406</v>
      </c>
      <c r="K159" s="159">
        <f t="shared" si="45"/>
        <v>-45</v>
      </c>
      <c r="L159" s="161">
        <f t="shared" si="44"/>
        <v>1.9825611610494102E-4</v>
      </c>
    </row>
    <row r="160" spans="1:12" x14ac:dyDescent="0.25">
      <c r="A160" s="158" t="s">
        <v>144</v>
      </c>
      <c r="B160" s="159" t="s">
        <v>131</v>
      </c>
      <c r="C160" s="160">
        <v>181</v>
      </c>
      <c r="D160" s="160">
        <v>212</v>
      </c>
      <c r="E160" s="160">
        <v>10</v>
      </c>
      <c r="F160" s="160">
        <v>178</v>
      </c>
      <c r="G160" s="160">
        <v>225</v>
      </c>
      <c r="H160" s="160">
        <v>226</v>
      </c>
      <c r="I160" s="160">
        <v>166</v>
      </c>
      <c r="J160" s="175">
        <f t="shared" si="46"/>
        <v>-0.26548672566371678</v>
      </c>
      <c r="K160" s="159">
        <f t="shared" si="45"/>
        <v>-60</v>
      </c>
      <c r="L160" s="161">
        <f t="shared" si="44"/>
        <v>3.1951956576136125E-4</v>
      </c>
    </row>
    <row r="161" spans="1:12" x14ac:dyDescent="0.25">
      <c r="A161" s="163" t="s">
        <v>145</v>
      </c>
      <c r="B161" s="164" t="s">
        <v>145</v>
      </c>
      <c r="C161" s="165">
        <f t="shared" ref="C161:I161" si="47">C153-SUM(C154:C160)</f>
        <v>1968</v>
      </c>
      <c r="D161" s="165">
        <f t="shared" si="47"/>
        <v>1599</v>
      </c>
      <c r="E161" s="165">
        <f t="shared" si="47"/>
        <v>314</v>
      </c>
      <c r="F161" s="165">
        <f t="shared" si="47"/>
        <v>1207</v>
      </c>
      <c r="G161" s="165">
        <f t="shared" si="47"/>
        <v>1554</v>
      </c>
      <c r="H161" s="165">
        <f t="shared" si="47"/>
        <v>2035</v>
      </c>
      <c r="I161" s="165">
        <f t="shared" si="47"/>
        <v>2327</v>
      </c>
      <c r="J161" s="176">
        <f t="shared" si="46"/>
        <v>0.14348894348894348</v>
      </c>
      <c r="K161" s="164">
        <f>I161-H161</f>
        <v>292</v>
      </c>
      <c r="L161" s="166">
        <f t="shared" si="44"/>
        <v>4.4790483706426965E-3</v>
      </c>
    </row>
    <row r="162" spans="1:12" ht="6" customHeight="1" x14ac:dyDescent="0.25">
      <c r="C162" s="79"/>
      <c r="D162" s="79"/>
      <c r="E162" s="79"/>
      <c r="F162" s="79"/>
      <c r="G162" s="79"/>
      <c r="H162" s="79"/>
      <c r="I162" s="79"/>
      <c r="J162" s="79"/>
    </row>
    <row r="163" spans="1:12" x14ac:dyDescent="0.25">
      <c r="B163" s="105" t="s">
        <v>55</v>
      </c>
      <c r="C163" s="105"/>
      <c r="D163" s="105"/>
      <c r="E163" s="105"/>
      <c r="F163" s="105"/>
      <c r="G163" s="105"/>
      <c r="H163" s="105"/>
      <c r="I163" s="105"/>
      <c r="J163" s="105"/>
      <c r="K163" s="105"/>
      <c r="L163" s="105"/>
    </row>
  </sheetData>
  <mergeCells count="3">
    <mergeCell ref="B4:L4"/>
    <mergeCell ref="O4:X4"/>
    <mergeCell ref="C6:L6"/>
  </mergeCells>
  <pageMargins left="0.25" right="0.25" top="0.75" bottom="0.75" header="0.3" footer="0.3"/>
  <pageSetup paperSize="9" scale="20" orientation="landscape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098275-0387-4205-A251-419A081294FB}">
  <sheetPr codeName="Hoja23">
    <tabColor rgb="FFBB5C0D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7583FE-D6D8-4C38-B0B1-087DD92F2743}">
  <sheetPr codeName="Hoja27">
    <tabColor rgb="FFF29140"/>
  </sheetPr>
  <dimension ref="A4:O270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</cols>
  <sheetData>
    <row r="4" spans="1:15" ht="48.75" customHeight="1" thickBot="1" x14ac:dyDescent="0.3">
      <c r="B4" s="265" t="s">
        <v>269</v>
      </c>
      <c r="C4" s="265"/>
      <c r="D4" s="265"/>
      <c r="E4" s="265"/>
      <c r="F4" s="265"/>
      <c r="G4" s="265"/>
      <c r="H4" s="265"/>
      <c r="I4" s="265"/>
      <c r="J4" s="265"/>
      <c r="K4" s="265"/>
      <c r="L4" s="265"/>
      <c r="M4" s="265"/>
      <c r="N4" s="265"/>
      <c r="O4" s="1" t="s">
        <v>66</v>
      </c>
    </row>
    <row r="5" spans="1:15" ht="10.5" customHeight="1" thickBot="1" x14ac:dyDescent="0.3">
      <c r="B5" s="106"/>
      <c r="C5" s="107"/>
      <c r="D5" s="106"/>
      <c r="E5" s="106"/>
      <c r="F5" s="106"/>
      <c r="G5" s="106"/>
      <c r="H5" s="106"/>
      <c r="I5" s="106"/>
      <c r="J5" s="106"/>
      <c r="K5" s="106"/>
      <c r="L5" s="106"/>
      <c r="M5" s="4"/>
      <c r="N5" s="4"/>
      <c r="O5" s="1" t="s">
        <v>67</v>
      </c>
    </row>
    <row r="6" spans="1:15" ht="22.5" thickTop="1" thickBot="1" x14ac:dyDescent="0.3">
      <c r="B6" s="108" t="s">
        <v>30</v>
      </c>
      <c r="C6" s="290" t="s">
        <v>68</v>
      </c>
      <c r="D6" s="291"/>
      <c r="E6" s="291"/>
      <c r="F6" s="291"/>
      <c r="G6" s="291"/>
      <c r="H6" s="291"/>
      <c r="I6" s="291"/>
      <c r="J6" s="291"/>
      <c r="K6" s="291"/>
      <c r="L6" s="291"/>
      <c r="M6" s="291"/>
      <c r="N6" s="291"/>
    </row>
    <row r="7" spans="1:15" ht="22.5" thickTop="1" thickBot="1" x14ac:dyDescent="0.3">
      <c r="B7" s="109"/>
      <c r="C7" s="292">
        <f t="shared" ref="C7" si="0">E7-1</f>
        <v>2020</v>
      </c>
      <c r="D7" s="293"/>
      <c r="E7" s="294">
        <f t="shared" ref="E7" si="1">G7-1</f>
        <v>2021</v>
      </c>
      <c r="F7" s="293"/>
      <c r="G7" s="294">
        <f t="shared" ref="G7" si="2">I7-1</f>
        <v>2022</v>
      </c>
      <c r="H7" s="293"/>
      <c r="I7" s="294">
        <f t="shared" ref="I7" si="3">K7-1</f>
        <v>2023</v>
      </c>
      <c r="J7" s="293"/>
      <c r="K7" s="294">
        <f>M7-1</f>
        <v>2024</v>
      </c>
      <c r="L7" s="293"/>
      <c r="M7" s="294">
        <v>2025</v>
      </c>
      <c r="N7" s="295"/>
    </row>
    <row r="8" spans="1:15" ht="16.5" thickTop="1" thickBot="1" x14ac:dyDescent="0.3">
      <c r="B8" s="85"/>
      <c r="C8" s="111" t="s">
        <v>69</v>
      </c>
      <c r="D8" s="112" t="str">
        <f>CONCATENATE("var ",RIGHT(C7,2),"/",RIGHT(C7-1,2))</f>
        <v>var 20/19</v>
      </c>
      <c r="E8" s="113" t="s">
        <v>69</v>
      </c>
      <c r="F8" s="112" t="str">
        <f>CONCATENATE("var ",RIGHT(E7,2),"/",RIGHT(C7,2))</f>
        <v>var 21/20</v>
      </c>
      <c r="G8" s="113" t="s">
        <v>69</v>
      </c>
      <c r="H8" s="112" t="str">
        <f>CONCATENATE("var ",RIGHT(G7,2),"/",RIGHT(E7,2))</f>
        <v>var 22/21</v>
      </c>
      <c r="I8" s="113" t="s">
        <v>69</v>
      </c>
      <c r="J8" s="112" t="str">
        <f>CONCATENATE("var ",RIGHT(I7,2),"/",RIGHT(G7,2))</f>
        <v>var 23/22</v>
      </c>
      <c r="K8" s="113" t="s">
        <v>69</v>
      </c>
      <c r="L8" s="112" t="str">
        <f>CONCATENATE("var ",RIGHT(K7,2),"/",RIGHT(I7,2))</f>
        <v>var 24/23</v>
      </c>
      <c r="M8" s="113" t="s">
        <v>69</v>
      </c>
      <c r="N8" s="112" t="str">
        <f>CONCATENATE("var ",RIGHT(M7,2),"/",RIGHT(K7,2))</f>
        <v>var 25/24</v>
      </c>
    </row>
    <row r="9" spans="1:15" x14ac:dyDescent="0.25">
      <c r="A9" s="1" t="s">
        <v>70</v>
      </c>
      <c r="B9" s="114" t="s">
        <v>71</v>
      </c>
      <c r="C9" s="115">
        <v>493497</v>
      </c>
      <c r="D9" s="116">
        <v>1.0158965394424957E-2</v>
      </c>
      <c r="E9" s="115">
        <v>29647</v>
      </c>
      <c r="F9" s="116">
        <f t="shared" ref="F9:F21" si="4">IFERROR(E9/C9-1,"-")</f>
        <v>-0.93992466012964615</v>
      </c>
      <c r="G9" s="115">
        <v>262511</v>
      </c>
      <c r="H9" s="116">
        <f t="shared" ref="H9:H21" si="5">IFERROR(G9/E9-1,"-")</f>
        <v>7.8545552669747369</v>
      </c>
      <c r="I9" s="115">
        <v>459644</v>
      </c>
      <c r="J9" s="116">
        <f>IFERROR(I9/G9-1,"-")</f>
        <v>0.75095138870371136</v>
      </c>
      <c r="K9" s="115">
        <v>482317</v>
      </c>
      <c r="L9" s="116">
        <f t="shared" ref="L9:L21" si="6">IFERROR(K9/I9-1,"-")</f>
        <v>4.9327305479893058E-2</v>
      </c>
      <c r="M9" s="115">
        <v>494946</v>
      </c>
      <c r="N9" s="116">
        <f>IFERROR(M9/K9-1,"-")</f>
        <v>2.6184024199851885E-2</v>
      </c>
    </row>
    <row r="10" spans="1:15" x14ac:dyDescent="0.25">
      <c r="A10" s="1" t="s">
        <v>72</v>
      </c>
      <c r="B10" s="114" t="s">
        <v>73</v>
      </c>
      <c r="C10" s="115">
        <v>430844</v>
      </c>
      <c r="D10" s="116">
        <v>-9.1417348367941464E-3</v>
      </c>
      <c r="E10" s="115">
        <v>25901</v>
      </c>
      <c r="F10" s="116">
        <f t="shared" si="4"/>
        <v>-0.93988311314536122</v>
      </c>
      <c r="G10" s="115">
        <v>300105</v>
      </c>
      <c r="H10" s="116">
        <f t="shared" si="5"/>
        <v>10.586618277286592</v>
      </c>
      <c r="I10" s="115">
        <v>411785</v>
      </c>
      <c r="J10" s="116">
        <f t="shared" ref="J10:J21" si="7">IFERROR(I10/G10-1,"-")</f>
        <v>0.37213641892004468</v>
      </c>
      <c r="K10" s="115">
        <v>476786</v>
      </c>
      <c r="L10" s="116">
        <f t="shared" si="6"/>
        <v>0.15785179159027152</v>
      </c>
      <c r="M10" s="115"/>
      <c r="N10" s="116"/>
    </row>
    <row r="11" spans="1:15" x14ac:dyDescent="0.25">
      <c r="A11" s="1" t="s">
        <v>74</v>
      </c>
      <c r="B11" s="114" t="s">
        <v>75</v>
      </c>
      <c r="C11" s="115">
        <v>217806</v>
      </c>
      <c r="D11" s="116">
        <v>-0.53633437502661008</v>
      </c>
      <c r="E11" s="115">
        <v>35797</v>
      </c>
      <c r="F11" s="116">
        <f t="shared" si="4"/>
        <v>-0.83564731917394375</v>
      </c>
      <c r="G11" s="115">
        <v>366039</v>
      </c>
      <c r="H11" s="116">
        <f t="shared" si="5"/>
        <v>9.225409950554516</v>
      </c>
      <c r="I11" s="115">
        <v>435839</v>
      </c>
      <c r="J11" s="116">
        <f t="shared" si="7"/>
        <v>0.19069006308071001</v>
      </c>
      <c r="K11" s="115">
        <v>499150</v>
      </c>
      <c r="L11" s="116">
        <f t="shared" si="6"/>
        <v>0.14526235605349691</v>
      </c>
      <c r="M11" s="115"/>
      <c r="N11" s="116"/>
    </row>
    <row r="12" spans="1:15" x14ac:dyDescent="0.25">
      <c r="A12" s="1" t="s">
        <v>76</v>
      </c>
      <c r="B12" s="114" t="s">
        <v>77</v>
      </c>
      <c r="C12" s="115">
        <v>0</v>
      </c>
      <c r="D12" s="116">
        <v>-1</v>
      </c>
      <c r="E12" s="115">
        <v>33867</v>
      </c>
      <c r="F12" s="116" t="str">
        <f>IFERROR(E12/C12-1,"-")</f>
        <v>-</v>
      </c>
      <c r="G12" s="115">
        <v>348988</v>
      </c>
      <c r="H12" s="116">
        <f t="shared" si="5"/>
        <v>9.3046623556854762</v>
      </c>
      <c r="I12" s="115">
        <v>379392</v>
      </c>
      <c r="J12" s="116">
        <f t="shared" si="7"/>
        <v>8.7120474056414654E-2</v>
      </c>
      <c r="K12" s="115">
        <v>411482</v>
      </c>
      <c r="L12" s="116">
        <f t="shared" si="6"/>
        <v>8.4582700742240169E-2</v>
      </c>
      <c r="M12" s="115"/>
      <c r="N12" s="116"/>
    </row>
    <row r="13" spans="1:15" x14ac:dyDescent="0.25">
      <c r="A13" s="1" t="s">
        <v>78</v>
      </c>
      <c r="B13" s="114" t="s">
        <v>79</v>
      </c>
      <c r="C13" s="115">
        <v>0</v>
      </c>
      <c r="D13" s="116">
        <v>-1</v>
      </c>
      <c r="E13" s="115">
        <v>65490</v>
      </c>
      <c r="F13" s="116" t="str">
        <f t="shared" si="4"/>
        <v>-</v>
      </c>
      <c r="G13" s="115">
        <v>310799</v>
      </c>
      <c r="H13" s="116">
        <f t="shared" si="5"/>
        <v>3.7457474423576116</v>
      </c>
      <c r="I13" s="115">
        <v>340598</v>
      </c>
      <c r="J13" s="116">
        <f t="shared" si="7"/>
        <v>9.5878686868361873E-2</v>
      </c>
      <c r="K13" s="115">
        <v>405702</v>
      </c>
      <c r="L13" s="116">
        <f t="shared" si="6"/>
        <v>0.19114616057639799</v>
      </c>
      <c r="M13" s="115"/>
      <c r="N13" s="116"/>
    </row>
    <row r="14" spans="1:15" x14ac:dyDescent="0.25">
      <c r="A14" s="1" t="s">
        <v>80</v>
      </c>
      <c r="B14" s="114" t="s">
        <v>81</v>
      </c>
      <c r="C14" s="115">
        <v>0</v>
      </c>
      <c r="D14" s="116">
        <v>-1</v>
      </c>
      <c r="E14" s="115">
        <v>110623</v>
      </c>
      <c r="F14" s="116" t="str">
        <f t="shared" si="4"/>
        <v>-</v>
      </c>
      <c r="G14" s="115">
        <v>364068</v>
      </c>
      <c r="H14" s="116">
        <f t="shared" si="5"/>
        <v>2.2910696690561636</v>
      </c>
      <c r="I14" s="115">
        <v>393768</v>
      </c>
      <c r="J14" s="116">
        <f t="shared" si="7"/>
        <v>8.1578166716107958E-2</v>
      </c>
      <c r="K14" s="115">
        <v>460449</v>
      </c>
      <c r="L14" s="116">
        <f t="shared" si="6"/>
        <v>0.16934083013347956</v>
      </c>
      <c r="M14" s="115"/>
      <c r="N14" s="116"/>
    </row>
    <row r="15" spans="1:15" x14ac:dyDescent="0.25">
      <c r="A15" s="1" t="s">
        <v>82</v>
      </c>
      <c r="B15" s="114" t="s">
        <v>83</v>
      </c>
      <c r="C15" s="115">
        <v>0</v>
      </c>
      <c r="D15" s="116">
        <v>-1</v>
      </c>
      <c r="E15" s="115">
        <v>225677</v>
      </c>
      <c r="F15" s="116" t="str">
        <f t="shared" si="4"/>
        <v>-</v>
      </c>
      <c r="G15" s="115">
        <v>417659</v>
      </c>
      <c r="H15" s="116">
        <f t="shared" si="5"/>
        <v>0.85069369054001953</v>
      </c>
      <c r="I15" s="115">
        <v>454413</v>
      </c>
      <c r="J15" s="116">
        <f t="shared" si="7"/>
        <v>8.8000019154381937E-2</v>
      </c>
      <c r="K15" s="115">
        <v>532065</v>
      </c>
      <c r="L15" s="116">
        <f t="shared" si="6"/>
        <v>0.17088419565461366</v>
      </c>
      <c r="M15" s="115"/>
      <c r="N15" s="116"/>
    </row>
    <row r="16" spans="1:15" x14ac:dyDescent="0.25">
      <c r="A16" s="1" t="s">
        <v>84</v>
      </c>
      <c r="B16" s="114" t="s">
        <v>85</v>
      </c>
      <c r="C16" s="115">
        <v>115808</v>
      </c>
      <c r="D16" s="116">
        <v>-0.7741072194870755</v>
      </c>
      <c r="E16" s="115">
        <v>283986</v>
      </c>
      <c r="F16" s="116">
        <f t="shared" si="4"/>
        <v>1.4522140093948606</v>
      </c>
      <c r="G16" s="115">
        <v>416027</v>
      </c>
      <c r="H16" s="116">
        <f t="shared" si="5"/>
        <v>0.46495601895868099</v>
      </c>
      <c r="I16" s="115">
        <v>480859</v>
      </c>
      <c r="J16" s="116">
        <f t="shared" si="7"/>
        <v>0.15583603948782176</v>
      </c>
      <c r="K16" s="115">
        <v>551869</v>
      </c>
      <c r="L16" s="116">
        <f t="shared" si="6"/>
        <v>0.14767322645515635</v>
      </c>
      <c r="M16" s="115"/>
      <c r="N16" s="116"/>
    </row>
    <row r="17" spans="1:15" x14ac:dyDescent="0.25">
      <c r="A17" s="1" t="s">
        <v>86</v>
      </c>
      <c r="B17" s="114" t="s">
        <v>87</v>
      </c>
      <c r="C17" s="115">
        <v>80706</v>
      </c>
      <c r="D17" s="116">
        <v>-0.82868605391636596</v>
      </c>
      <c r="E17" s="115">
        <v>281990</v>
      </c>
      <c r="F17" s="116">
        <f t="shared" si="4"/>
        <v>2.4940400961514633</v>
      </c>
      <c r="G17" s="115">
        <v>378277</v>
      </c>
      <c r="H17" s="116">
        <f t="shared" si="5"/>
        <v>0.34145537075782828</v>
      </c>
      <c r="I17" s="115">
        <v>441114</v>
      </c>
      <c r="J17" s="116">
        <f t="shared" si="7"/>
        <v>0.16611372089764909</v>
      </c>
      <c r="K17" s="115">
        <v>489204</v>
      </c>
      <c r="L17" s="116">
        <f t="shared" si="6"/>
        <v>0.10901943715230078</v>
      </c>
      <c r="M17" s="115"/>
      <c r="N17" s="116"/>
    </row>
    <row r="18" spans="1:15" x14ac:dyDescent="0.25">
      <c r="A18" s="1" t="s">
        <v>88</v>
      </c>
      <c r="B18" s="114" t="s">
        <v>89</v>
      </c>
      <c r="C18" s="115">
        <v>56100</v>
      </c>
      <c r="D18" s="116">
        <v>-0.86636143395848864</v>
      </c>
      <c r="E18" s="115">
        <v>287185</v>
      </c>
      <c r="F18" s="116">
        <f t="shared" si="4"/>
        <v>4.1191622103386809</v>
      </c>
      <c r="G18" s="115">
        <v>375972</v>
      </c>
      <c r="H18" s="116">
        <f t="shared" si="5"/>
        <v>0.30916308303010265</v>
      </c>
      <c r="I18" s="115">
        <v>428972</v>
      </c>
      <c r="J18" s="116">
        <f t="shared" si="7"/>
        <v>0.14096794442139315</v>
      </c>
      <c r="K18" s="115">
        <v>490987</v>
      </c>
      <c r="L18" s="116">
        <f t="shared" si="6"/>
        <v>0.14456654513581313</v>
      </c>
      <c r="M18" s="115"/>
      <c r="N18" s="116"/>
    </row>
    <row r="19" spans="1:15" x14ac:dyDescent="0.25">
      <c r="A19" s="1" t="s">
        <v>90</v>
      </c>
      <c r="B19" s="114" t="s">
        <v>91</v>
      </c>
      <c r="C19" s="115">
        <v>36828</v>
      </c>
      <c r="D19" s="116">
        <v>-0.92058892022666705</v>
      </c>
      <c r="E19" s="115">
        <v>303117</v>
      </c>
      <c r="F19" s="116">
        <f t="shared" si="4"/>
        <v>7.2306125773867702</v>
      </c>
      <c r="G19" s="115">
        <v>401911</v>
      </c>
      <c r="H19" s="116">
        <f t="shared" si="5"/>
        <v>0.32592695229894719</v>
      </c>
      <c r="I19" s="115">
        <v>456108</v>
      </c>
      <c r="J19" s="116">
        <f t="shared" si="7"/>
        <v>0.13484826242625858</v>
      </c>
      <c r="K19" s="115">
        <v>482914</v>
      </c>
      <c r="L19" s="116">
        <f t="shared" si="6"/>
        <v>5.877116823208528E-2</v>
      </c>
      <c r="M19" s="115"/>
      <c r="N19" s="116"/>
    </row>
    <row r="20" spans="1:15" x14ac:dyDescent="0.25">
      <c r="A20" s="1" t="s">
        <v>92</v>
      </c>
      <c r="B20" s="114" t="s">
        <v>93</v>
      </c>
      <c r="C20" s="115">
        <v>44846</v>
      </c>
      <c r="D20" s="116">
        <v>-0.90272882455139569</v>
      </c>
      <c r="E20" s="115">
        <v>284082</v>
      </c>
      <c r="F20" s="116">
        <f t="shared" si="4"/>
        <v>5.3346117825447088</v>
      </c>
      <c r="G20" s="115">
        <v>410037</v>
      </c>
      <c r="H20" s="116">
        <f t="shared" si="5"/>
        <v>0.4433755042558134</v>
      </c>
      <c r="I20" s="115">
        <v>440835</v>
      </c>
      <c r="J20" s="116">
        <f t="shared" si="7"/>
        <v>7.5110294924604304E-2</v>
      </c>
      <c r="K20" s="115">
        <v>468874</v>
      </c>
      <c r="L20" s="116">
        <f t="shared" si="6"/>
        <v>6.3604296392074211E-2</v>
      </c>
      <c r="M20" s="115"/>
      <c r="N20" s="116"/>
    </row>
    <row r="21" spans="1:15" ht="15.75" x14ac:dyDescent="0.25">
      <c r="A21" s="1" t="s">
        <v>0</v>
      </c>
      <c r="B21" s="117" t="s">
        <v>30</v>
      </c>
      <c r="C21" s="118">
        <v>1546641</v>
      </c>
      <c r="D21" s="119">
        <v>-0.71841117178520508</v>
      </c>
      <c r="E21" s="118">
        <v>1967362</v>
      </c>
      <c r="F21" s="119">
        <f t="shared" si="4"/>
        <v>0.27202240209589679</v>
      </c>
      <c r="G21" s="118">
        <v>4352393</v>
      </c>
      <c r="H21" s="119">
        <f t="shared" si="5"/>
        <v>1.2122990075034488</v>
      </c>
      <c r="I21" s="118">
        <v>5123327</v>
      </c>
      <c r="J21" s="119">
        <f t="shared" si="7"/>
        <v>0.17712876571577985</v>
      </c>
      <c r="K21" s="118">
        <v>5751799</v>
      </c>
      <c r="L21" s="119">
        <f t="shared" si="6"/>
        <v>0.12266872678632468</v>
      </c>
      <c r="M21" s="118">
        <v>494946</v>
      </c>
      <c r="N21" s="119">
        <v>2.6184024199851885E-2</v>
      </c>
    </row>
    <row r="22" spans="1:15" ht="6" customHeight="1" x14ac:dyDescent="0.25"/>
    <row r="23" spans="1:15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</row>
    <row r="24" spans="1:15" x14ac:dyDescent="0.25">
      <c r="C24" s="120"/>
      <c r="K24" s="120"/>
      <c r="N24" s="79"/>
    </row>
    <row r="26" spans="1:15" ht="48.75" customHeight="1" thickBot="1" x14ac:dyDescent="0.3">
      <c r="B26" s="265" t="s">
        <v>270</v>
      </c>
      <c r="C26" s="265"/>
      <c r="D26" s="265"/>
      <c r="E26" s="265"/>
      <c r="F26" s="265"/>
      <c r="G26" s="265"/>
      <c r="H26" s="265"/>
      <c r="I26" s="265"/>
      <c r="J26" s="265"/>
      <c r="K26" s="265"/>
      <c r="L26" s="265"/>
      <c r="M26" s="265"/>
      <c r="N26" s="265"/>
      <c r="O26" s="1" t="s">
        <v>94</v>
      </c>
    </row>
    <row r="27" spans="1:15" ht="10.5" customHeight="1" thickBot="1" x14ac:dyDescent="0.3">
      <c r="B27" s="106"/>
      <c r="C27" s="107"/>
      <c r="D27" s="106"/>
      <c r="E27" s="106"/>
      <c r="F27" s="106"/>
      <c r="G27" s="106"/>
      <c r="H27" s="106"/>
      <c r="I27" s="106"/>
      <c r="J27" s="106"/>
      <c r="K27" s="106"/>
      <c r="L27" s="106"/>
      <c r="M27" s="4"/>
      <c r="N27" s="4"/>
      <c r="O27" s="1" t="s">
        <v>95</v>
      </c>
    </row>
    <row r="28" spans="1:15" ht="22.5" thickTop="1" thickBot="1" x14ac:dyDescent="0.3">
      <c r="B28" s="121" t="s">
        <v>96</v>
      </c>
      <c r="C28" s="290" t="s">
        <v>97</v>
      </c>
      <c r="D28" s="291"/>
      <c r="E28" s="291"/>
      <c r="F28" s="291"/>
      <c r="G28" s="291"/>
      <c r="H28" s="291"/>
      <c r="I28" s="291"/>
      <c r="J28" s="291"/>
      <c r="K28" s="291"/>
      <c r="L28" s="291"/>
      <c r="M28" s="291"/>
      <c r="N28" s="291"/>
    </row>
    <row r="29" spans="1:15" ht="22.5" thickTop="1" thickBot="1" x14ac:dyDescent="0.3">
      <c r="B29" s="109"/>
      <c r="C29" s="292">
        <f>$C$7</f>
        <v>2020</v>
      </c>
      <c r="D29" s="293"/>
      <c r="E29" s="294">
        <f>$E$7</f>
        <v>2021</v>
      </c>
      <c r="F29" s="293"/>
      <c r="G29" s="294">
        <f>$G$7</f>
        <v>2022</v>
      </c>
      <c r="H29" s="293"/>
      <c r="I29" s="294">
        <f>$I$7</f>
        <v>2023</v>
      </c>
      <c r="J29" s="293"/>
      <c r="K29" s="294">
        <f>$K$7</f>
        <v>2024</v>
      </c>
      <c r="L29" s="293"/>
      <c r="M29" s="294">
        <f>$M$7</f>
        <v>2025</v>
      </c>
      <c r="N29" s="295"/>
    </row>
    <row r="30" spans="1:15" ht="16.5" thickTop="1" thickBot="1" x14ac:dyDescent="0.3">
      <c r="B30" s="85"/>
      <c r="C30" s="111" t="s">
        <v>69</v>
      </c>
      <c r="D30" s="112" t="str">
        <f>CONCATENATE("var. ",RIGHT(C29,2),"/",RIGHT(C29-1,2))</f>
        <v>var. 20/19</v>
      </c>
      <c r="E30" s="113" t="s">
        <v>69</v>
      </c>
      <c r="F30" s="112" t="str">
        <f>CONCATENATE("var. ",RIGHT(E29,2),"/",RIGHT(E29-1,2))</f>
        <v>var. 21/20</v>
      </c>
      <c r="G30" s="113" t="s">
        <v>69</v>
      </c>
      <c r="H30" s="112" t="str">
        <f>CONCATENATE("var. ",RIGHT(G29,2),"/",RIGHT(G29-1,2))</f>
        <v>var. 22/21</v>
      </c>
      <c r="I30" s="113" t="s">
        <v>69</v>
      </c>
      <c r="J30" s="112" t="s">
        <v>247</v>
      </c>
      <c r="K30" s="113" t="s">
        <v>69</v>
      </c>
      <c r="L30" s="112" t="s">
        <v>248</v>
      </c>
      <c r="M30" s="113" t="s">
        <v>69</v>
      </c>
      <c r="N30" s="112" t="s">
        <v>271</v>
      </c>
    </row>
    <row r="31" spans="1:15" x14ac:dyDescent="0.25">
      <c r="B31" s="114" t="s">
        <v>71</v>
      </c>
      <c r="C31" s="115">
        <v>109435</v>
      </c>
      <c r="D31" s="116">
        <v>0.23757449647732032</v>
      </c>
      <c r="E31" s="115">
        <v>7417</v>
      </c>
      <c r="F31" s="116">
        <f t="shared" ref="F31:F43" si="8">IFERROR(E31/C31-1,"-")</f>
        <v>-0.93222460821492215</v>
      </c>
      <c r="G31" s="115">
        <v>60652</v>
      </c>
      <c r="H31" s="116">
        <f t="shared" ref="H31:H43" si="9">IFERROR(G31/E31-1,"-")</f>
        <v>7.1774302278549271</v>
      </c>
      <c r="I31" s="115">
        <v>107373</v>
      </c>
      <c r="J31" s="116">
        <f>IFERROR(I31/G31-1,"-")</f>
        <v>0.77031260304689053</v>
      </c>
      <c r="K31" s="115">
        <v>84180</v>
      </c>
      <c r="L31" s="116">
        <f t="shared" ref="L31:L43" si="10">IFERROR(K31/I31-1,"-")</f>
        <v>-0.21600402335782742</v>
      </c>
      <c r="M31" s="115">
        <v>87577</v>
      </c>
      <c r="N31" s="116">
        <f t="shared" ref="N31" si="11">IFERROR(M31/K31-1,"-")</f>
        <v>4.0354003326205756E-2</v>
      </c>
    </row>
    <row r="32" spans="1:15" x14ac:dyDescent="0.25">
      <c r="B32" s="114" t="s">
        <v>73</v>
      </c>
      <c r="C32" s="115">
        <v>98017</v>
      </c>
      <c r="D32" s="116">
        <v>0.15001583930729434</v>
      </c>
      <c r="E32" s="115">
        <v>7375</v>
      </c>
      <c r="F32" s="116">
        <f t="shared" si="8"/>
        <v>-0.9247579501515043</v>
      </c>
      <c r="G32" s="115">
        <v>88163</v>
      </c>
      <c r="H32" s="116">
        <f t="shared" si="9"/>
        <v>10.954305084745762</v>
      </c>
      <c r="I32" s="115">
        <v>93902</v>
      </c>
      <c r="J32" s="116">
        <f t="shared" ref="J32:J43" si="12">IFERROR(I32/G32-1,"-")</f>
        <v>6.5095334777627745E-2</v>
      </c>
      <c r="K32" s="115">
        <v>82338</v>
      </c>
      <c r="L32" s="116">
        <f t="shared" si="10"/>
        <v>-0.12314966667376626</v>
      </c>
      <c r="M32" s="115"/>
      <c r="N32" s="116"/>
    </row>
    <row r="33" spans="2:15" x14ac:dyDescent="0.25">
      <c r="B33" s="114" t="s">
        <v>75</v>
      </c>
      <c r="C33" s="115">
        <v>45193</v>
      </c>
      <c r="D33" s="116">
        <v>-0.60355626513210991</v>
      </c>
      <c r="E33" s="115">
        <v>10153</v>
      </c>
      <c r="F33" s="116">
        <f t="shared" si="8"/>
        <v>-0.77534131392029737</v>
      </c>
      <c r="G33" s="115">
        <v>114307</v>
      </c>
      <c r="H33" s="116">
        <f t="shared" si="9"/>
        <v>10.25844577957254</v>
      </c>
      <c r="I33" s="115">
        <v>120720</v>
      </c>
      <c r="J33" s="116">
        <f t="shared" si="12"/>
        <v>5.6103300760233399E-2</v>
      </c>
      <c r="K33" s="115">
        <v>112876</v>
      </c>
      <c r="L33" s="116">
        <f t="shared" si="10"/>
        <v>-6.4976805831676643E-2</v>
      </c>
      <c r="M33" s="115"/>
      <c r="N33" s="116"/>
    </row>
    <row r="34" spans="2:15" x14ac:dyDescent="0.25">
      <c r="B34" s="114" t="s">
        <v>77</v>
      </c>
      <c r="C34" s="115">
        <v>0</v>
      </c>
      <c r="D34" s="116">
        <v>-1</v>
      </c>
      <c r="E34" s="115">
        <v>12493</v>
      </c>
      <c r="F34" s="116" t="str">
        <f t="shared" si="8"/>
        <v>-</v>
      </c>
      <c r="G34" s="115">
        <v>130266</v>
      </c>
      <c r="H34" s="116">
        <f t="shared" si="9"/>
        <v>9.4271191867445765</v>
      </c>
      <c r="I34" s="115">
        <v>140492</v>
      </c>
      <c r="J34" s="116">
        <f t="shared" si="12"/>
        <v>7.850091351542221E-2</v>
      </c>
      <c r="K34" s="115">
        <v>127831</v>
      </c>
      <c r="L34" s="116">
        <f t="shared" si="10"/>
        <v>-9.0119010335108052E-2</v>
      </c>
      <c r="M34" s="115"/>
      <c r="N34" s="116"/>
    </row>
    <row r="35" spans="2:15" x14ac:dyDescent="0.25">
      <c r="B35" s="114" t="s">
        <v>79</v>
      </c>
      <c r="C35" s="115">
        <v>0</v>
      </c>
      <c r="D35" s="116">
        <v>-1</v>
      </c>
      <c r="E35" s="115">
        <v>30219</v>
      </c>
      <c r="F35" s="116" t="str">
        <f t="shared" si="8"/>
        <v>-</v>
      </c>
      <c r="G35" s="115">
        <v>157891</v>
      </c>
      <c r="H35" s="116">
        <f t="shared" si="9"/>
        <v>4.2248916244746679</v>
      </c>
      <c r="I35" s="115">
        <v>148058</v>
      </c>
      <c r="J35" s="116">
        <f t="shared" si="12"/>
        <v>-6.2277140558993249E-2</v>
      </c>
      <c r="K35" s="115">
        <v>161111</v>
      </c>
      <c r="L35" s="116">
        <f t="shared" si="10"/>
        <v>8.8161396209593512E-2</v>
      </c>
      <c r="M35" s="115"/>
      <c r="N35" s="116"/>
    </row>
    <row r="36" spans="2:15" x14ac:dyDescent="0.25">
      <c r="B36" s="114" t="s">
        <v>81</v>
      </c>
      <c r="C36" s="115">
        <v>0</v>
      </c>
      <c r="D36" s="116">
        <v>-1</v>
      </c>
      <c r="E36" s="115">
        <v>57962</v>
      </c>
      <c r="F36" s="116" t="str">
        <f t="shared" si="8"/>
        <v>-</v>
      </c>
      <c r="G36" s="115">
        <v>189872</v>
      </c>
      <c r="H36" s="116">
        <f t="shared" si="9"/>
        <v>2.2758013871156964</v>
      </c>
      <c r="I36" s="115">
        <v>185864</v>
      </c>
      <c r="J36" s="116">
        <f t="shared" si="12"/>
        <v>-2.1108957613550139E-2</v>
      </c>
      <c r="K36" s="115">
        <v>186304</v>
      </c>
      <c r="L36" s="116">
        <f t="shared" si="10"/>
        <v>2.3673223432187918E-3</v>
      </c>
      <c r="M36" s="115"/>
      <c r="N36" s="116"/>
    </row>
    <row r="37" spans="2:15" x14ac:dyDescent="0.25">
      <c r="B37" s="114" t="s">
        <v>83</v>
      </c>
      <c r="C37" s="115">
        <v>0</v>
      </c>
      <c r="D37" s="116">
        <v>-1</v>
      </c>
      <c r="E37" s="115">
        <v>128184</v>
      </c>
      <c r="F37" s="116" t="str">
        <f t="shared" si="8"/>
        <v>-</v>
      </c>
      <c r="G37" s="115">
        <v>201715</v>
      </c>
      <c r="H37" s="116">
        <f t="shared" si="9"/>
        <v>0.57363633526805224</v>
      </c>
      <c r="I37" s="115">
        <v>201058</v>
      </c>
      <c r="J37" s="116">
        <f t="shared" si="12"/>
        <v>-3.2570706194383625E-3</v>
      </c>
      <c r="K37" s="115">
        <v>207746</v>
      </c>
      <c r="L37" s="116">
        <f t="shared" si="10"/>
        <v>3.3264033264033266E-2</v>
      </c>
      <c r="M37" s="115"/>
      <c r="N37" s="116"/>
    </row>
    <row r="38" spans="2:15" x14ac:dyDescent="0.25">
      <c r="B38" s="114" t="s">
        <v>85</v>
      </c>
      <c r="C38" s="115">
        <v>66105</v>
      </c>
      <c r="D38" s="116">
        <v>-0.70621044585081427</v>
      </c>
      <c r="E38" s="115">
        <v>162040</v>
      </c>
      <c r="F38" s="116">
        <f t="shared" si="8"/>
        <v>1.4512517963845397</v>
      </c>
      <c r="G38" s="115">
        <v>197193</v>
      </c>
      <c r="H38" s="116">
        <f t="shared" si="9"/>
        <v>0.21694026166378677</v>
      </c>
      <c r="I38" s="115">
        <v>202524</v>
      </c>
      <c r="J38" s="116">
        <f t="shared" si="12"/>
        <v>2.7034428199784077E-2</v>
      </c>
      <c r="K38" s="115">
        <v>229806</v>
      </c>
      <c r="L38" s="116">
        <f t="shared" si="10"/>
        <v>0.13470996030100135</v>
      </c>
      <c r="M38" s="115"/>
      <c r="N38" s="116"/>
    </row>
    <row r="39" spans="2:15" x14ac:dyDescent="0.25">
      <c r="B39" s="114" t="s">
        <v>87</v>
      </c>
      <c r="C39" s="115">
        <v>52265</v>
      </c>
      <c r="D39" s="116">
        <v>-0.69462459830557988</v>
      </c>
      <c r="E39" s="115">
        <v>130958</v>
      </c>
      <c r="F39" s="116">
        <f t="shared" si="8"/>
        <v>1.5056538792691092</v>
      </c>
      <c r="G39" s="115">
        <v>158091</v>
      </c>
      <c r="H39" s="116">
        <f t="shared" si="9"/>
        <v>0.20718856427251486</v>
      </c>
      <c r="I39" s="115">
        <v>158021</v>
      </c>
      <c r="J39" s="116">
        <f t="shared" si="12"/>
        <v>-4.4278295412136792E-4</v>
      </c>
      <c r="K39" s="115">
        <v>159761</v>
      </c>
      <c r="L39" s="116">
        <f t="shared" si="10"/>
        <v>1.1011194714626527E-2</v>
      </c>
      <c r="M39" s="115"/>
      <c r="N39" s="116"/>
    </row>
    <row r="40" spans="2:15" x14ac:dyDescent="0.25">
      <c r="B40" s="114" t="s">
        <v>89</v>
      </c>
      <c r="C40" s="115">
        <v>36133</v>
      </c>
      <c r="D40" s="116">
        <v>-0.71603153022170174</v>
      </c>
      <c r="E40" s="115">
        <v>96677</v>
      </c>
      <c r="F40" s="116">
        <f t="shared" si="8"/>
        <v>1.6755874131680182</v>
      </c>
      <c r="G40" s="115">
        <v>140180</v>
      </c>
      <c r="H40" s="116">
        <f t="shared" si="9"/>
        <v>0.44998293285890134</v>
      </c>
      <c r="I40" s="115">
        <v>118073</v>
      </c>
      <c r="J40" s="116">
        <f t="shared" si="12"/>
        <v>-0.15770438008275078</v>
      </c>
      <c r="K40" s="115">
        <v>131586</v>
      </c>
      <c r="L40" s="116">
        <f t="shared" si="10"/>
        <v>0.11444614772217188</v>
      </c>
      <c r="M40" s="115"/>
      <c r="N40" s="116"/>
    </row>
    <row r="41" spans="2:15" x14ac:dyDescent="0.25">
      <c r="B41" s="114" t="s">
        <v>91</v>
      </c>
      <c r="C41" s="115">
        <v>14426</v>
      </c>
      <c r="D41" s="116">
        <v>-0.88322054204578571</v>
      </c>
      <c r="E41" s="115">
        <v>60107</v>
      </c>
      <c r="F41" s="116">
        <f t="shared" si="8"/>
        <v>3.1665742409538336</v>
      </c>
      <c r="G41" s="115">
        <v>108306</v>
      </c>
      <c r="H41" s="116">
        <f t="shared" si="9"/>
        <v>0.80188663550002492</v>
      </c>
      <c r="I41" s="115">
        <v>80072</v>
      </c>
      <c r="J41" s="116">
        <f t="shared" si="12"/>
        <v>-0.26068731187561167</v>
      </c>
      <c r="K41" s="115">
        <v>107403</v>
      </c>
      <c r="L41" s="116">
        <f t="shared" si="10"/>
        <v>0.34133030272754517</v>
      </c>
      <c r="M41" s="115"/>
      <c r="N41" s="116"/>
    </row>
    <row r="42" spans="2:15" x14ac:dyDescent="0.25">
      <c r="B42" s="114" t="s">
        <v>93</v>
      </c>
      <c r="C42" s="115">
        <v>14280</v>
      </c>
      <c r="D42" s="116">
        <v>-0.87345922427314382</v>
      </c>
      <c r="E42" s="115">
        <v>61877</v>
      </c>
      <c r="F42" s="116">
        <f t="shared" si="8"/>
        <v>3.33312324929972</v>
      </c>
      <c r="G42" s="115">
        <v>109752</v>
      </c>
      <c r="H42" s="116">
        <f t="shared" si="9"/>
        <v>0.77371236485285322</v>
      </c>
      <c r="I42" s="115">
        <v>84951</v>
      </c>
      <c r="J42" s="116">
        <f t="shared" si="12"/>
        <v>-0.22597310299584517</v>
      </c>
      <c r="K42" s="115">
        <v>89457</v>
      </c>
      <c r="L42" s="116">
        <f t="shared" si="10"/>
        <v>5.3042342056008662E-2</v>
      </c>
      <c r="M42" s="115"/>
      <c r="N42" s="116"/>
    </row>
    <row r="43" spans="2:15" ht="15.75" x14ac:dyDescent="0.25">
      <c r="B43" s="117" t="s">
        <v>30</v>
      </c>
      <c r="C43" s="118">
        <v>472177</v>
      </c>
      <c r="D43" s="119">
        <v>-0.74769133270564803</v>
      </c>
      <c r="E43" s="118">
        <v>765462</v>
      </c>
      <c r="F43" s="119">
        <f t="shared" si="8"/>
        <v>0.62113360032360743</v>
      </c>
      <c r="G43" s="118">
        <v>1656388</v>
      </c>
      <c r="H43" s="119">
        <f t="shared" si="9"/>
        <v>1.1639062422432467</v>
      </c>
      <c r="I43" s="118">
        <v>1641108</v>
      </c>
      <c r="J43" s="119">
        <f t="shared" si="12"/>
        <v>-9.2248917524154761E-3</v>
      </c>
      <c r="K43" s="118">
        <v>1680399</v>
      </c>
      <c r="L43" s="119">
        <f t="shared" si="10"/>
        <v>2.3941751548344214E-2</v>
      </c>
      <c r="M43" s="118">
        <v>87577</v>
      </c>
      <c r="N43" s="119">
        <v>4.0354003326205756E-2</v>
      </c>
    </row>
    <row r="44" spans="2:15" ht="6" customHeight="1" x14ac:dyDescent="0.25"/>
    <row r="45" spans="2:15" x14ac:dyDescent="0.25">
      <c r="B45" s="105" t="s">
        <v>55</v>
      </c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</row>
    <row r="46" spans="2:15" x14ac:dyDescent="0.25">
      <c r="C46" s="120"/>
      <c r="K46" s="120"/>
      <c r="N46" s="79"/>
    </row>
    <row r="48" spans="2:15" ht="48.75" customHeight="1" thickBot="1" x14ac:dyDescent="0.3">
      <c r="B48" s="265" t="s">
        <v>272</v>
      </c>
      <c r="C48" s="265"/>
      <c r="D48" s="265"/>
      <c r="E48" s="265"/>
      <c r="F48" s="265"/>
      <c r="G48" s="265"/>
      <c r="H48" s="265"/>
      <c r="I48" s="265"/>
      <c r="J48" s="265"/>
      <c r="K48" s="265"/>
      <c r="L48" s="265"/>
      <c r="M48" s="265"/>
      <c r="N48" s="265"/>
      <c r="O48" s="1" t="s">
        <v>98</v>
      </c>
    </row>
    <row r="49" spans="1:15" ht="10.5" customHeight="1" thickBot="1" x14ac:dyDescent="0.3">
      <c r="B49" s="106"/>
      <c r="C49" s="107"/>
      <c r="D49" s="106"/>
      <c r="E49" s="106"/>
      <c r="F49" s="106"/>
      <c r="G49" s="106"/>
      <c r="H49" s="106"/>
      <c r="I49" s="106"/>
      <c r="J49" s="106"/>
      <c r="K49" s="106"/>
      <c r="L49" s="106"/>
      <c r="M49" s="4"/>
      <c r="N49" s="4"/>
      <c r="O49" s="1" t="s">
        <v>99</v>
      </c>
    </row>
    <row r="50" spans="1:15" ht="22.5" thickTop="1" thickBot="1" x14ac:dyDescent="0.3">
      <c r="B50" s="109"/>
      <c r="C50" s="290" t="s">
        <v>100</v>
      </c>
      <c r="D50" s="291"/>
      <c r="E50" s="291"/>
      <c r="F50" s="291"/>
      <c r="G50" s="291"/>
      <c r="H50" s="291"/>
      <c r="I50" s="291"/>
      <c r="J50" s="291"/>
      <c r="K50" s="291"/>
      <c r="L50" s="291"/>
      <c r="M50" s="291"/>
      <c r="N50" s="291"/>
    </row>
    <row r="51" spans="1:15" ht="22.5" thickTop="1" thickBot="1" x14ac:dyDescent="0.3">
      <c r="B51" s="109"/>
      <c r="C51" s="292">
        <f>$C$7</f>
        <v>2020</v>
      </c>
      <c r="D51" s="293"/>
      <c r="E51" s="294">
        <f>$E$7</f>
        <v>2021</v>
      </c>
      <c r="F51" s="293"/>
      <c r="G51" s="294">
        <f>$G$7</f>
        <v>2022</v>
      </c>
      <c r="H51" s="293"/>
      <c r="I51" s="294">
        <f>$I$7</f>
        <v>2023</v>
      </c>
      <c r="J51" s="293"/>
      <c r="K51" s="294">
        <f>$K$7</f>
        <v>2024</v>
      </c>
      <c r="L51" s="293"/>
      <c r="M51" s="294">
        <f>$M$7</f>
        <v>2025</v>
      </c>
      <c r="N51" s="295"/>
    </row>
    <row r="52" spans="1:15" ht="16.5" thickTop="1" thickBot="1" x14ac:dyDescent="0.3">
      <c r="B52" s="85"/>
      <c r="C52" s="111" t="s">
        <v>69</v>
      </c>
      <c r="D52" s="112" t="str">
        <f>CONCATENATE("var. ",RIGHT(C51,2),"/",RIGHT(C51-1,2))</f>
        <v>var. 20/19</v>
      </c>
      <c r="E52" s="113" t="s">
        <v>69</v>
      </c>
      <c r="F52" s="112" t="str">
        <f>CONCATENATE("var. ",RIGHT(E51,2),"/",RIGHT(E51-1,2))</f>
        <v>var. 21/20</v>
      </c>
      <c r="G52" s="113" t="s">
        <v>69</v>
      </c>
      <c r="H52" s="112" t="str">
        <f>CONCATENATE("var. ",RIGHT(G51,2),"/",RIGHT(G51-1,2))</f>
        <v>var. 22/21</v>
      </c>
      <c r="I52" s="113" t="s">
        <v>69</v>
      </c>
      <c r="J52" s="112" t="s">
        <v>247</v>
      </c>
      <c r="K52" s="113" t="s">
        <v>69</v>
      </c>
      <c r="L52" s="112" t="s">
        <v>248</v>
      </c>
      <c r="M52" s="113" t="s">
        <v>69</v>
      </c>
      <c r="N52" s="112" t="s">
        <v>271</v>
      </c>
    </row>
    <row r="53" spans="1:15" x14ac:dyDescent="0.25">
      <c r="A53" s="1">
        <v>1</v>
      </c>
      <c r="B53" s="114" t="s">
        <v>71</v>
      </c>
      <c r="C53" s="115">
        <v>100476</v>
      </c>
      <c r="D53" s="116">
        <v>0.25342747720213077</v>
      </c>
      <c r="E53" s="115">
        <v>3792</v>
      </c>
      <c r="F53" s="116">
        <f t="shared" ref="F53:F65" si="13">IFERROR(E53/C53-1,"-")</f>
        <v>-0.96225964409411202</v>
      </c>
      <c r="G53" s="115">
        <v>52306</v>
      </c>
      <c r="H53" s="116">
        <f t="shared" ref="H53:H65" si="14">IFERROR(G53/E53-1,"-")</f>
        <v>12.793776371308017</v>
      </c>
      <c r="I53" s="115">
        <v>94379</v>
      </c>
      <c r="J53" s="116">
        <f t="shared" ref="J53:J65" si="15">IFERROR(I53/G53-1,"-")</f>
        <v>0.80436278820785367</v>
      </c>
      <c r="K53" s="115">
        <v>76235</v>
      </c>
      <c r="L53" s="116">
        <f>IFERROR(K53/I53-1,"-")</f>
        <v>-0.19224615645429599</v>
      </c>
      <c r="M53" s="115">
        <v>77024</v>
      </c>
      <c r="N53" s="116">
        <f t="shared" ref="N53" si="16">IFERROR(M53/K53-1,"-")</f>
        <v>1.0349576965960505E-2</v>
      </c>
    </row>
    <row r="54" spans="1:15" x14ac:dyDescent="0.25">
      <c r="A54" s="1">
        <v>2</v>
      </c>
      <c r="B54" s="114" t="s">
        <v>73</v>
      </c>
      <c r="C54" s="115">
        <v>90119</v>
      </c>
      <c r="D54" s="116">
        <v>0.17150248290564951</v>
      </c>
      <c r="E54" s="115">
        <v>3601</v>
      </c>
      <c r="F54" s="116">
        <f t="shared" si="13"/>
        <v>-0.96004172261121401</v>
      </c>
      <c r="G54" s="115">
        <v>75169</v>
      </c>
      <c r="H54" s="116">
        <f t="shared" si="14"/>
        <v>19.874479311302416</v>
      </c>
      <c r="I54" s="115">
        <v>85353</v>
      </c>
      <c r="J54" s="116">
        <f t="shared" si="15"/>
        <v>0.13548138195266657</v>
      </c>
      <c r="K54" s="115">
        <v>74115</v>
      </c>
      <c r="L54" s="116">
        <f t="shared" ref="L54:L65" si="17">IFERROR(K54/I54-1,"-")</f>
        <v>-0.13166496783944326</v>
      </c>
      <c r="M54" s="115"/>
      <c r="N54" s="116"/>
    </row>
    <row r="55" spans="1:15" x14ac:dyDescent="0.25">
      <c r="A55" s="1">
        <v>3</v>
      </c>
      <c r="B55" s="114" t="s">
        <v>75</v>
      </c>
      <c r="C55" s="115">
        <v>40050</v>
      </c>
      <c r="D55" s="116">
        <v>-0.61423246226605921</v>
      </c>
      <c r="E55" s="115">
        <v>5902</v>
      </c>
      <c r="F55" s="116">
        <f t="shared" si="13"/>
        <v>-0.85263420724094885</v>
      </c>
      <c r="G55" s="115">
        <v>101860</v>
      </c>
      <c r="H55" s="116">
        <f t="shared" si="14"/>
        <v>16.258556421552015</v>
      </c>
      <c r="I55" s="115">
        <v>107350</v>
      </c>
      <c r="J55" s="116">
        <f t="shared" si="15"/>
        <v>5.3897506381307636E-2</v>
      </c>
      <c r="K55" s="115">
        <v>98365</v>
      </c>
      <c r="L55" s="116">
        <f t="shared" si="17"/>
        <v>-8.3698183511877078E-2</v>
      </c>
      <c r="M55" s="115"/>
      <c r="N55" s="116"/>
    </row>
    <row r="56" spans="1:15" x14ac:dyDescent="0.25">
      <c r="A56" s="1">
        <v>4</v>
      </c>
      <c r="B56" s="114" t="s">
        <v>77</v>
      </c>
      <c r="C56" s="115">
        <v>0</v>
      </c>
      <c r="D56" s="116">
        <v>-1</v>
      </c>
      <c r="E56" s="115">
        <v>7899</v>
      </c>
      <c r="F56" s="116" t="str">
        <f t="shared" si="13"/>
        <v>-</v>
      </c>
      <c r="G56" s="115">
        <v>107856</v>
      </c>
      <c r="H56" s="116">
        <f t="shared" si="14"/>
        <v>12.654386631219142</v>
      </c>
      <c r="I56" s="115">
        <v>113397</v>
      </c>
      <c r="J56" s="116">
        <f t="shared" si="15"/>
        <v>5.1374054294615057E-2</v>
      </c>
      <c r="K56" s="115">
        <v>108738</v>
      </c>
      <c r="L56" s="116">
        <f t="shared" si="17"/>
        <v>-4.1085743009074305E-2</v>
      </c>
      <c r="M56" s="115"/>
      <c r="N56" s="116"/>
    </row>
    <row r="57" spans="1:15" x14ac:dyDescent="0.25">
      <c r="A57" s="1">
        <v>5</v>
      </c>
      <c r="B57" s="114" t="s">
        <v>79</v>
      </c>
      <c r="C57" s="115">
        <v>0</v>
      </c>
      <c r="D57" s="116">
        <v>-1</v>
      </c>
      <c r="E57" s="115">
        <v>18426</v>
      </c>
      <c r="F57" s="116" t="str">
        <f t="shared" si="13"/>
        <v>-</v>
      </c>
      <c r="G57" s="115">
        <v>138427</v>
      </c>
      <c r="H57" s="116">
        <f t="shared" si="14"/>
        <v>6.512590904157169</v>
      </c>
      <c r="I57" s="115">
        <v>122735</v>
      </c>
      <c r="J57" s="116">
        <f t="shared" si="15"/>
        <v>-0.11335938798066847</v>
      </c>
      <c r="K57" s="115">
        <v>127566</v>
      </c>
      <c r="L57" s="116">
        <f t="shared" si="17"/>
        <v>3.9361225404326294E-2</v>
      </c>
      <c r="M57" s="115"/>
      <c r="N57" s="116"/>
    </row>
    <row r="58" spans="1:15" x14ac:dyDescent="0.25">
      <c r="A58" s="1">
        <v>6</v>
      </c>
      <c r="B58" s="114" t="s">
        <v>81</v>
      </c>
      <c r="C58" s="115">
        <v>0</v>
      </c>
      <c r="D58" s="116">
        <v>-1</v>
      </c>
      <c r="E58" s="115">
        <v>42217</v>
      </c>
      <c r="F58" s="116" t="str">
        <f t="shared" si="13"/>
        <v>-</v>
      </c>
      <c r="G58" s="115">
        <v>166385</v>
      </c>
      <c r="H58" s="116">
        <f t="shared" si="14"/>
        <v>2.941184830755383</v>
      </c>
      <c r="I58" s="115">
        <v>151037</v>
      </c>
      <c r="J58" s="116">
        <f t="shared" si="15"/>
        <v>-9.2243892177780396E-2</v>
      </c>
      <c r="K58" s="115">
        <v>145345</v>
      </c>
      <c r="L58" s="116">
        <f t="shared" si="17"/>
        <v>-3.7686129888702791E-2</v>
      </c>
      <c r="M58" s="115"/>
      <c r="N58" s="116"/>
    </row>
    <row r="59" spans="1:15" x14ac:dyDescent="0.25">
      <c r="A59" s="1">
        <v>7</v>
      </c>
      <c r="B59" s="114" t="s">
        <v>83</v>
      </c>
      <c r="C59" s="115">
        <v>0</v>
      </c>
      <c r="D59" s="116">
        <v>-1</v>
      </c>
      <c r="E59" s="115">
        <v>98067</v>
      </c>
      <c r="F59" s="116" t="str">
        <f t="shared" si="13"/>
        <v>-</v>
      </c>
      <c r="G59" s="115">
        <v>156203</v>
      </c>
      <c r="H59" s="116">
        <f t="shared" si="14"/>
        <v>0.59281919504012559</v>
      </c>
      <c r="I59" s="115">
        <v>161599</v>
      </c>
      <c r="J59" s="116">
        <f t="shared" si="15"/>
        <v>3.454479107315489E-2</v>
      </c>
      <c r="K59" s="115">
        <v>163095</v>
      </c>
      <c r="L59" s="116">
        <f t="shared" si="17"/>
        <v>9.2574830289791077E-3</v>
      </c>
      <c r="M59" s="115"/>
      <c r="N59" s="116"/>
    </row>
    <row r="60" spans="1:15" x14ac:dyDescent="0.25">
      <c r="A60" s="1">
        <v>8</v>
      </c>
      <c r="B60" s="114" t="s">
        <v>85</v>
      </c>
      <c r="C60" s="115">
        <v>54073</v>
      </c>
      <c r="D60" s="116">
        <v>-0.73404454150189857</v>
      </c>
      <c r="E60" s="115">
        <v>129856</v>
      </c>
      <c r="F60" s="116">
        <f t="shared" si="13"/>
        <v>1.4014942762561722</v>
      </c>
      <c r="G60" s="115">
        <v>168396</v>
      </c>
      <c r="H60" s="116">
        <f t="shared" si="14"/>
        <v>0.29679029078363728</v>
      </c>
      <c r="I60" s="115">
        <v>177694</v>
      </c>
      <c r="J60" s="116">
        <f t="shared" si="15"/>
        <v>5.5215088244376265E-2</v>
      </c>
      <c r="K60" s="115">
        <v>188499</v>
      </c>
      <c r="L60" s="116">
        <f t="shared" si="17"/>
        <v>6.0806780195167054E-2</v>
      </c>
      <c r="M60" s="115"/>
      <c r="N60" s="116"/>
    </row>
    <row r="61" spans="1:15" x14ac:dyDescent="0.25">
      <c r="A61" s="1">
        <v>9</v>
      </c>
      <c r="B61" s="114" t="s">
        <v>87</v>
      </c>
      <c r="C61" s="115">
        <v>44522</v>
      </c>
      <c r="D61" s="116">
        <v>-0.7032005173091922</v>
      </c>
      <c r="E61" s="115">
        <v>107061</v>
      </c>
      <c r="F61" s="116">
        <f t="shared" si="13"/>
        <v>1.4046763397870716</v>
      </c>
      <c r="G61" s="115">
        <v>138602</v>
      </c>
      <c r="H61" s="116">
        <f t="shared" si="14"/>
        <v>0.29460774698536341</v>
      </c>
      <c r="I61" s="115">
        <v>127466</v>
      </c>
      <c r="J61" s="116">
        <f t="shared" si="15"/>
        <v>-8.0345160964488294E-2</v>
      </c>
      <c r="K61" s="115">
        <v>137327</v>
      </c>
      <c r="L61" s="116">
        <f t="shared" si="17"/>
        <v>7.7361806285597634E-2</v>
      </c>
      <c r="M61" s="115"/>
      <c r="N61" s="116"/>
    </row>
    <row r="62" spans="1:15" x14ac:dyDescent="0.25">
      <c r="A62" s="1">
        <v>10</v>
      </c>
      <c r="B62" s="114" t="s">
        <v>89</v>
      </c>
      <c r="C62" s="115">
        <v>26446</v>
      </c>
      <c r="D62" s="116">
        <v>-0.76423075894409331</v>
      </c>
      <c r="E62" s="115">
        <v>71801</v>
      </c>
      <c r="F62" s="116">
        <f t="shared" si="13"/>
        <v>1.7150041594191938</v>
      </c>
      <c r="G62" s="115">
        <v>113852</v>
      </c>
      <c r="H62" s="116">
        <f t="shared" si="14"/>
        <v>0.58566036684725842</v>
      </c>
      <c r="I62" s="115">
        <v>103186</v>
      </c>
      <c r="J62" s="116">
        <f t="shared" si="15"/>
        <v>-9.3683027087798187E-2</v>
      </c>
      <c r="K62" s="115">
        <v>109884</v>
      </c>
      <c r="L62" s="116">
        <f t="shared" si="17"/>
        <v>6.4911906654003371E-2</v>
      </c>
      <c r="M62" s="115"/>
      <c r="N62" s="116"/>
    </row>
    <row r="63" spans="1:15" x14ac:dyDescent="0.25">
      <c r="A63" s="1">
        <v>11</v>
      </c>
      <c r="B63" s="114" t="s">
        <v>91</v>
      </c>
      <c r="C63" s="115">
        <v>9600</v>
      </c>
      <c r="D63" s="116">
        <v>-0.91200813924711965</v>
      </c>
      <c r="E63" s="115">
        <v>48671</v>
      </c>
      <c r="F63" s="116">
        <f t="shared" si="13"/>
        <v>4.0698958333333337</v>
      </c>
      <c r="G63" s="115">
        <v>94916</v>
      </c>
      <c r="H63" s="116">
        <f t="shared" si="14"/>
        <v>0.950155123173964</v>
      </c>
      <c r="I63" s="115">
        <v>69364</v>
      </c>
      <c r="J63" s="116">
        <f t="shared" si="15"/>
        <v>-0.26920645623498674</v>
      </c>
      <c r="K63" s="115">
        <v>89993</v>
      </c>
      <c r="L63" s="116">
        <f t="shared" si="17"/>
        <v>0.29740211060492472</v>
      </c>
      <c r="M63" s="115"/>
      <c r="N63" s="116"/>
    </row>
    <row r="64" spans="1:15" x14ac:dyDescent="0.25">
      <c r="A64" s="1">
        <v>12</v>
      </c>
      <c r="B64" s="114" t="s">
        <v>93</v>
      </c>
      <c r="C64" s="115">
        <v>6993</v>
      </c>
      <c r="D64" s="116">
        <v>-0.93156328903329355</v>
      </c>
      <c r="E64" s="115">
        <v>46259</v>
      </c>
      <c r="F64" s="116">
        <f t="shared" si="13"/>
        <v>5.6150436150436152</v>
      </c>
      <c r="G64" s="115">
        <v>94753</v>
      </c>
      <c r="H64" s="116">
        <f t="shared" si="14"/>
        <v>1.0483149225015671</v>
      </c>
      <c r="I64" s="115">
        <v>71834</v>
      </c>
      <c r="J64" s="116">
        <f t="shared" si="15"/>
        <v>-0.2418815235401518</v>
      </c>
      <c r="K64" s="115">
        <v>73903</v>
      </c>
      <c r="L64" s="116">
        <f t="shared" si="17"/>
        <v>2.8802516913996268E-2</v>
      </c>
      <c r="M64" s="115"/>
      <c r="N64" s="116"/>
    </row>
    <row r="65" spans="1:15" ht="15.75" x14ac:dyDescent="0.25">
      <c r="B65" s="117" t="s">
        <v>30</v>
      </c>
      <c r="C65" s="118">
        <v>400640</v>
      </c>
      <c r="D65" s="119">
        <v>-0.75914218450535897</v>
      </c>
      <c r="E65" s="118">
        <v>583552</v>
      </c>
      <c r="F65" s="119">
        <f t="shared" si="13"/>
        <v>0.45654952076677313</v>
      </c>
      <c r="G65" s="118">
        <v>1408725</v>
      </c>
      <c r="H65" s="119">
        <f t="shared" si="14"/>
        <v>1.4140522181399429</v>
      </c>
      <c r="I65" s="118">
        <v>1385394</v>
      </c>
      <c r="J65" s="119">
        <f t="shared" si="15"/>
        <v>-1.6561784592450612E-2</v>
      </c>
      <c r="K65" s="118">
        <v>1393065</v>
      </c>
      <c r="L65" s="119">
        <f t="shared" si="17"/>
        <v>5.5370529971978666E-3</v>
      </c>
      <c r="M65" s="118">
        <v>77024</v>
      </c>
      <c r="N65" s="119">
        <v>1.0349576965960505E-2</v>
      </c>
    </row>
    <row r="66" spans="1:15" ht="6" customHeight="1" x14ac:dyDescent="0.25"/>
    <row r="67" spans="1:15" x14ac:dyDescent="0.25">
      <c r="B67" s="105" t="s">
        <v>55</v>
      </c>
      <c r="C67" s="105"/>
      <c r="D67" s="105"/>
      <c r="E67" s="105"/>
      <c r="F67" s="105"/>
      <c r="G67" s="105"/>
      <c r="H67" s="105"/>
      <c r="I67" s="105"/>
      <c r="J67" s="105"/>
      <c r="K67" s="105"/>
      <c r="L67" s="105"/>
      <c r="M67" s="105"/>
      <c r="N67" s="105"/>
    </row>
    <row r="68" spans="1:15" x14ac:dyDescent="0.25">
      <c r="C68" s="120"/>
      <c r="K68" s="120"/>
      <c r="N68" s="79"/>
    </row>
    <row r="70" spans="1:15" ht="48.75" customHeight="1" thickBot="1" x14ac:dyDescent="0.3">
      <c r="B70" s="265" t="s">
        <v>273</v>
      </c>
      <c r="C70" s="265"/>
      <c r="D70" s="265"/>
      <c r="E70" s="265"/>
      <c r="F70" s="265"/>
      <c r="G70" s="265"/>
      <c r="H70" s="265"/>
      <c r="I70" s="265"/>
      <c r="J70" s="265"/>
      <c r="K70" s="265"/>
      <c r="L70" s="265"/>
      <c r="M70" s="265"/>
      <c r="N70" s="265"/>
      <c r="O70" s="1" t="s">
        <v>101</v>
      </c>
    </row>
    <row r="71" spans="1:15" ht="10.5" customHeight="1" thickBot="1" x14ac:dyDescent="0.3">
      <c r="B71" s="106"/>
      <c r="C71" s="107"/>
      <c r="D71" s="106"/>
      <c r="E71" s="106"/>
      <c r="F71" s="106"/>
      <c r="G71" s="106"/>
      <c r="H71" s="106"/>
      <c r="I71" s="106"/>
      <c r="J71" s="106"/>
      <c r="K71" s="106"/>
      <c r="L71" s="106"/>
      <c r="M71" s="4"/>
      <c r="N71" s="4"/>
      <c r="O71" s="1" t="s">
        <v>102</v>
      </c>
    </row>
    <row r="72" spans="1:15" ht="22.5" thickTop="1" thickBot="1" x14ac:dyDescent="0.3">
      <c r="B72" s="109"/>
      <c r="C72" s="290" t="s">
        <v>103</v>
      </c>
      <c r="D72" s="291"/>
      <c r="E72" s="291"/>
      <c r="F72" s="291"/>
      <c r="G72" s="291"/>
      <c r="H72" s="291"/>
      <c r="I72" s="291"/>
      <c r="J72" s="291"/>
      <c r="K72" s="291"/>
      <c r="L72" s="291"/>
      <c r="M72" s="291"/>
      <c r="N72" s="291"/>
    </row>
    <row r="73" spans="1:15" ht="22.5" thickTop="1" thickBot="1" x14ac:dyDescent="0.3">
      <c r="B73" s="109"/>
      <c r="C73" s="292">
        <f>$C$7</f>
        <v>2020</v>
      </c>
      <c r="D73" s="293"/>
      <c r="E73" s="294">
        <f>$E$7</f>
        <v>2021</v>
      </c>
      <c r="F73" s="293"/>
      <c r="G73" s="294">
        <f>$G$7</f>
        <v>2022</v>
      </c>
      <c r="H73" s="293"/>
      <c r="I73" s="294">
        <f>$I$7</f>
        <v>2023</v>
      </c>
      <c r="J73" s="293"/>
      <c r="K73" s="294">
        <f>$K$7</f>
        <v>2024</v>
      </c>
      <c r="L73" s="293"/>
      <c r="M73" s="294">
        <f>$M$7</f>
        <v>2025</v>
      </c>
      <c r="N73" s="295"/>
    </row>
    <row r="74" spans="1:15" ht="16.5" thickTop="1" thickBot="1" x14ac:dyDescent="0.3">
      <c r="B74" s="85"/>
      <c r="C74" s="111" t="s">
        <v>69</v>
      </c>
      <c r="D74" s="112" t="str">
        <f>CONCATENATE("var. ",RIGHT(C73,2),"/",RIGHT(C73-1,2))</f>
        <v>var. 20/19</v>
      </c>
      <c r="E74" s="113" t="s">
        <v>69</v>
      </c>
      <c r="F74" s="112" t="str">
        <f>CONCATENATE("var. ",RIGHT(E73,2),"/",RIGHT(E73-1,2))</f>
        <v>var. 21/20</v>
      </c>
      <c r="G74" s="113" t="s">
        <v>69</v>
      </c>
      <c r="H74" s="112" t="str">
        <f>CONCATENATE("var. ",RIGHT(G73,2),"/",RIGHT(G73-1,2))</f>
        <v>var. 22/21</v>
      </c>
      <c r="I74" s="113" t="s">
        <v>69</v>
      </c>
      <c r="J74" s="112" t="s">
        <v>247</v>
      </c>
      <c r="K74" s="113" t="s">
        <v>69</v>
      </c>
      <c r="L74" s="112" t="s">
        <v>248</v>
      </c>
      <c r="M74" s="113" t="s">
        <v>69</v>
      </c>
      <c r="N74" s="112" t="s">
        <v>271</v>
      </c>
    </row>
    <row r="75" spans="1:15" x14ac:dyDescent="0.25">
      <c r="A75" s="1">
        <v>1</v>
      </c>
      <c r="B75" s="114" t="s">
        <v>71</v>
      </c>
      <c r="C75" s="115">
        <v>8959</v>
      </c>
      <c r="D75" s="116">
        <v>8.3837406242438961E-2</v>
      </c>
      <c r="E75" s="115">
        <v>3625</v>
      </c>
      <c r="F75" s="116">
        <f t="shared" ref="F75:F87" si="18">IFERROR(E75/C75-1,"-")</f>
        <v>-0.59537894854336426</v>
      </c>
      <c r="G75" s="115">
        <v>8346</v>
      </c>
      <c r="H75" s="116">
        <f t="shared" ref="H75:H87" si="19">IFERROR(G75/E75-1,"-")</f>
        <v>1.3023448275862068</v>
      </c>
      <c r="I75" s="115">
        <v>12994</v>
      </c>
      <c r="J75" s="116">
        <f t="shared" ref="J75:J87" si="20">IFERROR(I75/G75-1,"-")</f>
        <v>0.55691349149293079</v>
      </c>
      <c r="K75" s="115">
        <v>7945</v>
      </c>
      <c r="L75" s="116">
        <f>IFERROR(K75/I75-1,"-")</f>
        <v>-0.38856395259350474</v>
      </c>
      <c r="M75" s="115">
        <v>10553</v>
      </c>
      <c r="N75" s="116">
        <f t="shared" ref="N75" si="21">IFERROR(M75/K75-1,"-")</f>
        <v>0.32825676526117054</v>
      </c>
    </row>
    <row r="76" spans="1:15" x14ac:dyDescent="0.25">
      <c r="A76" s="1">
        <v>2</v>
      </c>
      <c r="B76" s="114" t="s">
        <v>73</v>
      </c>
      <c r="C76" s="115">
        <v>7898</v>
      </c>
      <c r="D76" s="116">
        <v>-4.9006622516556297E-2</v>
      </c>
      <c r="E76" s="115">
        <v>3774</v>
      </c>
      <c r="F76" s="116">
        <f t="shared" si="18"/>
        <v>-0.52215750822993168</v>
      </c>
      <c r="G76" s="115">
        <v>12994</v>
      </c>
      <c r="H76" s="116">
        <f t="shared" si="19"/>
        <v>2.4430312665606784</v>
      </c>
      <c r="I76" s="115">
        <v>8549</v>
      </c>
      <c r="J76" s="116">
        <f t="shared" si="20"/>
        <v>-0.34208096044328151</v>
      </c>
      <c r="K76" s="115">
        <v>8223</v>
      </c>
      <c r="L76" s="116">
        <f t="shared" ref="L76:L87" si="22">IFERROR(K76/I76-1,"-")</f>
        <v>-3.8133114984208683E-2</v>
      </c>
      <c r="M76" s="115"/>
      <c r="N76" s="116"/>
    </row>
    <row r="77" spans="1:15" x14ac:dyDescent="0.25">
      <c r="A77" s="1">
        <v>3</v>
      </c>
      <c r="B77" s="114" t="s">
        <v>75</v>
      </c>
      <c r="C77" s="115">
        <v>5143</v>
      </c>
      <c r="D77" s="116">
        <v>-0.4946447872654024</v>
      </c>
      <c r="E77" s="115">
        <v>4251</v>
      </c>
      <c r="F77" s="116">
        <f t="shared" si="18"/>
        <v>-0.17343962667703672</v>
      </c>
      <c r="G77" s="115">
        <v>12447</v>
      </c>
      <c r="H77" s="116">
        <f t="shared" si="19"/>
        <v>1.928016937191249</v>
      </c>
      <c r="I77" s="115">
        <v>13370</v>
      </c>
      <c r="J77" s="116">
        <f t="shared" si="20"/>
        <v>7.4154414718406114E-2</v>
      </c>
      <c r="K77" s="115">
        <v>14511</v>
      </c>
      <c r="L77" s="116">
        <f t="shared" si="22"/>
        <v>8.534031413612575E-2</v>
      </c>
      <c r="M77" s="115"/>
      <c r="N77" s="116"/>
    </row>
    <row r="78" spans="1:15" x14ac:dyDescent="0.25">
      <c r="A78" s="1">
        <v>4</v>
      </c>
      <c r="B78" s="114" t="s">
        <v>77</v>
      </c>
      <c r="C78" s="115">
        <v>0</v>
      </c>
      <c r="D78" s="116">
        <v>-1</v>
      </c>
      <c r="E78" s="115">
        <v>4594</v>
      </c>
      <c r="F78" s="116" t="str">
        <f t="shared" si="18"/>
        <v>-</v>
      </c>
      <c r="G78" s="115">
        <v>22410</v>
      </c>
      <c r="H78" s="116">
        <f t="shared" si="19"/>
        <v>3.8781018720069653</v>
      </c>
      <c r="I78" s="115">
        <v>27095</v>
      </c>
      <c r="J78" s="116">
        <f t="shared" si="20"/>
        <v>0.20905845604640794</v>
      </c>
      <c r="K78" s="115">
        <v>19093</v>
      </c>
      <c r="L78" s="116">
        <f t="shared" si="22"/>
        <v>-0.29533124192655469</v>
      </c>
      <c r="M78" s="115"/>
      <c r="N78" s="116"/>
    </row>
    <row r="79" spans="1:15" x14ac:dyDescent="0.25">
      <c r="A79" s="1">
        <v>5</v>
      </c>
      <c r="B79" s="114" t="s">
        <v>79</v>
      </c>
      <c r="C79" s="115">
        <v>0</v>
      </c>
      <c r="D79" s="116">
        <v>-1</v>
      </c>
      <c r="E79" s="115">
        <v>11793</v>
      </c>
      <c r="F79" s="116" t="str">
        <f t="shared" si="18"/>
        <v>-</v>
      </c>
      <c r="G79" s="115">
        <v>19464</v>
      </c>
      <c r="H79" s="116">
        <f t="shared" si="19"/>
        <v>0.6504706181633173</v>
      </c>
      <c r="I79" s="115">
        <v>25323</v>
      </c>
      <c r="J79" s="116">
        <f t="shared" si="20"/>
        <v>0.30101726263871753</v>
      </c>
      <c r="K79" s="115">
        <v>33545</v>
      </c>
      <c r="L79" s="116">
        <f t="shared" si="22"/>
        <v>0.32468506890968674</v>
      </c>
      <c r="M79" s="115"/>
      <c r="N79" s="116"/>
    </row>
    <row r="80" spans="1:15" x14ac:dyDescent="0.25">
      <c r="A80" s="1">
        <v>6</v>
      </c>
      <c r="B80" s="114" t="s">
        <v>81</v>
      </c>
      <c r="C80" s="115">
        <v>0</v>
      </c>
      <c r="D80" s="116">
        <v>-1</v>
      </c>
      <c r="E80" s="115">
        <v>15745</v>
      </c>
      <c r="F80" s="116" t="str">
        <f t="shared" si="18"/>
        <v>-</v>
      </c>
      <c r="G80" s="115">
        <v>23487</v>
      </c>
      <c r="H80" s="116">
        <f t="shared" si="19"/>
        <v>0.49171165449349008</v>
      </c>
      <c r="I80" s="115">
        <v>34827</v>
      </c>
      <c r="J80" s="116">
        <f t="shared" si="20"/>
        <v>0.48282028356111883</v>
      </c>
      <c r="K80" s="115">
        <v>40959</v>
      </c>
      <c r="L80" s="116">
        <f t="shared" si="22"/>
        <v>0.17607029029201482</v>
      </c>
      <c r="M80" s="115"/>
      <c r="N80" s="116"/>
    </row>
    <row r="81" spans="1:15" x14ac:dyDescent="0.25">
      <c r="A81" s="1">
        <v>7</v>
      </c>
      <c r="B81" s="114" t="s">
        <v>83</v>
      </c>
      <c r="C81" s="115">
        <v>0</v>
      </c>
      <c r="D81" s="116">
        <v>-1</v>
      </c>
      <c r="E81" s="115">
        <v>30117</v>
      </c>
      <c r="F81" s="116" t="str">
        <f t="shared" si="18"/>
        <v>-</v>
      </c>
      <c r="G81" s="115">
        <v>45512</v>
      </c>
      <c r="H81" s="116">
        <f t="shared" si="19"/>
        <v>0.51117309160938995</v>
      </c>
      <c r="I81" s="115">
        <v>39459</v>
      </c>
      <c r="J81" s="116">
        <f t="shared" si="20"/>
        <v>-0.13299789066619794</v>
      </c>
      <c r="K81" s="115">
        <v>44651</v>
      </c>
      <c r="L81" s="116">
        <f t="shared" si="22"/>
        <v>0.13157961428317999</v>
      </c>
      <c r="M81" s="115"/>
      <c r="N81" s="116"/>
    </row>
    <row r="82" spans="1:15" x14ac:dyDescent="0.25">
      <c r="A82" s="1">
        <v>8</v>
      </c>
      <c r="B82" s="114" t="s">
        <v>85</v>
      </c>
      <c r="C82" s="115">
        <v>12032</v>
      </c>
      <c r="D82" s="116">
        <v>-0.44532546560944131</v>
      </c>
      <c r="E82" s="115">
        <v>32184</v>
      </c>
      <c r="F82" s="116">
        <f t="shared" si="18"/>
        <v>1.6748670212765959</v>
      </c>
      <c r="G82" s="115">
        <v>28797</v>
      </c>
      <c r="H82" s="116">
        <f t="shared" si="19"/>
        <v>-0.10523862788963456</v>
      </c>
      <c r="I82" s="115">
        <v>24830</v>
      </c>
      <c r="J82" s="116">
        <f t="shared" si="20"/>
        <v>-0.1377574052852728</v>
      </c>
      <c r="K82" s="115">
        <v>41307</v>
      </c>
      <c r="L82" s="116">
        <f t="shared" si="22"/>
        <v>0.66359242851389455</v>
      </c>
      <c r="M82" s="115"/>
      <c r="N82" s="116"/>
    </row>
    <row r="83" spans="1:15" x14ac:dyDescent="0.25">
      <c r="A83" s="1">
        <v>9</v>
      </c>
      <c r="B83" s="114" t="s">
        <v>87</v>
      </c>
      <c r="C83" s="115">
        <v>7743</v>
      </c>
      <c r="D83" s="116">
        <v>-0.63377950148985485</v>
      </c>
      <c r="E83" s="115">
        <v>23897</v>
      </c>
      <c r="F83" s="116">
        <f t="shared" si="18"/>
        <v>2.0862714710060701</v>
      </c>
      <c r="G83" s="115">
        <v>19489</v>
      </c>
      <c r="H83" s="116">
        <f t="shared" si="19"/>
        <v>-0.18445830020504661</v>
      </c>
      <c r="I83" s="115">
        <v>30555</v>
      </c>
      <c r="J83" s="116">
        <f t="shared" si="20"/>
        <v>0.567807481143209</v>
      </c>
      <c r="K83" s="115">
        <v>22434</v>
      </c>
      <c r="L83" s="116">
        <f t="shared" si="22"/>
        <v>-0.26578301423662254</v>
      </c>
      <c r="M83" s="115"/>
      <c r="N83" s="116"/>
    </row>
    <row r="84" spans="1:15" x14ac:dyDescent="0.25">
      <c r="A84" s="1">
        <v>10</v>
      </c>
      <c r="B84" s="114" t="s">
        <v>89</v>
      </c>
      <c r="C84" s="115">
        <v>9687</v>
      </c>
      <c r="D84" s="116">
        <v>-0.35737030648799262</v>
      </c>
      <c r="E84" s="115">
        <v>24876</v>
      </c>
      <c r="F84" s="116">
        <f t="shared" si="18"/>
        <v>1.5679777020749457</v>
      </c>
      <c r="G84" s="115">
        <v>26328</v>
      </c>
      <c r="H84" s="116">
        <f t="shared" si="19"/>
        <v>5.836951278340563E-2</v>
      </c>
      <c r="I84" s="115">
        <v>14887</v>
      </c>
      <c r="J84" s="116">
        <f t="shared" si="20"/>
        <v>-0.43455636584624735</v>
      </c>
      <c r="K84" s="115">
        <v>21702</v>
      </c>
      <c r="L84" s="116">
        <f t="shared" si="22"/>
        <v>0.45778195741250749</v>
      </c>
      <c r="M84" s="115"/>
      <c r="N84" s="116"/>
    </row>
    <row r="85" spans="1:15" x14ac:dyDescent="0.25">
      <c r="A85" s="1">
        <v>11</v>
      </c>
      <c r="B85" s="114" t="s">
        <v>91</v>
      </c>
      <c r="C85" s="115">
        <v>4826</v>
      </c>
      <c r="D85" s="116">
        <v>-0.66558104081491232</v>
      </c>
      <c r="E85" s="115">
        <v>11436</v>
      </c>
      <c r="F85" s="116">
        <f t="shared" si="18"/>
        <v>1.3696643182760049</v>
      </c>
      <c r="G85" s="115">
        <v>13390</v>
      </c>
      <c r="H85" s="116">
        <f t="shared" si="19"/>
        <v>0.17086393844001391</v>
      </c>
      <c r="I85" s="115">
        <v>10708</v>
      </c>
      <c r="J85" s="116">
        <f t="shared" si="20"/>
        <v>-0.2002987303958178</v>
      </c>
      <c r="K85" s="115">
        <v>17410</v>
      </c>
      <c r="L85" s="116">
        <f t="shared" si="22"/>
        <v>0.62588718714979463</v>
      </c>
      <c r="M85" s="115"/>
      <c r="N85" s="116"/>
    </row>
    <row r="86" spans="1:15" x14ac:dyDescent="0.25">
      <c r="A86" s="1">
        <v>12</v>
      </c>
      <c r="B86" s="114" t="s">
        <v>93</v>
      </c>
      <c r="C86" s="115">
        <v>7287</v>
      </c>
      <c r="D86" s="116">
        <v>-0.31686509796568862</v>
      </c>
      <c r="E86" s="115">
        <v>15618</v>
      </c>
      <c r="F86" s="116">
        <f t="shared" si="18"/>
        <v>1.1432688349114861</v>
      </c>
      <c r="G86" s="115">
        <v>14999</v>
      </c>
      <c r="H86" s="116">
        <f t="shared" si="19"/>
        <v>-3.9633755922653391E-2</v>
      </c>
      <c r="I86" s="115">
        <v>13117</v>
      </c>
      <c r="J86" s="116">
        <f t="shared" si="20"/>
        <v>-0.12547503166877794</v>
      </c>
      <c r="K86" s="115">
        <v>15554</v>
      </c>
      <c r="L86" s="116">
        <f t="shared" si="22"/>
        <v>0.18578943355950295</v>
      </c>
      <c r="M86" s="115"/>
      <c r="N86" s="116"/>
    </row>
    <row r="87" spans="1:15" ht="15.75" x14ac:dyDescent="0.25">
      <c r="B87" s="117" t="s">
        <v>30</v>
      </c>
      <c r="C87" s="118">
        <v>71537</v>
      </c>
      <c r="D87" s="119">
        <v>-0.65613493688653035</v>
      </c>
      <c r="E87" s="118">
        <v>181910</v>
      </c>
      <c r="F87" s="119">
        <f t="shared" si="18"/>
        <v>1.5428799082992017</v>
      </c>
      <c r="G87" s="118">
        <v>247663</v>
      </c>
      <c r="H87" s="119">
        <f t="shared" si="19"/>
        <v>0.36145896322357207</v>
      </c>
      <c r="I87" s="118">
        <v>255714</v>
      </c>
      <c r="J87" s="119">
        <f t="shared" si="20"/>
        <v>3.2507883696797579E-2</v>
      </c>
      <c r="K87" s="118">
        <v>287334</v>
      </c>
      <c r="L87" s="119">
        <f t="shared" si="22"/>
        <v>0.1236537694455524</v>
      </c>
      <c r="M87" s="118">
        <v>10553</v>
      </c>
      <c r="N87" s="119">
        <v>0.32825676526117054</v>
      </c>
    </row>
    <row r="88" spans="1:15" ht="6" customHeight="1" x14ac:dyDescent="0.25"/>
    <row r="89" spans="1:15" x14ac:dyDescent="0.25">
      <c r="B89" s="105" t="s">
        <v>55</v>
      </c>
      <c r="C89" s="105"/>
      <c r="D89" s="105"/>
      <c r="E89" s="105"/>
      <c r="F89" s="105"/>
      <c r="G89" s="105"/>
      <c r="H89" s="105"/>
      <c r="I89" s="105"/>
      <c r="J89" s="105"/>
      <c r="K89" s="105"/>
      <c r="L89" s="105"/>
      <c r="M89" s="105"/>
      <c r="N89" s="105"/>
    </row>
    <row r="90" spans="1:15" x14ac:dyDescent="0.25">
      <c r="C90" s="120"/>
      <c r="K90" s="120"/>
      <c r="N90" s="79"/>
    </row>
    <row r="92" spans="1:15" ht="48.75" customHeight="1" thickBot="1" x14ac:dyDescent="0.3">
      <c r="B92" s="265" t="s">
        <v>274</v>
      </c>
      <c r="C92" s="265"/>
      <c r="D92" s="265"/>
      <c r="E92" s="265"/>
      <c r="F92" s="265"/>
      <c r="G92" s="265"/>
      <c r="H92" s="265"/>
      <c r="I92" s="265"/>
      <c r="J92" s="265"/>
      <c r="K92" s="265"/>
      <c r="L92" s="265"/>
      <c r="M92" s="265"/>
      <c r="N92" s="265"/>
      <c r="O92" s="1" t="s">
        <v>104</v>
      </c>
    </row>
    <row r="93" spans="1:15" ht="10.5" customHeight="1" thickBot="1" x14ac:dyDescent="0.3">
      <c r="B93" s="106"/>
      <c r="C93" s="107"/>
      <c r="D93" s="106"/>
      <c r="E93" s="106"/>
      <c r="F93" s="106"/>
      <c r="G93" s="106"/>
      <c r="H93" s="106"/>
      <c r="I93" s="106"/>
      <c r="J93" s="106"/>
      <c r="K93" s="106"/>
      <c r="L93" s="106"/>
      <c r="M93" s="4"/>
      <c r="N93" s="4"/>
      <c r="O93" s="1" t="s">
        <v>105</v>
      </c>
    </row>
    <row r="94" spans="1:15" ht="22.5" thickTop="1" thickBot="1" x14ac:dyDescent="0.3">
      <c r="B94" s="121" t="s">
        <v>106</v>
      </c>
      <c r="C94" s="290" t="s">
        <v>107</v>
      </c>
      <c r="D94" s="291"/>
      <c r="E94" s="291"/>
      <c r="F94" s="291"/>
      <c r="G94" s="291"/>
      <c r="H94" s="291"/>
      <c r="I94" s="291"/>
      <c r="J94" s="291"/>
      <c r="K94" s="291"/>
      <c r="L94" s="291"/>
      <c r="M94" s="291"/>
      <c r="N94" s="291"/>
    </row>
    <row r="95" spans="1:15" ht="22.5" thickTop="1" thickBot="1" x14ac:dyDescent="0.3">
      <c r="B95" s="109"/>
      <c r="C95" s="292">
        <f>$C$7</f>
        <v>2020</v>
      </c>
      <c r="D95" s="293"/>
      <c r="E95" s="294">
        <f>$E$7</f>
        <v>2021</v>
      </c>
      <c r="F95" s="293"/>
      <c r="G95" s="294">
        <f>$G$7</f>
        <v>2022</v>
      </c>
      <c r="H95" s="293"/>
      <c r="I95" s="294">
        <f>$I$7</f>
        <v>2023</v>
      </c>
      <c r="J95" s="293"/>
      <c r="K95" s="294">
        <f>$K$7</f>
        <v>2024</v>
      </c>
      <c r="L95" s="293"/>
      <c r="M95" s="294">
        <f>$M$7</f>
        <v>2025</v>
      </c>
      <c r="N95" s="295"/>
    </row>
    <row r="96" spans="1:15" ht="16.5" thickTop="1" thickBot="1" x14ac:dyDescent="0.3">
      <c r="B96" s="85"/>
      <c r="C96" s="111" t="s">
        <v>69</v>
      </c>
      <c r="D96" s="112" t="str">
        <f>CONCATENATE("var. ",RIGHT(C95,2),"/",RIGHT(C95-1,2))</f>
        <v>var. 20/19</v>
      </c>
      <c r="E96" s="113" t="s">
        <v>69</v>
      </c>
      <c r="F96" s="112" t="str">
        <f>CONCATENATE("var. ",RIGHT(E95,2),"/",RIGHT(E95-1,2))</f>
        <v>var. 21/20</v>
      </c>
      <c r="G96" s="113" t="s">
        <v>69</v>
      </c>
      <c r="H96" s="112" t="str">
        <f>CONCATENATE("var. ",RIGHT(G95,2),"/",RIGHT(G95-1,2))</f>
        <v>var. 22/21</v>
      </c>
      <c r="I96" s="113" t="s">
        <v>69</v>
      </c>
      <c r="J96" s="112" t="s">
        <v>247</v>
      </c>
      <c r="K96" s="113" t="s">
        <v>69</v>
      </c>
      <c r="L96" s="112" t="s">
        <v>248</v>
      </c>
      <c r="M96" s="113" t="s">
        <v>69</v>
      </c>
      <c r="N96" s="112" t="s">
        <v>271</v>
      </c>
    </row>
    <row r="97" spans="2:14" x14ac:dyDescent="0.25">
      <c r="B97" s="114" t="s">
        <v>71</v>
      </c>
      <c r="C97" s="115">
        <v>384062</v>
      </c>
      <c r="D97" s="116">
        <v>-4.0101772775782529E-2</v>
      </c>
      <c r="E97" s="115">
        <v>22230</v>
      </c>
      <c r="F97" s="116">
        <f t="shared" ref="F97:F109" si="23">IFERROR(E97/C97-1,"-")</f>
        <v>-0.94211872041493305</v>
      </c>
      <c r="G97" s="115">
        <v>201859</v>
      </c>
      <c r="H97" s="116">
        <f t="shared" ref="H97:H109" si="24">IFERROR(G97/E97-1,"-")</f>
        <v>8.0804768331084116</v>
      </c>
      <c r="I97" s="115">
        <v>352271</v>
      </c>
      <c r="J97" s="116">
        <f t="shared" ref="J97:J109" si="25">IFERROR(I97/G97-1,"-")</f>
        <v>0.74513397965906902</v>
      </c>
      <c r="K97" s="115">
        <v>398137</v>
      </c>
      <c r="L97" s="116">
        <f t="shared" ref="L97:L109" si="26">IFERROR(K97/I97-1,"-")</f>
        <v>0.13020089646891164</v>
      </c>
      <c r="M97" s="115">
        <v>407369</v>
      </c>
      <c r="N97" s="116">
        <f t="shared" ref="N97" si="27">IFERROR(M97/K97-1,"-")</f>
        <v>2.3187998101156237E-2</v>
      </c>
    </row>
    <row r="98" spans="2:14" x14ac:dyDescent="0.25">
      <c r="B98" s="114" t="s">
        <v>73</v>
      </c>
      <c r="C98" s="115">
        <v>332827</v>
      </c>
      <c r="D98" s="116">
        <v>-4.7945009554103635E-2</v>
      </c>
      <c r="E98" s="115">
        <v>18526</v>
      </c>
      <c r="F98" s="116">
        <f t="shared" si="23"/>
        <v>-0.94433744858439972</v>
      </c>
      <c r="G98" s="115">
        <v>211942</v>
      </c>
      <c r="H98" s="116">
        <f t="shared" si="24"/>
        <v>10.440246140559214</v>
      </c>
      <c r="I98" s="115">
        <v>317883</v>
      </c>
      <c r="J98" s="116">
        <f>IFERROR(I98/G98-1,"-")</f>
        <v>0.49985845184059796</v>
      </c>
      <c r="K98" s="115">
        <v>394448</v>
      </c>
      <c r="L98" s="116">
        <f t="shared" si="26"/>
        <v>0.2408590582069503</v>
      </c>
      <c r="M98" s="115"/>
      <c r="N98" s="116"/>
    </row>
    <row r="99" spans="2:14" x14ac:dyDescent="0.25">
      <c r="B99" s="114" t="s">
        <v>75</v>
      </c>
      <c r="C99" s="115">
        <v>172613</v>
      </c>
      <c r="D99" s="116">
        <v>-0.51479401380737144</v>
      </c>
      <c r="E99" s="115">
        <v>25644</v>
      </c>
      <c r="F99" s="116">
        <f t="shared" si="23"/>
        <v>-0.85143645032529414</v>
      </c>
      <c r="G99" s="115">
        <v>251732</v>
      </c>
      <c r="H99" s="116">
        <f t="shared" si="24"/>
        <v>8.8164092965216039</v>
      </c>
      <c r="I99" s="115">
        <v>315119</v>
      </c>
      <c r="J99" s="116">
        <f t="shared" si="25"/>
        <v>0.25180350531517637</v>
      </c>
      <c r="K99" s="115">
        <v>386274</v>
      </c>
      <c r="L99" s="116">
        <f t="shared" si="26"/>
        <v>0.22580358531221534</v>
      </c>
      <c r="M99" s="115"/>
      <c r="N99" s="116"/>
    </row>
    <row r="100" spans="2:14" x14ac:dyDescent="0.25">
      <c r="B100" s="114" t="s">
        <v>77</v>
      </c>
      <c r="C100" s="115">
        <v>0</v>
      </c>
      <c r="D100" s="116">
        <v>-1</v>
      </c>
      <c r="E100" s="115">
        <v>21374</v>
      </c>
      <c r="F100" s="116" t="str">
        <f t="shared" si="23"/>
        <v>-</v>
      </c>
      <c r="G100" s="115">
        <v>218722</v>
      </c>
      <c r="H100" s="116">
        <f t="shared" si="24"/>
        <v>9.2330869280434165</v>
      </c>
      <c r="I100" s="115">
        <v>238900</v>
      </c>
      <c r="J100" s="116">
        <f t="shared" si="25"/>
        <v>9.2254094238348294E-2</v>
      </c>
      <c r="K100" s="115">
        <v>283651</v>
      </c>
      <c r="L100" s="116">
        <f t="shared" si="26"/>
        <v>0.18732105483465888</v>
      </c>
      <c r="M100" s="115"/>
      <c r="N100" s="116"/>
    </row>
    <row r="101" spans="2:14" x14ac:dyDescent="0.25">
      <c r="B101" s="114" t="s">
        <v>79</v>
      </c>
      <c r="C101" s="115">
        <v>0</v>
      </c>
      <c r="D101" s="116">
        <v>-1</v>
      </c>
      <c r="E101" s="115">
        <v>35271</v>
      </c>
      <c r="F101" s="116" t="str">
        <f t="shared" si="23"/>
        <v>-</v>
      </c>
      <c r="G101" s="115">
        <v>152908</v>
      </c>
      <c r="H101" s="116">
        <f t="shared" si="24"/>
        <v>3.3352329108899665</v>
      </c>
      <c r="I101" s="115">
        <v>192540</v>
      </c>
      <c r="J101" s="116">
        <f t="shared" si="25"/>
        <v>0.25918853166609979</v>
      </c>
      <c r="K101" s="115">
        <v>244591</v>
      </c>
      <c r="L101" s="116">
        <f t="shared" si="26"/>
        <v>0.27033863093383204</v>
      </c>
      <c r="M101" s="115"/>
      <c r="N101" s="116"/>
    </row>
    <row r="102" spans="2:14" x14ac:dyDescent="0.25">
      <c r="B102" s="114" t="s">
        <v>81</v>
      </c>
      <c r="C102" s="115">
        <v>0</v>
      </c>
      <c r="D102" s="116">
        <v>-1</v>
      </c>
      <c r="E102" s="115">
        <v>52661</v>
      </c>
      <c r="F102" s="116" t="str">
        <f t="shared" si="23"/>
        <v>-</v>
      </c>
      <c r="G102" s="115">
        <v>174196</v>
      </c>
      <c r="H102" s="116">
        <f t="shared" si="24"/>
        <v>2.3078748979320558</v>
      </c>
      <c r="I102" s="115">
        <v>207904</v>
      </c>
      <c r="J102" s="116">
        <f t="shared" si="25"/>
        <v>0.19350616546878219</v>
      </c>
      <c r="K102" s="115">
        <v>274145</v>
      </c>
      <c r="L102" s="116">
        <f t="shared" si="26"/>
        <v>0.31861339849161152</v>
      </c>
      <c r="M102" s="115"/>
      <c r="N102" s="116"/>
    </row>
    <row r="103" spans="2:14" x14ac:dyDescent="0.25">
      <c r="B103" s="114" t="s">
        <v>83</v>
      </c>
      <c r="C103" s="115">
        <v>0</v>
      </c>
      <c r="D103" s="116">
        <v>-1</v>
      </c>
      <c r="E103" s="115">
        <v>97493</v>
      </c>
      <c r="F103" s="116" t="str">
        <f t="shared" si="23"/>
        <v>-</v>
      </c>
      <c r="G103" s="115">
        <v>215944</v>
      </c>
      <c r="H103" s="116">
        <f t="shared" si="24"/>
        <v>1.2149692798457323</v>
      </c>
      <c r="I103" s="115">
        <v>253355</v>
      </c>
      <c r="J103" s="116">
        <f t="shared" si="25"/>
        <v>0.17324398918238071</v>
      </c>
      <c r="K103" s="115">
        <v>324319</v>
      </c>
      <c r="L103" s="116">
        <f t="shared" si="26"/>
        <v>0.2800970969588128</v>
      </c>
      <c r="M103" s="115"/>
      <c r="N103" s="116"/>
    </row>
    <row r="104" spans="2:14" x14ac:dyDescent="0.25">
      <c r="B104" s="114" t="s">
        <v>85</v>
      </c>
      <c r="C104" s="115">
        <v>49703</v>
      </c>
      <c r="D104" s="116">
        <v>-0.8272161579642634</v>
      </c>
      <c r="E104" s="115">
        <v>121946</v>
      </c>
      <c r="F104" s="116">
        <f t="shared" si="23"/>
        <v>1.4534937528921796</v>
      </c>
      <c r="G104" s="115">
        <v>218834</v>
      </c>
      <c r="H104" s="116">
        <f t="shared" si="24"/>
        <v>0.79451560526790543</v>
      </c>
      <c r="I104" s="115">
        <v>278335</v>
      </c>
      <c r="J104" s="116">
        <f t="shared" si="25"/>
        <v>0.27190016176645315</v>
      </c>
      <c r="K104" s="115">
        <v>322063</v>
      </c>
      <c r="L104" s="116">
        <f t="shared" si="26"/>
        <v>0.1571056460739757</v>
      </c>
      <c r="M104" s="115"/>
      <c r="N104" s="116"/>
    </row>
    <row r="105" spans="2:14" x14ac:dyDescent="0.25">
      <c r="B105" s="114" t="s">
        <v>87</v>
      </c>
      <c r="C105" s="115">
        <v>28441</v>
      </c>
      <c r="D105" s="116">
        <v>-0.90518086347724624</v>
      </c>
      <c r="E105" s="115">
        <v>151032</v>
      </c>
      <c r="F105" s="116">
        <f t="shared" si="23"/>
        <v>4.3103618016244152</v>
      </c>
      <c r="G105" s="115">
        <v>220186</v>
      </c>
      <c r="H105" s="116">
        <f t="shared" si="24"/>
        <v>0.45787647650828966</v>
      </c>
      <c r="I105" s="115">
        <v>283093</v>
      </c>
      <c r="J105" s="116">
        <f t="shared" si="25"/>
        <v>0.28569936326560263</v>
      </c>
      <c r="K105" s="115">
        <v>329443</v>
      </c>
      <c r="L105" s="116">
        <f t="shared" si="26"/>
        <v>0.16372711441116516</v>
      </c>
      <c r="M105" s="115"/>
      <c r="N105" s="116"/>
    </row>
    <row r="106" spans="2:14" x14ac:dyDescent="0.25">
      <c r="B106" s="114" t="s">
        <v>89</v>
      </c>
      <c r="C106" s="115">
        <v>19967</v>
      </c>
      <c r="D106" s="116">
        <v>-0.93174748586547074</v>
      </c>
      <c r="E106" s="115">
        <v>190508</v>
      </c>
      <c r="F106" s="116">
        <f t="shared" si="23"/>
        <v>8.5411428857615057</v>
      </c>
      <c r="G106" s="115">
        <v>235792</v>
      </c>
      <c r="H106" s="116">
        <f t="shared" si="24"/>
        <v>0.23770130388225175</v>
      </c>
      <c r="I106" s="115">
        <v>310899</v>
      </c>
      <c r="J106" s="116">
        <f t="shared" si="25"/>
        <v>0.3185307389563683</v>
      </c>
      <c r="K106" s="115">
        <v>359401</v>
      </c>
      <c r="L106" s="116">
        <f t="shared" si="26"/>
        <v>0.15600564813653306</v>
      </c>
      <c r="M106" s="115"/>
      <c r="N106" s="116"/>
    </row>
    <row r="107" spans="2:14" x14ac:dyDescent="0.25">
      <c r="B107" s="114" t="s">
        <v>91</v>
      </c>
      <c r="C107" s="115">
        <v>22402</v>
      </c>
      <c r="D107" s="116">
        <v>-0.93415669308001603</v>
      </c>
      <c r="E107" s="115">
        <v>243010</v>
      </c>
      <c r="F107" s="116">
        <f t="shared" si="23"/>
        <v>9.8476921703419329</v>
      </c>
      <c r="G107" s="115">
        <v>293605</v>
      </c>
      <c r="H107" s="116">
        <f t="shared" si="24"/>
        <v>0.20820130858812402</v>
      </c>
      <c r="I107" s="115">
        <v>376036</v>
      </c>
      <c r="J107" s="116">
        <f t="shared" si="25"/>
        <v>0.28075475553890428</v>
      </c>
      <c r="K107" s="115">
        <v>375511</v>
      </c>
      <c r="L107" s="116">
        <f t="shared" si="26"/>
        <v>-1.3961429224861321E-3</v>
      </c>
      <c r="M107" s="115"/>
      <c r="N107" s="116"/>
    </row>
    <row r="108" spans="2:14" x14ac:dyDescent="0.25">
      <c r="B108" s="114" t="s">
        <v>93</v>
      </c>
      <c r="C108" s="115">
        <v>30566</v>
      </c>
      <c r="D108" s="116">
        <v>-0.91221509971509973</v>
      </c>
      <c r="E108" s="115">
        <v>222205</v>
      </c>
      <c r="F108" s="116">
        <f t="shared" si="23"/>
        <v>6.2696787279984294</v>
      </c>
      <c r="G108" s="115">
        <v>300285</v>
      </c>
      <c r="H108" s="116">
        <f t="shared" si="24"/>
        <v>0.35138723251051962</v>
      </c>
      <c r="I108" s="115">
        <v>355884</v>
      </c>
      <c r="J108" s="116">
        <f t="shared" si="25"/>
        <v>0.18515410360157847</v>
      </c>
      <c r="K108" s="115">
        <v>379417</v>
      </c>
      <c r="L108" s="116">
        <f t="shared" si="26"/>
        <v>6.6125479088691819E-2</v>
      </c>
      <c r="M108" s="115"/>
      <c r="N108" s="116"/>
    </row>
    <row r="109" spans="2:14" ht="15.75" x14ac:dyDescent="0.25">
      <c r="B109" s="117" t="s">
        <v>30</v>
      </c>
      <c r="C109" s="118">
        <v>1074464</v>
      </c>
      <c r="D109" s="119">
        <v>-0.70327895336394075</v>
      </c>
      <c r="E109" s="118">
        <v>1201900</v>
      </c>
      <c r="F109" s="119">
        <f t="shared" si="23"/>
        <v>0.11860425291121901</v>
      </c>
      <c r="G109" s="118">
        <v>2696005</v>
      </c>
      <c r="H109" s="119">
        <f t="shared" si="24"/>
        <v>1.2431192278891756</v>
      </c>
      <c r="I109" s="118">
        <v>3482219</v>
      </c>
      <c r="J109" s="119">
        <f t="shared" si="25"/>
        <v>0.2916218627190974</v>
      </c>
      <c r="K109" s="118">
        <v>4071400</v>
      </c>
      <c r="L109" s="119">
        <f t="shared" si="26"/>
        <v>0.16919699766154861</v>
      </c>
      <c r="M109" s="118">
        <v>407369</v>
      </c>
      <c r="N109" s="119">
        <v>2.3187998101156237E-2</v>
      </c>
    </row>
    <row r="110" spans="2:14" ht="6" customHeight="1" x14ac:dyDescent="0.25"/>
    <row r="111" spans="2:14" x14ac:dyDescent="0.25">
      <c r="B111" s="105" t="s">
        <v>55</v>
      </c>
      <c r="C111" s="105"/>
      <c r="D111" s="105"/>
      <c r="E111" s="105"/>
      <c r="F111" s="105"/>
      <c r="G111" s="105"/>
      <c r="H111" s="105"/>
      <c r="I111" s="105"/>
      <c r="J111" s="105"/>
      <c r="K111" s="105"/>
      <c r="L111" s="105"/>
      <c r="M111" s="105"/>
      <c r="N111" s="105"/>
    </row>
    <row r="112" spans="2:14" x14ac:dyDescent="0.25">
      <c r="C112" s="120"/>
      <c r="K112" s="120"/>
      <c r="N112" s="79"/>
    </row>
    <row r="114" spans="1:15" ht="48.75" customHeight="1" thickBot="1" x14ac:dyDescent="0.3">
      <c r="B114" s="265" t="s">
        <v>275</v>
      </c>
      <c r="C114" s="265"/>
      <c r="D114" s="265"/>
      <c r="E114" s="265"/>
      <c r="F114" s="265"/>
      <c r="G114" s="265"/>
      <c r="H114" s="265"/>
      <c r="I114" s="265"/>
      <c r="J114" s="265"/>
      <c r="K114" s="265"/>
      <c r="L114" s="265"/>
      <c r="M114" s="265"/>
      <c r="N114" s="265"/>
      <c r="O114" s="1" t="s">
        <v>108</v>
      </c>
    </row>
    <row r="115" spans="1:15" ht="10.5" customHeight="1" thickBot="1" x14ac:dyDescent="0.3">
      <c r="B115" s="106"/>
      <c r="C115" s="107"/>
      <c r="D115" s="106"/>
      <c r="E115" s="106"/>
      <c r="F115" s="106"/>
      <c r="G115" s="106"/>
      <c r="H115" s="106"/>
      <c r="I115" s="106"/>
      <c r="J115" s="106"/>
      <c r="K115" s="106"/>
      <c r="L115" s="106"/>
      <c r="M115" s="4"/>
      <c r="N115" s="4"/>
      <c r="O115" s="1" t="s">
        <v>109</v>
      </c>
    </row>
    <row r="116" spans="1:15" ht="22.5" thickTop="1" thickBot="1" x14ac:dyDescent="0.3">
      <c r="B116" s="121" t="str">
        <f>C116</f>
        <v>Reino Unido</v>
      </c>
      <c r="C116" s="290" t="s">
        <v>110</v>
      </c>
      <c r="D116" s="291"/>
      <c r="E116" s="291"/>
      <c r="F116" s="291"/>
      <c r="G116" s="291"/>
      <c r="H116" s="291"/>
      <c r="I116" s="291"/>
      <c r="J116" s="291"/>
      <c r="K116" s="291"/>
      <c r="L116" s="291"/>
      <c r="M116" s="291"/>
      <c r="N116" s="291"/>
    </row>
    <row r="117" spans="1:15" ht="22.5" thickTop="1" thickBot="1" x14ac:dyDescent="0.3">
      <c r="B117" s="109"/>
      <c r="C117" s="292">
        <f>$C$7</f>
        <v>2020</v>
      </c>
      <c r="D117" s="293"/>
      <c r="E117" s="294">
        <f>$E$7</f>
        <v>2021</v>
      </c>
      <c r="F117" s="293"/>
      <c r="G117" s="294">
        <f>$G$7</f>
        <v>2022</v>
      </c>
      <c r="H117" s="293"/>
      <c r="I117" s="294">
        <f>$I$7</f>
        <v>2023</v>
      </c>
      <c r="J117" s="293"/>
      <c r="K117" s="294">
        <f>$K$7</f>
        <v>2024</v>
      </c>
      <c r="L117" s="293"/>
      <c r="M117" s="294">
        <f>$M$7</f>
        <v>2025</v>
      </c>
      <c r="N117" s="295"/>
    </row>
    <row r="118" spans="1:15" ht="16.5" thickTop="1" thickBot="1" x14ac:dyDescent="0.3">
      <c r="B118" s="85"/>
      <c r="C118" s="111" t="s">
        <v>69</v>
      </c>
      <c r="D118" s="112" t="str">
        <f>CONCATENATE("var. ",RIGHT(C117,2),"/",RIGHT(C117-1,2))</f>
        <v>var. 20/19</v>
      </c>
      <c r="E118" s="113" t="s">
        <v>69</v>
      </c>
      <c r="F118" s="112" t="str">
        <f>CONCATENATE("var. ",RIGHT(E117,2),"/",RIGHT(E117-1,2))</f>
        <v>var. 21/20</v>
      </c>
      <c r="G118" s="113" t="s">
        <v>69</v>
      </c>
      <c r="H118" s="112" t="str">
        <f>CONCATENATE("var. ",RIGHT(G117,2),"/",RIGHT(G117-1,2))</f>
        <v>var. 22/21</v>
      </c>
      <c r="I118" s="113" t="s">
        <v>69</v>
      </c>
      <c r="J118" s="112" t="s">
        <v>247</v>
      </c>
      <c r="K118" s="113" t="s">
        <v>69</v>
      </c>
      <c r="L118" s="112" t="s">
        <v>248</v>
      </c>
      <c r="M118" s="113" t="s">
        <v>69</v>
      </c>
      <c r="N118" s="112" t="s">
        <v>271</v>
      </c>
    </row>
    <row r="119" spans="1:15" x14ac:dyDescent="0.25">
      <c r="B119" s="114" t="s">
        <v>71</v>
      </c>
      <c r="C119" s="115">
        <v>56783</v>
      </c>
      <c r="D119" s="116">
        <v>5.9325037777736345E-2</v>
      </c>
      <c r="E119" s="115">
        <v>3948</v>
      </c>
      <c r="F119" s="116">
        <f t="shared" ref="F119:F131" si="28">IFERROR(E119/C119-1,"-")</f>
        <v>-0.93047214835426095</v>
      </c>
      <c r="G119" s="115">
        <v>21971</v>
      </c>
      <c r="H119" s="116">
        <f t="shared" ref="H119:H131" si="29">IFERROR(G119/E119-1,"-")</f>
        <v>4.5650962512664641</v>
      </c>
      <c r="I119" s="115">
        <v>54058</v>
      </c>
      <c r="J119" s="116">
        <f t="shared" ref="J119:J131" si="30">IFERROR(I119/G119-1,"-")</f>
        <v>1.4604251058213098</v>
      </c>
      <c r="K119" s="115">
        <v>70667</v>
      </c>
      <c r="L119" s="116">
        <f t="shared" ref="L119:L131" si="31">IFERROR(K119/I119-1,"-")</f>
        <v>0.30724407118280372</v>
      </c>
      <c r="M119" s="115">
        <v>69055</v>
      </c>
      <c r="N119" s="116">
        <f t="shared" ref="N119" si="32">IFERROR(M119/K119-1,"-")</f>
        <v>-2.2811213154654952E-2</v>
      </c>
    </row>
    <row r="120" spans="1:15" x14ac:dyDescent="0.25">
      <c r="B120" s="114" t="s">
        <v>73</v>
      </c>
      <c r="C120" s="115">
        <v>47712</v>
      </c>
      <c r="D120" s="116">
        <v>-9.495807883455365E-2</v>
      </c>
      <c r="E120" s="115">
        <v>2265</v>
      </c>
      <c r="F120" s="116">
        <f t="shared" si="28"/>
        <v>-0.95252766599597583</v>
      </c>
      <c r="G120" s="115">
        <v>33017</v>
      </c>
      <c r="H120" s="116">
        <f t="shared" si="29"/>
        <v>13.577041942604856</v>
      </c>
      <c r="I120" s="115">
        <v>48665</v>
      </c>
      <c r="J120" s="116">
        <f t="shared" si="30"/>
        <v>0.47393766847381658</v>
      </c>
      <c r="K120" s="115">
        <v>65783</v>
      </c>
      <c r="L120" s="116">
        <f t="shared" si="31"/>
        <v>0.35175177232096999</v>
      </c>
      <c r="M120" s="115"/>
      <c r="N120" s="116"/>
    </row>
    <row r="121" spans="1:15" x14ac:dyDescent="0.25">
      <c r="B121" s="114" t="s">
        <v>75</v>
      </c>
      <c r="C121" s="115">
        <v>27667</v>
      </c>
      <c r="D121" s="116">
        <v>-0.43014562006961754</v>
      </c>
      <c r="E121" s="115">
        <v>2369</v>
      </c>
      <c r="F121" s="116">
        <f t="shared" si="28"/>
        <v>-0.91437452560812515</v>
      </c>
      <c r="G121" s="115">
        <v>42079</v>
      </c>
      <c r="H121" s="116">
        <f t="shared" si="29"/>
        <v>16.762346981848882</v>
      </c>
      <c r="I121" s="115">
        <v>51458</v>
      </c>
      <c r="J121" s="116">
        <f t="shared" si="30"/>
        <v>0.22289027781078441</v>
      </c>
      <c r="K121" s="115">
        <v>67607</v>
      </c>
      <c r="L121" s="116">
        <f t="shared" si="31"/>
        <v>0.31382875354658157</v>
      </c>
      <c r="M121" s="115"/>
      <c r="N121" s="116"/>
    </row>
    <row r="122" spans="1:15" x14ac:dyDescent="0.25">
      <c r="B122" s="114" t="s">
        <v>77</v>
      </c>
      <c r="C122" s="115">
        <v>0</v>
      </c>
      <c r="D122" s="116">
        <v>-1</v>
      </c>
      <c r="E122" s="115">
        <v>631</v>
      </c>
      <c r="F122" s="116" t="str">
        <f t="shared" si="28"/>
        <v>-</v>
      </c>
      <c r="G122" s="115">
        <v>41409</v>
      </c>
      <c r="H122" s="116">
        <f t="shared" si="29"/>
        <v>64.62440570522979</v>
      </c>
      <c r="I122" s="115">
        <v>41501</v>
      </c>
      <c r="J122" s="116">
        <f t="shared" si="30"/>
        <v>2.2217392354320076E-3</v>
      </c>
      <c r="K122" s="115">
        <v>47099</v>
      </c>
      <c r="L122" s="116">
        <f t="shared" si="31"/>
        <v>0.13488831594419404</v>
      </c>
      <c r="M122" s="115"/>
      <c r="N122" s="116"/>
    </row>
    <row r="123" spans="1:15" x14ac:dyDescent="0.25">
      <c r="B123" s="114" t="s">
        <v>79</v>
      </c>
      <c r="C123" s="115">
        <v>0</v>
      </c>
      <c r="D123" s="116">
        <v>-1</v>
      </c>
      <c r="E123" s="115">
        <v>1510</v>
      </c>
      <c r="F123" s="116" t="str">
        <f t="shared" si="28"/>
        <v>-</v>
      </c>
      <c r="G123" s="115">
        <v>28356</v>
      </c>
      <c r="H123" s="116">
        <f t="shared" si="29"/>
        <v>17.778807947019867</v>
      </c>
      <c r="I123" s="115">
        <v>37494</v>
      </c>
      <c r="J123" s="116">
        <f t="shared" si="30"/>
        <v>0.32225983918747358</v>
      </c>
      <c r="K123" s="115">
        <v>47307</v>
      </c>
      <c r="L123" s="116">
        <f t="shared" si="31"/>
        <v>0.26172187550008008</v>
      </c>
      <c r="M123" s="115"/>
      <c r="N123" s="116"/>
    </row>
    <row r="124" spans="1:15" x14ac:dyDescent="0.25">
      <c r="B124" s="114" t="s">
        <v>81</v>
      </c>
      <c r="C124" s="115">
        <v>0</v>
      </c>
      <c r="D124" s="116">
        <v>-1</v>
      </c>
      <c r="E124" s="115">
        <v>2217</v>
      </c>
      <c r="F124" s="116" t="str">
        <f t="shared" si="28"/>
        <v>-</v>
      </c>
      <c r="G124" s="115">
        <v>39494</v>
      </c>
      <c r="H124" s="116">
        <f t="shared" si="29"/>
        <v>16.814163283716734</v>
      </c>
      <c r="I124" s="115">
        <v>44671</v>
      </c>
      <c r="J124" s="116">
        <f t="shared" si="30"/>
        <v>0.13108320251177386</v>
      </c>
      <c r="K124" s="115">
        <v>59447</v>
      </c>
      <c r="L124" s="116">
        <f t="shared" si="31"/>
        <v>0.33077388014595588</v>
      </c>
      <c r="M124" s="115"/>
      <c r="N124" s="116"/>
    </row>
    <row r="125" spans="1:15" x14ac:dyDescent="0.25">
      <c r="B125" s="114" t="s">
        <v>83</v>
      </c>
      <c r="C125" s="115">
        <v>0</v>
      </c>
      <c r="D125" s="116">
        <v>-1</v>
      </c>
      <c r="E125" s="115">
        <v>6240</v>
      </c>
      <c r="F125" s="116" t="str">
        <f t="shared" si="28"/>
        <v>-</v>
      </c>
      <c r="G125" s="115">
        <v>54259</v>
      </c>
      <c r="H125" s="116">
        <f t="shared" si="29"/>
        <v>7.6953525641025635</v>
      </c>
      <c r="I125" s="115">
        <v>61706</v>
      </c>
      <c r="J125" s="116">
        <f t="shared" si="30"/>
        <v>0.13724911996166544</v>
      </c>
      <c r="K125" s="115">
        <v>73992</v>
      </c>
      <c r="L125" s="116">
        <f t="shared" si="31"/>
        <v>0.19910543545198189</v>
      </c>
      <c r="M125" s="115"/>
      <c r="N125" s="116"/>
    </row>
    <row r="126" spans="1:15" x14ac:dyDescent="0.25">
      <c r="B126" s="114" t="s">
        <v>85</v>
      </c>
      <c r="C126" s="115">
        <v>4094</v>
      </c>
      <c r="D126" s="116">
        <v>-0.91327006185916448</v>
      </c>
      <c r="E126" s="115">
        <v>7645</v>
      </c>
      <c r="F126" s="116">
        <f t="shared" si="28"/>
        <v>0.86736687835857351</v>
      </c>
      <c r="G126" s="115">
        <v>55284</v>
      </c>
      <c r="H126" s="116">
        <f t="shared" si="29"/>
        <v>6.2313930673642908</v>
      </c>
      <c r="I126" s="115">
        <v>66954</v>
      </c>
      <c r="J126" s="116">
        <f t="shared" si="30"/>
        <v>0.21109181680052092</v>
      </c>
      <c r="K126" s="115">
        <v>75222</v>
      </c>
      <c r="L126" s="116">
        <f t="shared" si="31"/>
        <v>0.12348776772112191</v>
      </c>
      <c r="M126" s="115"/>
      <c r="N126" s="116"/>
    </row>
    <row r="127" spans="1:15" x14ac:dyDescent="0.25">
      <c r="B127" s="114" t="s">
        <v>87</v>
      </c>
      <c r="C127" s="115">
        <v>4342</v>
      </c>
      <c r="D127" s="116">
        <v>-0.92809353471118172</v>
      </c>
      <c r="E127" s="115">
        <v>14420</v>
      </c>
      <c r="F127" s="116">
        <f t="shared" si="28"/>
        <v>2.3210502072777524</v>
      </c>
      <c r="G127" s="115">
        <v>46875</v>
      </c>
      <c r="H127" s="116">
        <f t="shared" si="29"/>
        <v>2.2506934812760058</v>
      </c>
      <c r="I127" s="115">
        <v>70200</v>
      </c>
      <c r="J127" s="116">
        <f t="shared" si="30"/>
        <v>0.49760000000000004</v>
      </c>
      <c r="K127" s="115">
        <v>77720</v>
      </c>
      <c r="L127" s="116">
        <f t="shared" si="31"/>
        <v>0.10712250712250704</v>
      </c>
      <c r="M127" s="115"/>
      <c r="N127" s="116"/>
    </row>
    <row r="128" spans="1:15" x14ac:dyDescent="0.25">
      <c r="A128" s="120"/>
      <c r="B128" s="114" t="s">
        <v>89</v>
      </c>
      <c r="C128" s="115">
        <v>3047</v>
      </c>
      <c r="D128" s="116">
        <v>-0.94057764689821943</v>
      </c>
      <c r="E128" s="115">
        <v>27428</v>
      </c>
      <c r="F128" s="116">
        <f t="shared" si="28"/>
        <v>8.0016409583196584</v>
      </c>
      <c r="G128" s="115">
        <v>48171</v>
      </c>
      <c r="H128" s="116">
        <f t="shared" si="29"/>
        <v>0.7562709639784162</v>
      </c>
      <c r="I128" s="115">
        <v>66201</v>
      </c>
      <c r="J128" s="116">
        <f t="shared" si="30"/>
        <v>0.37429158622407677</v>
      </c>
      <c r="K128" s="115">
        <v>74256</v>
      </c>
      <c r="L128" s="116">
        <f t="shared" si="31"/>
        <v>0.12167489917070728</v>
      </c>
      <c r="M128" s="115"/>
      <c r="N128" s="116"/>
    </row>
    <row r="129" spans="2:15" x14ac:dyDescent="0.25">
      <c r="B129" s="114" t="s">
        <v>91</v>
      </c>
      <c r="C129" s="115">
        <v>4492</v>
      </c>
      <c r="D129" s="116">
        <v>-0.90552903320784872</v>
      </c>
      <c r="E129" s="115">
        <v>24631</v>
      </c>
      <c r="F129" s="116">
        <f t="shared" si="28"/>
        <v>4.4833036509349959</v>
      </c>
      <c r="G129" s="115">
        <v>45348</v>
      </c>
      <c r="H129" s="116">
        <f t="shared" si="29"/>
        <v>0.84109455564126501</v>
      </c>
      <c r="I129" s="115">
        <v>60886</v>
      </c>
      <c r="J129" s="116">
        <f t="shared" si="30"/>
        <v>0.34263914615859581</v>
      </c>
      <c r="K129" s="115">
        <v>60088</v>
      </c>
      <c r="L129" s="116">
        <f t="shared" si="31"/>
        <v>-1.3106461255460999E-2</v>
      </c>
      <c r="M129" s="115"/>
      <c r="N129" s="116"/>
    </row>
    <row r="130" spans="2:15" x14ac:dyDescent="0.25">
      <c r="B130" s="114" t="s">
        <v>93</v>
      </c>
      <c r="C130" s="115">
        <v>6245</v>
      </c>
      <c r="D130" s="116">
        <v>-0.88416093190628997</v>
      </c>
      <c r="E130" s="115">
        <v>20997</v>
      </c>
      <c r="F130" s="116">
        <f t="shared" si="28"/>
        <v>2.3622097678142513</v>
      </c>
      <c r="G130" s="115">
        <v>47781</v>
      </c>
      <c r="H130" s="116">
        <f t="shared" si="29"/>
        <v>1.2756108015430776</v>
      </c>
      <c r="I130" s="115">
        <v>62747</v>
      </c>
      <c r="J130" s="116">
        <f t="shared" si="30"/>
        <v>0.31322073627592562</v>
      </c>
      <c r="K130" s="115">
        <v>67375</v>
      </c>
      <c r="L130" s="116">
        <f t="shared" si="31"/>
        <v>7.3756514255661543E-2</v>
      </c>
      <c r="M130" s="115"/>
      <c r="N130" s="116"/>
    </row>
    <row r="131" spans="2:15" ht="15.75" x14ac:dyDescent="0.25">
      <c r="B131" s="117" t="s">
        <v>30</v>
      </c>
      <c r="C131" s="118">
        <v>163077</v>
      </c>
      <c r="D131" s="119">
        <v>-0.71633059886864126</v>
      </c>
      <c r="E131" s="118">
        <v>114301</v>
      </c>
      <c r="F131" s="119">
        <f t="shared" si="28"/>
        <v>-0.29909797212359801</v>
      </c>
      <c r="G131" s="118">
        <v>504044</v>
      </c>
      <c r="H131" s="119">
        <f t="shared" si="29"/>
        <v>3.4097951898933516</v>
      </c>
      <c r="I131" s="118">
        <v>666541</v>
      </c>
      <c r="J131" s="119">
        <f t="shared" si="30"/>
        <v>0.32238653768321823</v>
      </c>
      <c r="K131" s="118">
        <v>786563</v>
      </c>
      <c r="L131" s="119">
        <f t="shared" si="31"/>
        <v>0.18006694261868361</v>
      </c>
      <c r="M131" s="118">
        <v>69055</v>
      </c>
      <c r="N131" s="119">
        <v>-2.2811213154654952E-2</v>
      </c>
    </row>
    <row r="132" spans="2:15" ht="6" customHeight="1" x14ac:dyDescent="0.25"/>
    <row r="133" spans="2:15" x14ac:dyDescent="0.25">
      <c r="B133" s="105" t="s">
        <v>55</v>
      </c>
      <c r="C133" s="105"/>
      <c r="D133" s="105"/>
      <c r="E133" s="105"/>
      <c r="F133" s="105"/>
      <c r="G133" s="105"/>
      <c r="H133" s="105"/>
      <c r="I133" s="105"/>
      <c r="J133" s="105"/>
      <c r="K133" s="105"/>
      <c r="L133" s="105"/>
      <c r="M133" s="105"/>
      <c r="N133" s="105"/>
    </row>
    <row r="134" spans="2:15" x14ac:dyDescent="0.25">
      <c r="C134" s="120"/>
      <c r="K134" s="120"/>
      <c r="N134" s="79"/>
    </row>
    <row r="136" spans="2:15" ht="48.75" customHeight="1" thickBot="1" x14ac:dyDescent="0.3">
      <c r="B136" s="265" t="s">
        <v>276</v>
      </c>
      <c r="C136" s="265"/>
      <c r="D136" s="265"/>
      <c r="E136" s="265"/>
      <c r="F136" s="265"/>
      <c r="G136" s="265"/>
      <c r="H136" s="265"/>
      <c r="I136" s="265"/>
      <c r="J136" s="265"/>
      <c r="K136" s="265"/>
      <c r="L136" s="265"/>
      <c r="M136" s="265"/>
      <c r="N136" s="265"/>
      <c r="O136" s="1" t="s">
        <v>111</v>
      </c>
    </row>
    <row r="137" spans="2:15" ht="10.5" customHeight="1" thickBot="1" x14ac:dyDescent="0.3">
      <c r="B137" s="106"/>
      <c r="C137" s="107"/>
      <c r="D137" s="106"/>
      <c r="E137" s="106"/>
      <c r="F137" s="106"/>
      <c r="G137" s="106"/>
      <c r="H137" s="106"/>
      <c r="I137" s="106"/>
      <c r="J137" s="106"/>
      <c r="K137" s="106"/>
      <c r="L137" s="106"/>
      <c r="M137" s="4"/>
      <c r="N137" s="4"/>
      <c r="O137" s="1" t="s">
        <v>112</v>
      </c>
    </row>
    <row r="138" spans="2:15" ht="22.5" thickTop="1" thickBot="1" x14ac:dyDescent="0.3">
      <c r="B138" s="121" t="str">
        <f>C138</f>
        <v>Alemania</v>
      </c>
      <c r="C138" s="290" t="s">
        <v>113</v>
      </c>
      <c r="D138" s="291"/>
      <c r="E138" s="291"/>
      <c r="F138" s="291"/>
      <c r="G138" s="291"/>
      <c r="H138" s="291"/>
      <c r="I138" s="291"/>
      <c r="J138" s="291"/>
      <c r="K138" s="291"/>
      <c r="L138" s="291"/>
      <c r="M138" s="291"/>
      <c r="N138" s="291"/>
    </row>
    <row r="139" spans="2:15" ht="22.5" thickTop="1" thickBot="1" x14ac:dyDescent="0.3">
      <c r="B139" s="109"/>
      <c r="C139" s="292">
        <f>$C$7</f>
        <v>2020</v>
      </c>
      <c r="D139" s="293"/>
      <c r="E139" s="294">
        <f>$E$7</f>
        <v>2021</v>
      </c>
      <c r="F139" s="293"/>
      <c r="G139" s="294">
        <f>$G$7</f>
        <v>2022</v>
      </c>
      <c r="H139" s="293"/>
      <c r="I139" s="294">
        <f>$I$7</f>
        <v>2023</v>
      </c>
      <c r="J139" s="293"/>
      <c r="K139" s="294">
        <f>$K$7</f>
        <v>2024</v>
      </c>
      <c r="L139" s="293"/>
      <c r="M139" s="294">
        <f>$M$7</f>
        <v>2025</v>
      </c>
      <c r="N139" s="295"/>
    </row>
    <row r="140" spans="2:15" ht="16.5" thickTop="1" thickBot="1" x14ac:dyDescent="0.3">
      <c r="B140" s="85"/>
      <c r="C140" s="111" t="s">
        <v>69</v>
      </c>
      <c r="D140" s="112" t="str">
        <f>CONCATENATE("var. ",RIGHT(C139,2),"/",RIGHT(C139-1,2))</f>
        <v>var. 20/19</v>
      </c>
      <c r="E140" s="113" t="s">
        <v>69</v>
      </c>
      <c r="F140" s="112" t="str">
        <f>CONCATENATE("var. ",RIGHT(E139,2),"/",RIGHT(E139-1,2))</f>
        <v>var. 21/20</v>
      </c>
      <c r="G140" s="113" t="s">
        <v>69</v>
      </c>
      <c r="H140" s="112" t="str">
        <f>CONCATENATE("var. ",RIGHT(G139,2),"/",RIGHT(G139-1,2))</f>
        <v>var. 22/21</v>
      </c>
      <c r="I140" s="113" t="s">
        <v>69</v>
      </c>
      <c r="J140" s="112" t="s">
        <v>247</v>
      </c>
      <c r="K140" s="113" t="s">
        <v>69</v>
      </c>
      <c r="L140" s="112" t="s">
        <v>248</v>
      </c>
      <c r="M140" s="113" t="s">
        <v>69</v>
      </c>
      <c r="N140" s="112" t="s">
        <v>271</v>
      </c>
    </row>
    <row r="141" spans="2:15" x14ac:dyDescent="0.25">
      <c r="B141" s="114" t="s">
        <v>71</v>
      </c>
      <c r="C141" s="115">
        <v>164737</v>
      </c>
      <c r="D141" s="116">
        <v>-0.13267557137366603</v>
      </c>
      <c r="E141" s="115">
        <v>8497</v>
      </c>
      <c r="F141" s="116">
        <f t="shared" ref="F141:F153" si="33">IFERROR(E141/C141-1,"-")</f>
        <v>-0.94842081621008034</v>
      </c>
      <c r="G141" s="115">
        <v>86286</v>
      </c>
      <c r="H141" s="116">
        <f t="shared" ref="H141:H153" si="34">IFERROR(G141/E141-1,"-")</f>
        <v>9.1548781923031655</v>
      </c>
      <c r="I141" s="115">
        <v>147240</v>
      </c>
      <c r="J141" s="116">
        <f t="shared" ref="J141:J153" si="35">IFERROR(I141/G141-1,"-")</f>
        <v>0.70641819066824274</v>
      </c>
      <c r="K141" s="115">
        <v>155725</v>
      </c>
      <c r="L141" s="116">
        <f t="shared" ref="L141:L153" si="36">IFERROR(K141/I141-1,"-")</f>
        <v>5.7627003531649068E-2</v>
      </c>
      <c r="M141" s="115">
        <v>156499</v>
      </c>
      <c r="N141" s="116">
        <f t="shared" ref="N141" si="37">IFERROR(M141/K141-1,"-")</f>
        <v>4.9703002087011505E-3</v>
      </c>
    </row>
    <row r="142" spans="2:15" x14ac:dyDescent="0.25">
      <c r="B142" s="114" t="s">
        <v>73</v>
      </c>
      <c r="C142" s="115">
        <v>143791</v>
      </c>
      <c r="D142" s="116">
        <v>-6.3324039814477096E-2</v>
      </c>
      <c r="E142" s="115">
        <v>5982</v>
      </c>
      <c r="F142" s="116">
        <f t="shared" si="33"/>
        <v>-0.95839795258395866</v>
      </c>
      <c r="G142" s="115">
        <v>80561</v>
      </c>
      <c r="H142" s="116">
        <f t="shared" si="34"/>
        <v>12.467235038448679</v>
      </c>
      <c r="I142" s="115">
        <v>124021</v>
      </c>
      <c r="J142" s="116">
        <f t="shared" si="35"/>
        <v>0.53946698774841417</v>
      </c>
      <c r="K142" s="115">
        <v>152616</v>
      </c>
      <c r="L142" s="116">
        <f t="shared" si="36"/>
        <v>0.2305657912772836</v>
      </c>
      <c r="M142" s="115"/>
      <c r="N142" s="116"/>
    </row>
    <row r="143" spans="2:15" x14ac:dyDescent="0.25">
      <c r="B143" s="114" t="s">
        <v>75</v>
      </c>
      <c r="C143" s="115">
        <v>74925</v>
      </c>
      <c r="D143" s="116">
        <v>-0.51720782777351781</v>
      </c>
      <c r="E143" s="115">
        <v>7174</v>
      </c>
      <c r="F143" s="116">
        <f t="shared" si="33"/>
        <v>-0.90425091758425091</v>
      </c>
      <c r="G143" s="115">
        <v>98445</v>
      </c>
      <c r="H143" s="116">
        <f t="shared" si="34"/>
        <v>12.722470030666296</v>
      </c>
      <c r="I143" s="115">
        <v>121326</v>
      </c>
      <c r="J143" s="116">
        <f t="shared" si="35"/>
        <v>0.23242419625171418</v>
      </c>
      <c r="K143" s="115">
        <v>150045</v>
      </c>
      <c r="L143" s="116">
        <f t="shared" si="36"/>
        <v>0.23670936155481925</v>
      </c>
      <c r="M143" s="115"/>
      <c r="N143" s="116"/>
    </row>
    <row r="144" spans="2:15" x14ac:dyDescent="0.25">
      <c r="B144" s="114" t="s">
        <v>77</v>
      </c>
      <c r="C144" s="115">
        <v>0</v>
      </c>
      <c r="D144" s="116">
        <v>-1</v>
      </c>
      <c r="E144" s="115">
        <v>6219</v>
      </c>
      <c r="F144" s="116" t="str">
        <f t="shared" si="33"/>
        <v>-</v>
      </c>
      <c r="G144" s="115">
        <v>80247</v>
      </c>
      <c r="H144" s="116">
        <f t="shared" si="34"/>
        <v>11.903521466473709</v>
      </c>
      <c r="I144" s="115">
        <v>86889</v>
      </c>
      <c r="J144" s="116">
        <f t="shared" si="35"/>
        <v>8.2769449325208466E-2</v>
      </c>
      <c r="K144" s="115">
        <v>106843</v>
      </c>
      <c r="L144" s="116">
        <f t="shared" si="36"/>
        <v>0.2296493226990759</v>
      </c>
      <c r="M144" s="115"/>
      <c r="N144" s="116"/>
    </row>
    <row r="145" spans="1:15" x14ac:dyDescent="0.25">
      <c r="B145" s="114" t="s">
        <v>79</v>
      </c>
      <c r="C145" s="115">
        <v>0</v>
      </c>
      <c r="D145" s="116">
        <v>-1</v>
      </c>
      <c r="E145" s="115">
        <v>9110</v>
      </c>
      <c r="F145" s="116" t="str">
        <f t="shared" si="33"/>
        <v>-</v>
      </c>
      <c r="G145" s="115">
        <v>63199</v>
      </c>
      <c r="H145" s="116">
        <f t="shared" si="34"/>
        <v>5.9373216245883649</v>
      </c>
      <c r="I145" s="115">
        <v>71295</v>
      </c>
      <c r="J145" s="116">
        <f t="shared" si="35"/>
        <v>0.12810329277361987</v>
      </c>
      <c r="K145" s="115">
        <v>87638</v>
      </c>
      <c r="L145" s="116">
        <f t="shared" si="36"/>
        <v>0.22923066133669967</v>
      </c>
      <c r="M145" s="115"/>
      <c r="N145" s="116"/>
    </row>
    <row r="146" spans="1:15" x14ac:dyDescent="0.25">
      <c r="B146" s="114" t="s">
        <v>81</v>
      </c>
      <c r="C146" s="115">
        <v>0</v>
      </c>
      <c r="D146" s="116">
        <v>-1</v>
      </c>
      <c r="E146" s="115">
        <v>18070</v>
      </c>
      <c r="F146" s="116" t="str">
        <f t="shared" si="33"/>
        <v>-</v>
      </c>
      <c r="G146" s="115">
        <v>67149</v>
      </c>
      <c r="H146" s="116">
        <f t="shared" si="34"/>
        <v>2.7160486995019371</v>
      </c>
      <c r="I146" s="115">
        <v>68057</v>
      </c>
      <c r="J146" s="116">
        <f t="shared" si="35"/>
        <v>1.3522167120880502E-2</v>
      </c>
      <c r="K146" s="115">
        <v>81325</v>
      </c>
      <c r="L146" s="116">
        <f t="shared" si="36"/>
        <v>0.19495422954288322</v>
      </c>
      <c r="M146" s="115"/>
      <c r="N146" s="116"/>
    </row>
    <row r="147" spans="1:15" x14ac:dyDescent="0.25">
      <c r="B147" s="114" t="s">
        <v>83</v>
      </c>
      <c r="C147" s="115">
        <v>0</v>
      </c>
      <c r="D147" s="116">
        <v>-1</v>
      </c>
      <c r="E147" s="115">
        <v>31188</v>
      </c>
      <c r="F147" s="116" t="str">
        <f t="shared" si="33"/>
        <v>-</v>
      </c>
      <c r="G147" s="115">
        <v>65143</v>
      </c>
      <c r="H147" s="116">
        <f t="shared" si="34"/>
        <v>1.088720020520713</v>
      </c>
      <c r="I147" s="115">
        <v>61051</v>
      </c>
      <c r="J147" s="116">
        <f t="shared" si="35"/>
        <v>-6.2815651720061982E-2</v>
      </c>
      <c r="K147" s="115">
        <v>76623</v>
      </c>
      <c r="L147" s="116">
        <f t="shared" si="36"/>
        <v>0.25506543709357743</v>
      </c>
      <c r="M147" s="115"/>
      <c r="N147" s="116"/>
    </row>
    <row r="148" spans="1:15" x14ac:dyDescent="0.25">
      <c r="B148" s="114" t="s">
        <v>85</v>
      </c>
      <c r="C148" s="115">
        <v>18885</v>
      </c>
      <c r="D148" s="116">
        <v>-0.83020903573836824</v>
      </c>
      <c r="E148" s="115">
        <v>38422</v>
      </c>
      <c r="F148" s="116">
        <f t="shared" si="33"/>
        <v>1.0345247550966374</v>
      </c>
      <c r="G148" s="115">
        <v>66358</v>
      </c>
      <c r="H148" s="116">
        <f t="shared" si="34"/>
        <v>0.72708344177814799</v>
      </c>
      <c r="I148" s="115">
        <v>65688</v>
      </c>
      <c r="J148" s="116">
        <f t="shared" si="35"/>
        <v>-1.0096747942975992E-2</v>
      </c>
      <c r="K148" s="115">
        <v>68793</v>
      </c>
      <c r="L148" s="116">
        <f t="shared" si="36"/>
        <v>4.7268907563025264E-2</v>
      </c>
      <c r="M148" s="115"/>
      <c r="N148" s="116"/>
    </row>
    <row r="149" spans="1:15" x14ac:dyDescent="0.25">
      <c r="B149" s="114" t="s">
        <v>87</v>
      </c>
      <c r="C149" s="115">
        <v>4527</v>
      </c>
      <c r="D149" s="116">
        <v>-0.96273644699800798</v>
      </c>
      <c r="E149" s="115">
        <v>60509</v>
      </c>
      <c r="F149" s="116">
        <f t="shared" si="33"/>
        <v>12.366246962668434</v>
      </c>
      <c r="G149" s="115">
        <v>81698</v>
      </c>
      <c r="H149" s="116">
        <f t="shared" si="34"/>
        <v>0.35017931216843778</v>
      </c>
      <c r="I149" s="115">
        <v>87257</v>
      </c>
      <c r="J149" s="116">
        <f t="shared" si="35"/>
        <v>6.8043281353276752E-2</v>
      </c>
      <c r="K149" s="115">
        <v>95768</v>
      </c>
      <c r="L149" s="116">
        <f t="shared" si="36"/>
        <v>9.7539452422155337E-2</v>
      </c>
      <c r="M149" s="115"/>
      <c r="N149" s="116"/>
    </row>
    <row r="150" spans="1:15" x14ac:dyDescent="0.25">
      <c r="A150" s="120"/>
      <c r="B150" s="114" t="s">
        <v>89</v>
      </c>
      <c r="C150" s="115">
        <v>2230</v>
      </c>
      <c r="D150" s="116">
        <v>-0.98087511363441449</v>
      </c>
      <c r="E150" s="115">
        <v>79348</v>
      </c>
      <c r="F150" s="116">
        <f t="shared" si="33"/>
        <v>34.582062780269055</v>
      </c>
      <c r="G150" s="115">
        <v>81267</v>
      </c>
      <c r="H150" s="116">
        <f t="shared" si="34"/>
        <v>2.4184604526894082E-2</v>
      </c>
      <c r="I150" s="115">
        <v>95060</v>
      </c>
      <c r="J150" s="116">
        <f t="shared" si="35"/>
        <v>0.16972448841473176</v>
      </c>
      <c r="K150" s="115">
        <v>109949</v>
      </c>
      <c r="L150" s="116">
        <f t="shared" si="36"/>
        <v>0.15662739322533148</v>
      </c>
      <c r="M150" s="115"/>
      <c r="N150" s="116"/>
    </row>
    <row r="151" spans="1:15" x14ac:dyDescent="0.25">
      <c r="B151" s="114" t="s">
        <v>91</v>
      </c>
      <c r="C151" s="115">
        <v>11037</v>
      </c>
      <c r="D151" s="116">
        <v>-0.92434192486975597</v>
      </c>
      <c r="E151" s="115">
        <v>113393</v>
      </c>
      <c r="F151" s="116">
        <f t="shared" si="33"/>
        <v>9.2738968922714502</v>
      </c>
      <c r="G151" s="115">
        <v>123598</v>
      </c>
      <c r="H151" s="116">
        <f t="shared" si="34"/>
        <v>8.9996737011984962E-2</v>
      </c>
      <c r="I151" s="115">
        <v>146312</v>
      </c>
      <c r="J151" s="116">
        <f t="shared" si="35"/>
        <v>0.18377320021359567</v>
      </c>
      <c r="K151" s="115">
        <v>147372</v>
      </c>
      <c r="L151" s="116">
        <f t="shared" si="36"/>
        <v>7.2447919514462278E-3</v>
      </c>
      <c r="M151" s="115"/>
      <c r="N151" s="116"/>
    </row>
    <row r="152" spans="1:15" x14ac:dyDescent="0.25">
      <c r="B152" s="114" t="s">
        <v>93</v>
      </c>
      <c r="C152" s="115">
        <v>12813</v>
      </c>
      <c r="D152" s="116">
        <v>-0.91560622826430604</v>
      </c>
      <c r="E152" s="115">
        <v>100325</v>
      </c>
      <c r="F152" s="116">
        <f t="shared" si="33"/>
        <v>6.8299383438695074</v>
      </c>
      <c r="G152" s="115">
        <v>120073</v>
      </c>
      <c r="H152" s="116">
        <f t="shared" si="34"/>
        <v>0.19684026912534258</v>
      </c>
      <c r="I152" s="115">
        <v>136634</v>
      </c>
      <c r="J152" s="116">
        <f t="shared" si="35"/>
        <v>0.13792442930550575</v>
      </c>
      <c r="K152" s="115">
        <v>141819</v>
      </c>
      <c r="L152" s="116">
        <f t="shared" si="36"/>
        <v>3.7948094910490893E-2</v>
      </c>
      <c r="M152" s="115"/>
      <c r="N152" s="116"/>
    </row>
    <row r="153" spans="1:15" ht="15.75" x14ac:dyDescent="0.25">
      <c r="B153" s="117" t="s">
        <v>30</v>
      </c>
      <c r="C153" s="118">
        <v>445011</v>
      </c>
      <c r="D153" s="119">
        <v>-0.71524562816861392</v>
      </c>
      <c r="E153" s="118">
        <v>478237</v>
      </c>
      <c r="F153" s="119">
        <f t="shared" si="33"/>
        <v>7.4663322929096054E-2</v>
      </c>
      <c r="G153" s="118">
        <v>1014024</v>
      </c>
      <c r="H153" s="119">
        <f t="shared" si="34"/>
        <v>1.1203378241332227</v>
      </c>
      <c r="I153" s="118">
        <v>1210830</v>
      </c>
      <c r="J153" s="119">
        <f t="shared" si="35"/>
        <v>0.1940841636884334</v>
      </c>
      <c r="K153" s="118">
        <v>1374516</v>
      </c>
      <c r="L153" s="119">
        <f t="shared" si="36"/>
        <v>0.13518495577413847</v>
      </c>
      <c r="M153" s="118">
        <v>156499</v>
      </c>
      <c r="N153" s="119">
        <v>4.9703002087011505E-3</v>
      </c>
    </row>
    <row r="154" spans="1:15" ht="6" customHeight="1" x14ac:dyDescent="0.25"/>
    <row r="155" spans="1:15" x14ac:dyDescent="0.25">
      <c r="B155" s="105" t="s">
        <v>55</v>
      </c>
      <c r="C155" s="105"/>
      <c r="D155" s="105"/>
      <c r="E155" s="105"/>
      <c r="F155" s="105"/>
      <c r="G155" s="105"/>
      <c r="H155" s="105"/>
      <c r="I155" s="105"/>
      <c r="J155" s="105"/>
      <c r="K155" s="105"/>
      <c r="L155" s="105"/>
      <c r="M155" s="105"/>
      <c r="N155" s="105"/>
    </row>
    <row r="156" spans="1:15" x14ac:dyDescent="0.25">
      <c r="C156" s="120"/>
      <c r="K156" s="120"/>
      <c r="N156" s="79"/>
    </row>
    <row r="158" spans="1:15" ht="48.75" customHeight="1" thickBot="1" x14ac:dyDescent="0.3">
      <c r="B158" s="265" t="s">
        <v>277</v>
      </c>
      <c r="C158" s="265"/>
      <c r="D158" s="265"/>
      <c r="E158" s="265"/>
      <c r="F158" s="265"/>
      <c r="G158" s="265"/>
      <c r="H158" s="265"/>
      <c r="I158" s="265"/>
      <c r="J158" s="265"/>
      <c r="K158" s="265"/>
      <c r="L158" s="265"/>
      <c r="M158" s="265"/>
      <c r="N158" s="265"/>
      <c r="O158" s="1" t="s">
        <v>114</v>
      </c>
    </row>
    <row r="159" spans="1:15" ht="10.5" customHeight="1" thickBot="1" x14ac:dyDescent="0.3">
      <c r="B159" s="106"/>
      <c r="C159" s="107"/>
      <c r="D159" s="106"/>
      <c r="E159" s="106"/>
      <c r="F159" s="106"/>
      <c r="G159" s="106"/>
      <c r="H159" s="106"/>
      <c r="I159" s="106"/>
      <c r="J159" s="106"/>
      <c r="K159" s="106"/>
      <c r="L159" s="106"/>
      <c r="M159" s="4"/>
      <c r="N159" s="4"/>
      <c r="O159" s="1" t="s">
        <v>115</v>
      </c>
    </row>
    <row r="160" spans="1:15" ht="22.5" thickTop="1" thickBot="1" x14ac:dyDescent="0.3">
      <c r="B160" s="121" t="str">
        <f>C160</f>
        <v>Francia</v>
      </c>
      <c r="C160" s="290" t="s">
        <v>116</v>
      </c>
      <c r="D160" s="291"/>
      <c r="E160" s="291"/>
      <c r="F160" s="291"/>
      <c r="G160" s="291"/>
      <c r="H160" s="291"/>
      <c r="I160" s="291"/>
      <c r="J160" s="291"/>
      <c r="K160" s="291"/>
      <c r="L160" s="291"/>
      <c r="M160" s="291"/>
      <c r="N160" s="291"/>
    </row>
    <row r="161" spans="2:14" ht="22.5" thickTop="1" thickBot="1" x14ac:dyDescent="0.3">
      <c r="B161" s="109"/>
      <c r="C161" s="292">
        <f>$C$7</f>
        <v>2020</v>
      </c>
      <c r="D161" s="293"/>
      <c r="E161" s="294">
        <f>$E$7</f>
        <v>2021</v>
      </c>
      <c r="F161" s="293"/>
      <c r="G161" s="294">
        <f>$G$7</f>
        <v>2022</v>
      </c>
      <c r="H161" s="293"/>
      <c r="I161" s="294">
        <f>$I$7</f>
        <v>2023</v>
      </c>
      <c r="J161" s="293"/>
      <c r="K161" s="294">
        <f>$K$7</f>
        <v>2024</v>
      </c>
      <c r="L161" s="293"/>
      <c r="M161" s="294">
        <f>$M$7</f>
        <v>2025</v>
      </c>
      <c r="N161" s="295"/>
    </row>
    <row r="162" spans="2:14" ht="16.5" thickTop="1" thickBot="1" x14ac:dyDescent="0.3">
      <c r="B162" s="85"/>
      <c r="C162" s="111" t="s">
        <v>69</v>
      </c>
      <c r="D162" s="112" t="str">
        <f>CONCATENATE("var. ",RIGHT(C161,2),"/",RIGHT(C161-1,2))</f>
        <v>var. 20/19</v>
      </c>
      <c r="E162" s="113" t="s">
        <v>69</v>
      </c>
      <c r="F162" s="112" t="str">
        <f>CONCATENATE("var. ",RIGHT(E161,2),"/",RIGHT(E161-1,2))</f>
        <v>var. 21/20</v>
      </c>
      <c r="G162" s="113" t="s">
        <v>69</v>
      </c>
      <c r="H162" s="112" t="str">
        <f>CONCATENATE("var. ",RIGHT(G161,2),"/",RIGHT(G161-1,2))</f>
        <v>var. 22/21</v>
      </c>
      <c r="I162" s="113" t="s">
        <v>69</v>
      </c>
      <c r="J162" s="112" t="s">
        <v>247</v>
      </c>
      <c r="K162" s="113" t="s">
        <v>69</v>
      </c>
      <c r="L162" s="112" t="s">
        <v>248</v>
      </c>
      <c r="M162" s="113" t="s">
        <v>69</v>
      </c>
      <c r="N162" s="112" t="s">
        <v>271</v>
      </c>
    </row>
    <row r="163" spans="2:14" x14ac:dyDescent="0.25">
      <c r="B163" s="114" t="s">
        <v>71</v>
      </c>
      <c r="C163" s="115">
        <v>12838</v>
      </c>
      <c r="D163" s="116">
        <v>6.468734450157565E-2</v>
      </c>
      <c r="E163" s="115">
        <v>2725</v>
      </c>
      <c r="F163" s="116">
        <f t="shared" ref="F163:F175" si="38">IFERROR(E163/C163-1,"-")</f>
        <v>-0.78773952329023211</v>
      </c>
      <c r="G163" s="115">
        <v>9584</v>
      </c>
      <c r="H163" s="116">
        <f t="shared" ref="H163:H175" si="39">IFERROR(G163/E163-1,"-")</f>
        <v>2.5170642201834861</v>
      </c>
      <c r="I163" s="115">
        <v>18854</v>
      </c>
      <c r="J163" s="116">
        <f t="shared" ref="J163:J175" si="40">IFERROR(I163/G163-1,"-")</f>
        <v>0.96723706176961599</v>
      </c>
      <c r="K163" s="115">
        <v>25326</v>
      </c>
      <c r="L163" s="116">
        <f t="shared" ref="L163:L175" si="41">IFERROR(K163/I163-1,"-")</f>
        <v>0.34326933276758242</v>
      </c>
      <c r="M163" s="115">
        <v>28658</v>
      </c>
      <c r="N163" s="116">
        <f t="shared" ref="N163" si="42">IFERROR(M163/K163-1,"-")</f>
        <v>0.13156440022111671</v>
      </c>
    </row>
    <row r="164" spans="2:14" x14ac:dyDescent="0.25">
      <c r="B164" s="114" t="s">
        <v>73</v>
      </c>
      <c r="C164" s="115">
        <v>16806</v>
      </c>
      <c r="D164" s="116">
        <v>0.43555137951652867</v>
      </c>
      <c r="E164" s="115">
        <v>2722</v>
      </c>
      <c r="F164" s="116">
        <f t="shared" si="38"/>
        <v>-0.83803403546352495</v>
      </c>
      <c r="G164" s="115">
        <v>15037</v>
      </c>
      <c r="H164" s="116">
        <f t="shared" si="39"/>
        <v>4.5242468772961058</v>
      </c>
      <c r="I164" s="115">
        <v>20151</v>
      </c>
      <c r="J164" s="116">
        <f t="shared" si="40"/>
        <v>0.34009443373013237</v>
      </c>
      <c r="K164" s="115">
        <v>30435</v>
      </c>
      <c r="L164" s="116">
        <f t="shared" si="41"/>
        <v>0.5103468810480869</v>
      </c>
      <c r="M164" s="115"/>
      <c r="N164" s="116"/>
    </row>
    <row r="165" spans="2:14" x14ac:dyDescent="0.25">
      <c r="B165" s="114" t="s">
        <v>75</v>
      </c>
      <c r="C165" s="115">
        <v>6098</v>
      </c>
      <c r="D165" s="116">
        <v>-0.46737706349899555</v>
      </c>
      <c r="E165" s="115">
        <v>5410</v>
      </c>
      <c r="F165" s="116">
        <f t="shared" si="38"/>
        <v>-0.11282387668087901</v>
      </c>
      <c r="G165" s="115">
        <v>18097</v>
      </c>
      <c r="H165" s="116">
        <f t="shared" si="39"/>
        <v>2.3451016635859521</v>
      </c>
      <c r="I165" s="115">
        <v>23354</v>
      </c>
      <c r="J165" s="116">
        <f t="shared" si="40"/>
        <v>0.29049013648671052</v>
      </c>
      <c r="K165" s="115">
        <v>33158</v>
      </c>
      <c r="L165" s="116">
        <f t="shared" si="41"/>
        <v>0.41979960606320121</v>
      </c>
      <c r="M165" s="115"/>
      <c r="N165" s="116"/>
    </row>
    <row r="166" spans="2:14" x14ac:dyDescent="0.25">
      <c r="B166" s="114" t="s">
        <v>77</v>
      </c>
      <c r="C166" s="115">
        <v>0</v>
      </c>
      <c r="D166" s="116">
        <v>-1</v>
      </c>
      <c r="E166" s="115">
        <v>2655</v>
      </c>
      <c r="F166" s="116" t="str">
        <f t="shared" si="38"/>
        <v>-</v>
      </c>
      <c r="G166" s="115">
        <v>18742</v>
      </c>
      <c r="H166" s="116">
        <f t="shared" si="39"/>
        <v>6.0591337099811673</v>
      </c>
      <c r="I166" s="115">
        <v>23096</v>
      </c>
      <c r="J166" s="116">
        <f t="shared" si="40"/>
        <v>0.23231245331341377</v>
      </c>
      <c r="K166" s="115">
        <v>32463</v>
      </c>
      <c r="L166" s="116">
        <f t="shared" si="41"/>
        <v>0.4055680637339798</v>
      </c>
      <c r="M166" s="115"/>
      <c r="N166" s="116"/>
    </row>
    <row r="167" spans="2:14" x14ac:dyDescent="0.25">
      <c r="B167" s="114" t="s">
        <v>79</v>
      </c>
      <c r="C167" s="115">
        <v>0</v>
      </c>
      <c r="D167" s="116">
        <v>-1</v>
      </c>
      <c r="E167" s="115">
        <v>6118</v>
      </c>
      <c r="F167" s="116" t="str">
        <f t="shared" si="38"/>
        <v>-</v>
      </c>
      <c r="G167" s="115">
        <v>12742</v>
      </c>
      <c r="H167" s="116">
        <f t="shared" si="39"/>
        <v>1.0827067669172932</v>
      </c>
      <c r="I167" s="115">
        <v>16668</v>
      </c>
      <c r="J167" s="116">
        <f t="shared" si="40"/>
        <v>0.30811489562078176</v>
      </c>
      <c r="K167" s="115">
        <v>30513</v>
      </c>
      <c r="L167" s="116">
        <f t="shared" si="41"/>
        <v>0.83063354931605482</v>
      </c>
      <c r="M167" s="115"/>
      <c r="N167" s="116"/>
    </row>
    <row r="168" spans="2:14" x14ac:dyDescent="0.25">
      <c r="B168" s="114" t="s">
        <v>81</v>
      </c>
      <c r="C168" s="115">
        <v>0</v>
      </c>
      <c r="D168" s="116">
        <v>-1</v>
      </c>
      <c r="E168" s="115">
        <v>6244</v>
      </c>
      <c r="F168" s="116" t="str">
        <f t="shared" si="38"/>
        <v>-</v>
      </c>
      <c r="G168" s="115">
        <v>10927</v>
      </c>
      <c r="H168" s="116">
        <f t="shared" si="39"/>
        <v>0.75</v>
      </c>
      <c r="I168" s="115">
        <v>16599</v>
      </c>
      <c r="J168" s="116">
        <f t="shared" si="40"/>
        <v>0.51908117507092522</v>
      </c>
      <c r="K168" s="115">
        <v>31108</v>
      </c>
      <c r="L168" s="116">
        <f t="shared" si="41"/>
        <v>0.87408880053015237</v>
      </c>
      <c r="M168" s="115"/>
      <c r="N168" s="116"/>
    </row>
    <row r="169" spans="2:14" x14ac:dyDescent="0.25">
      <c r="B169" s="114" t="s">
        <v>83</v>
      </c>
      <c r="C169" s="115">
        <v>0</v>
      </c>
      <c r="D169" s="116">
        <v>-1</v>
      </c>
      <c r="E169" s="115">
        <v>11639</v>
      </c>
      <c r="F169" s="116" t="str">
        <f t="shared" si="38"/>
        <v>-</v>
      </c>
      <c r="G169" s="115">
        <v>15423</v>
      </c>
      <c r="H169" s="116">
        <f t="shared" si="39"/>
        <v>0.32511384139530897</v>
      </c>
      <c r="I169" s="115">
        <v>21776</v>
      </c>
      <c r="J169" s="116">
        <f t="shared" si="40"/>
        <v>0.41191726642028148</v>
      </c>
      <c r="K169" s="115">
        <v>38922</v>
      </c>
      <c r="L169" s="116">
        <f t="shared" si="41"/>
        <v>0.78738060249816311</v>
      </c>
      <c r="M169" s="115"/>
      <c r="N169" s="116"/>
    </row>
    <row r="170" spans="2:14" x14ac:dyDescent="0.25">
      <c r="B170" s="114" t="s">
        <v>85</v>
      </c>
      <c r="C170" s="115">
        <v>4147</v>
      </c>
      <c r="D170" s="116">
        <v>-0.80786693847294289</v>
      </c>
      <c r="E170" s="115">
        <v>14723</v>
      </c>
      <c r="F170" s="116">
        <f t="shared" si="38"/>
        <v>2.5502773088979986</v>
      </c>
      <c r="G170" s="115">
        <v>17002</v>
      </c>
      <c r="H170" s="116">
        <f t="shared" si="39"/>
        <v>0.15479182231882094</v>
      </c>
      <c r="I170" s="115">
        <v>33567</v>
      </c>
      <c r="J170" s="116">
        <f t="shared" si="40"/>
        <v>0.97429714151276325</v>
      </c>
      <c r="K170" s="115">
        <v>43043</v>
      </c>
      <c r="L170" s="116">
        <f t="shared" si="41"/>
        <v>0.28230106950278544</v>
      </c>
      <c r="M170" s="115"/>
      <c r="N170" s="116"/>
    </row>
    <row r="171" spans="2:14" x14ac:dyDescent="0.25">
      <c r="B171" s="114" t="s">
        <v>87</v>
      </c>
      <c r="C171" s="115">
        <v>1472</v>
      </c>
      <c r="D171" s="116">
        <v>-0.91399859780322501</v>
      </c>
      <c r="E171" s="115">
        <v>12480</v>
      </c>
      <c r="F171" s="116">
        <f t="shared" si="38"/>
        <v>7.4782608695652169</v>
      </c>
      <c r="G171" s="115">
        <v>16073</v>
      </c>
      <c r="H171" s="116">
        <f t="shared" si="39"/>
        <v>0.28790064102564106</v>
      </c>
      <c r="I171" s="115">
        <v>25350</v>
      </c>
      <c r="J171" s="116">
        <f t="shared" si="40"/>
        <v>0.57717912026379636</v>
      </c>
      <c r="K171" s="115">
        <v>32169</v>
      </c>
      <c r="L171" s="116">
        <f t="shared" si="41"/>
        <v>0.26899408284023663</v>
      </c>
      <c r="M171" s="115"/>
      <c r="N171" s="116"/>
    </row>
    <row r="172" spans="2:14" x14ac:dyDescent="0.25">
      <c r="B172" s="114" t="s">
        <v>89</v>
      </c>
      <c r="C172" s="115">
        <v>4177</v>
      </c>
      <c r="D172" s="116">
        <v>-0.7362505525036307</v>
      </c>
      <c r="E172" s="115">
        <v>14829</v>
      </c>
      <c r="F172" s="116">
        <f t="shared" si="38"/>
        <v>2.5501556140770889</v>
      </c>
      <c r="G172" s="115">
        <v>15893</v>
      </c>
      <c r="H172" s="116">
        <f t="shared" si="39"/>
        <v>7.175129813203851E-2</v>
      </c>
      <c r="I172" s="115">
        <v>29606</v>
      </c>
      <c r="J172" s="116">
        <f t="shared" si="40"/>
        <v>0.86283269363870896</v>
      </c>
      <c r="K172" s="115">
        <v>36840</v>
      </c>
      <c r="L172" s="116">
        <f t="shared" si="41"/>
        <v>0.24434236303452006</v>
      </c>
      <c r="M172" s="115"/>
      <c r="N172" s="116"/>
    </row>
    <row r="173" spans="2:14" x14ac:dyDescent="0.25">
      <c r="B173" s="114" t="s">
        <v>91</v>
      </c>
      <c r="C173" s="115">
        <v>612</v>
      </c>
      <c r="D173" s="116">
        <v>-0.94618834080717484</v>
      </c>
      <c r="E173" s="115">
        <v>14802</v>
      </c>
      <c r="F173" s="116">
        <f t="shared" si="38"/>
        <v>23.186274509803923</v>
      </c>
      <c r="G173" s="115">
        <v>15008</v>
      </c>
      <c r="H173" s="116">
        <f t="shared" si="39"/>
        <v>1.3917038238075996E-2</v>
      </c>
      <c r="I173" s="115">
        <v>22746</v>
      </c>
      <c r="J173" s="116">
        <f t="shared" si="40"/>
        <v>0.51559168443496795</v>
      </c>
      <c r="K173" s="115">
        <v>24750</v>
      </c>
      <c r="L173" s="116">
        <f t="shared" si="41"/>
        <v>8.8103402796096075E-2</v>
      </c>
      <c r="M173" s="115"/>
      <c r="N173" s="116"/>
    </row>
    <row r="174" spans="2:14" x14ac:dyDescent="0.25">
      <c r="B174" s="114" t="s">
        <v>93</v>
      </c>
      <c r="C174" s="115">
        <v>2033</v>
      </c>
      <c r="D174" s="116">
        <v>-0.81001775534996723</v>
      </c>
      <c r="E174" s="115">
        <v>11502</v>
      </c>
      <c r="F174" s="116">
        <f t="shared" si="38"/>
        <v>4.6576487948844072</v>
      </c>
      <c r="G174" s="115">
        <v>14877</v>
      </c>
      <c r="H174" s="116">
        <f t="shared" si="39"/>
        <v>0.29342723004694826</v>
      </c>
      <c r="I174" s="115">
        <v>23544</v>
      </c>
      <c r="J174" s="116">
        <f t="shared" si="40"/>
        <v>0.58257713248638843</v>
      </c>
      <c r="K174" s="115">
        <v>25480</v>
      </c>
      <c r="L174" s="116">
        <f t="shared" si="41"/>
        <v>8.2229018008834531E-2</v>
      </c>
      <c r="M174" s="115"/>
      <c r="N174" s="116"/>
    </row>
    <row r="175" spans="2:14" ht="15.75" x14ac:dyDescent="0.25">
      <c r="B175" s="117" t="s">
        <v>30</v>
      </c>
      <c r="C175" s="118">
        <v>48969</v>
      </c>
      <c r="D175" s="119">
        <v>-0.71801796614073476</v>
      </c>
      <c r="E175" s="118">
        <v>105849</v>
      </c>
      <c r="F175" s="119">
        <f t="shared" si="38"/>
        <v>1.1615511854438521</v>
      </c>
      <c r="G175" s="118">
        <v>179405</v>
      </c>
      <c r="H175" s="119">
        <f t="shared" si="39"/>
        <v>0.69491445360844217</v>
      </c>
      <c r="I175" s="118">
        <v>275311</v>
      </c>
      <c r="J175" s="119">
        <f t="shared" si="40"/>
        <v>0.53457818901368404</v>
      </c>
      <c r="K175" s="118">
        <v>384207</v>
      </c>
      <c r="L175" s="119">
        <f t="shared" si="41"/>
        <v>0.3955381368706663</v>
      </c>
      <c r="M175" s="118">
        <v>28658</v>
      </c>
      <c r="N175" s="119">
        <v>0.13156440022111671</v>
      </c>
    </row>
    <row r="176" spans="2:14" ht="6" customHeight="1" x14ac:dyDescent="0.25"/>
    <row r="177" spans="1:15" x14ac:dyDescent="0.25">
      <c r="B177" s="105" t="s">
        <v>55</v>
      </c>
      <c r="C177" s="105"/>
      <c r="D177" s="105"/>
      <c r="E177" s="105"/>
      <c r="F177" s="105"/>
      <c r="G177" s="105"/>
      <c r="H177" s="105"/>
      <c r="I177" s="105"/>
      <c r="J177" s="105"/>
      <c r="K177" s="105"/>
      <c r="L177" s="105"/>
      <c r="M177" s="105"/>
      <c r="N177" s="105"/>
    </row>
    <row r="178" spans="1:15" x14ac:dyDescent="0.25">
      <c r="C178" s="120"/>
      <c r="K178" s="120"/>
      <c r="N178" s="79"/>
    </row>
    <row r="180" spans="1:15" ht="48.75" customHeight="1" thickBot="1" x14ac:dyDescent="0.3">
      <c r="B180" s="265" t="s">
        <v>278</v>
      </c>
      <c r="C180" s="265"/>
      <c r="D180" s="265"/>
      <c r="E180" s="265"/>
      <c r="F180" s="265"/>
      <c r="G180" s="265"/>
      <c r="H180" s="265"/>
      <c r="I180" s="265"/>
      <c r="J180" s="265"/>
      <c r="K180" s="265"/>
      <c r="L180" s="265"/>
      <c r="M180" s="265"/>
      <c r="N180" s="265"/>
      <c r="O180" s="1" t="s">
        <v>117</v>
      </c>
    </row>
    <row r="181" spans="1:15" ht="10.5" customHeight="1" thickBot="1" x14ac:dyDescent="0.3">
      <c r="B181" s="106"/>
      <c r="C181" s="107"/>
      <c r="D181" s="106"/>
      <c r="E181" s="106"/>
      <c r="F181" s="106"/>
      <c r="G181" s="106"/>
      <c r="H181" s="106"/>
      <c r="I181" s="106"/>
      <c r="J181" s="106"/>
      <c r="K181" s="106"/>
      <c r="L181" s="106"/>
      <c r="M181" s="4"/>
      <c r="N181" s="4"/>
      <c r="O181" s="1" t="s">
        <v>118</v>
      </c>
    </row>
    <row r="182" spans="1:15" ht="22.5" thickTop="1" thickBot="1" x14ac:dyDescent="0.3">
      <c r="B182" s="121" t="str">
        <f>C182</f>
        <v>Bélgica</v>
      </c>
      <c r="C182" s="290" t="s">
        <v>119</v>
      </c>
      <c r="D182" s="291"/>
      <c r="E182" s="291"/>
      <c r="F182" s="291"/>
      <c r="G182" s="291"/>
      <c r="H182" s="291"/>
      <c r="I182" s="291"/>
      <c r="J182" s="291"/>
      <c r="K182" s="291"/>
      <c r="L182" s="291"/>
      <c r="M182" s="291"/>
      <c r="N182" s="291"/>
    </row>
    <row r="183" spans="1:15" ht="22.5" thickTop="1" thickBot="1" x14ac:dyDescent="0.3">
      <c r="B183" s="109"/>
      <c r="C183" s="292">
        <f>$C$7</f>
        <v>2020</v>
      </c>
      <c r="D183" s="293"/>
      <c r="E183" s="294">
        <f>$E$7</f>
        <v>2021</v>
      </c>
      <c r="F183" s="293"/>
      <c r="G183" s="294">
        <f>$G$7</f>
        <v>2022</v>
      </c>
      <c r="H183" s="293"/>
      <c r="I183" s="294">
        <f>$I$7</f>
        <v>2023</v>
      </c>
      <c r="J183" s="293"/>
      <c r="K183" s="294">
        <f>$K$7</f>
        <v>2024</v>
      </c>
      <c r="L183" s="293"/>
      <c r="M183" s="294">
        <f>$M$7</f>
        <v>2025</v>
      </c>
      <c r="N183" s="295"/>
    </row>
    <row r="184" spans="1:15" ht="16.5" thickTop="1" thickBot="1" x14ac:dyDescent="0.3">
      <c r="B184" s="85"/>
      <c r="C184" s="111" t="s">
        <v>69</v>
      </c>
      <c r="D184" s="112" t="str">
        <f>CONCATENATE("var. ",RIGHT(C183,2),"/",RIGHT(C183-1,2))</f>
        <v>var. 20/19</v>
      </c>
      <c r="E184" s="113" t="s">
        <v>69</v>
      </c>
      <c r="F184" s="112" t="str">
        <f>CONCATENATE("var. ",RIGHT(E183,2),"/",RIGHT(E183-1,2))</f>
        <v>var. 21/20</v>
      </c>
      <c r="G184" s="113" t="s">
        <v>69</v>
      </c>
      <c r="H184" s="112" t="str">
        <f>CONCATENATE("var. ",RIGHT(G183,2),"/",RIGHT(G183-1,2))</f>
        <v>var. 22/21</v>
      </c>
      <c r="I184" s="113" t="s">
        <v>69</v>
      </c>
      <c r="J184" s="112" t="s">
        <v>247</v>
      </c>
      <c r="K184" s="113" t="s">
        <v>69</v>
      </c>
      <c r="L184" s="112" t="s">
        <v>248</v>
      </c>
      <c r="M184" s="113" t="s">
        <v>69</v>
      </c>
      <c r="N184" s="112" t="s">
        <v>271</v>
      </c>
    </row>
    <row r="185" spans="1:15" x14ac:dyDescent="0.25">
      <c r="A185" s="120"/>
      <c r="B185" s="114" t="s">
        <v>71</v>
      </c>
      <c r="C185" s="115">
        <v>2894</v>
      </c>
      <c r="D185" s="116">
        <v>-0.31600094540297807</v>
      </c>
      <c r="E185" s="115">
        <v>241</v>
      </c>
      <c r="F185" s="116">
        <f t="shared" ref="F185:F197" si="43">IFERROR(E185/C185-1,"-")</f>
        <v>-0.91672425708362126</v>
      </c>
      <c r="G185" s="115">
        <v>3071</v>
      </c>
      <c r="H185" s="116">
        <f t="shared" ref="H185:H197" si="44">IFERROR(G185/E185-1,"-")</f>
        <v>11.742738589211617</v>
      </c>
      <c r="I185" s="115">
        <v>3587</v>
      </c>
      <c r="J185" s="116">
        <f t="shared" ref="J185:J197" si="45">IFERROR(I185/G185-1,"-")</f>
        <v>0.16802344513187895</v>
      </c>
      <c r="K185" s="115">
        <v>3593</v>
      </c>
      <c r="L185" s="116">
        <f t="shared" ref="L185:L197" si="46">IFERROR(K185/I185-1,"-")</f>
        <v>1.6727069974908915E-3</v>
      </c>
      <c r="M185" s="115">
        <v>5043</v>
      </c>
      <c r="N185" s="116">
        <f t="shared" ref="N185" si="47">IFERROR(M185/K185-1,"-")</f>
        <v>0.40356248260506544</v>
      </c>
    </row>
    <row r="186" spans="1:15" x14ac:dyDescent="0.25">
      <c r="B186" s="114" t="s">
        <v>73</v>
      </c>
      <c r="C186" s="115">
        <v>2669</v>
      </c>
      <c r="D186" s="116">
        <v>-0.11768595041322316</v>
      </c>
      <c r="E186" s="115">
        <v>241</v>
      </c>
      <c r="F186" s="116">
        <f t="shared" si="43"/>
        <v>-0.90970400899213189</v>
      </c>
      <c r="G186" s="115">
        <v>3129</v>
      </c>
      <c r="H186" s="116">
        <f t="shared" si="44"/>
        <v>11.983402489626556</v>
      </c>
      <c r="I186" s="115">
        <v>2714</v>
      </c>
      <c r="J186" s="116">
        <f t="shared" si="45"/>
        <v>-0.13263023330137425</v>
      </c>
      <c r="K186" s="115">
        <v>4033</v>
      </c>
      <c r="L186" s="116">
        <f t="shared" si="46"/>
        <v>0.48599852616064854</v>
      </c>
      <c r="M186" s="115"/>
      <c r="N186" s="116"/>
    </row>
    <row r="187" spans="1:15" x14ac:dyDescent="0.25">
      <c r="B187" s="114" t="s">
        <v>75</v>
      </c>
      <c r="C187" s="115">
        <v>2054</v>
      </c>
      <c r="D187" s="116">
        <v>-0.45574986751457336</v>
      </c>
      <c r="E187" s="115">
        <v>121</v>
      </c>
      <c r="F187" s="116">
        <f t="shared" si="43"/>
        <v>-0.94109055501460559</v>
      </c>
      <c r="G187" s="115">
        <v>2637</v>
      </c>
      <c r="H187" s="116">
        <f t="shared" si="44"/>
        <v>20.793388429752067</v>
      </c>
      <c r="I187" s="115">
        <v>4070</v>
      </c>
      <c r="J187" s="116">
        <f t="shared" si="45"/>
        <v>0.5434205536594614</v>
      </c>
      <c r="K187" s="115">
        <v>3780</v>
      </c>
      <c r="L187" s="116">
        <f t="shared" si="46"/>
        <v>-7.1253071253071232E-2</v>
      </c>
      <c r="M187" s="115"/>
      <c r="N187" s="116"/>
    </row>
    <row r="188" spans="1:15" x14ac:dyDescent="0.25">
      <c r="B188" s="114" t="s">
        <v>77</v>
      </c>
      <c r="C188" s="115">
        <v>0</v>
      </c>
      <c r="D188" s="116">
        <v>-1</v>
      </c>
      <c r="E188" s="115">
        <v>190</v>
      </c>
      <c r="F188" s="116" t="str">
        <f t="shared" si="43"/>
        <v>-</v>
      </c>
      <c r="G188" s="115">
        <v>2990</v>
      </c>
      <c r="H188" s="116">
        <f t="shared" si="44"/>
        <v>14.736842105263158</v>
      </c>
      <c r="I188" s="115">
        <v>2042</v>
      </c>
      <c r="J188" s="116">
        <f t="shared" si="45"/>
        <v>-0.31705685618729096</v>
      </c>
      <c r="K188" s="115">
        <v>3683</v>
      </c>
      <c r="L188" s="116">
        <f t="shared" si="46"/>
        <v>0.80362389813907931</v>
      </c>
      <c r="M188" s="115"/>
      <c r="N188" s="116"/>
    </row>
    <row r="189" spans="1:15" x14ac:dyDescent="0.25">
      <c r="B189" s="114" t="s">
        <v>79</v>
      </c>
      <c r="C189" s="115">
        <v>0</v>
      </c>
      <c r="D189" s="116">
        <v>-1</v>
      </c>
      <c r="E189" s="115">
        <v>963</v>
      </c>
      <c r="F189" s="116" t="str">
        <f t="shared" si="43"/>
        <v>-</v>
      </c>
      <c r="G189" s="115">
        <v>1713</v>
      </c>
      <c r="H189" s="116">
        <f t="shared" si="44"/>
        <v>0.77881619937694713</v>
      </c>
      <c r="I189" s="115">
        <v>2232</v>
      </c>
      <c r="J189" s="116">
        <f t="shared" si="45"/>
        <v>0.30297723292469358</v>
      </c>
      <c r="K189" s="115">
        <v>3663</v>
      </c>
      <c r="L189" s="116">
        <f t="shared" si="46"/>
        <v>0.6411290322580645</v>
      </c>
      <c r="M189" s="115"/>
      <c r="N189" s="116"/>
    </row>
    <row r="190" spans="1:15" x14ac:dyDescent="0.25">
      <c r="B190" s="114" t="s">
        <v>120</v>
      </c>
      <c r="C190" s="115">
        <v>0</v>
      </c>
      <c r="D190" s="116">
        <v>-1</v>
      </c>
      <c r="E190" s="115">
        <v>1692</v>
      </c>
      <c r="F190" s="116" t="str">
        <f t="shared" si="43"/>
        <v>-</v>
      </c>
      <c r="G190" s="115">
        <v>2174</v>
      </c>
      <c r="H190" s="116">
        <f t="shared" si="44"/>
        <v>0.28486997635933808</v>
      </c>
      <c r="I190" s="115">
        <v>2900</v>
      </c>
      <c r="J190" s="116">
        <f t="shared" si="45"/>
        <v>0.33394664213431469</v>
      </c>
      <c r="K190" s="115">
        <v>4781</v>
      </c>
      <c r="L190" s="116">
        <f t="shared" si="46"/>
        <v>0.6486206896551725</v>
      </c>
      <c r="M190" s="115"/>
      <c r="N190" s="116"/>
    </row>
    <row r="191" spans="1:15" x14ac:dyDescent="0.25">
      <c r="B191" s="114" t="s">
        <v>83</v>
      </c>
      <c r="C191" s="115">
        <v>0</v>
      </c>
      <c r="D191" s="116">
        <v>-1</v>
      </c>
      <c r="E191" s="115">
        <v>2335</v>
      </c>
      <c r="F191" s="116" t="str">
        <f t="shared" si="43"/>
        <v>-</v>
      </c>
      <c r="G191" s="115">
        <v>3144</v>
      </c>
      <c r="H191" s="116">
        <f t="shared" si="44"/>
        <v>0.34646680942184149</v>
      </c>
      <c r="I191" s="115">
        <v>5343</v>
      </c>
      <c r="J191" s="116">
        <f t="shared" si="45"/>
        <v>0.69942748091603058</v>
      </c>
      <c r="K191" s="115">
        <v>8924</v>
      </c>
      <c r="L191" s="116">
        <f t="shared" si="46"/>
        <v>0.67022272131761174</v>
      </c>
      <c r="M191" s="115"/>
      <c r="N191" s="116"/>
    </row>
    <row r="192" spans="1:15" x14ac:dyDescent="0.25">
      <c r="B192" s="114" t="s">
        <v>85</v>
      </c>
      <c r="C192" s="115">
        <v>1276</v>
      </c>
      <c r="D192" s="116">
        <v>-0.78094420600858372</v>
      </c>
      <c r="E192" s="115">
        <v>6710</v>
      </c>
      <c r="F192" s="116">
        <f t="shared" si="43"/>
        <v>4.2586206896551726</v>
      </c>
      <c r="G192" s="115">
        <v>2618</v>
      </c>
      <c r="H192" s="116">
        <f t="shared" si="44"/>
        <v>-0.60983606557377046</v>
      </c>
      <c r="I192" s="115">
        <v>6391</v>
      </c>
      <c r="J192" s="116">
        <f t="shared" si="45"/>
        <v>1.4411764705882355</v>
      </c>
      <c r="K192" s="115">
        <v>5956</v>
      </c>
      <c r="L192" s="116">
        <f t="shared" si="46"/>
        <v>-6.8064465654827155E-2</v>
      </c>
      <c r="M192" s="115"/>
      <c r="N192" s="116"/>
    </row>
    <row r="193" spans="2:15" x14ac:dyDescent="0.25">
      <c r="B193" s="114" t="s">
        <v>87</v>
      </c>
      <c r="C193" s="115">
        <v>3461</v>
      </c>
      <c r="D193" s="116">
        <v>-0.18774935461159348</v>
      </c>
      <c r="E193" s="115">
        <v>5611</v>
      </c>
      <c r="F193" s="116">
        <f t="shared" si="43"/>
        <v>0.62120774342675533</v>
      </c>
      <c r="G193" s="115">
        <v>3064</v>
      </c>
      <c r="H193" s="116">
        <f t="shared" si="44"/>
        <v>-0.45392978078773838</v>
      </c>
      <c r="I193" s="115">
        <v>4673</v>
      </c>
      <c r="J193" s="116">
        <f t="shared" si="45"/>
        <v>0.52513054830287209</v>
      </c>
      <c r="K193" s="115">
        <v>5487</v>
      </c>
      <c r="L193" s="116">
        <f t="shared" si="46"/>
        <v>0.17419216777230906</v>
      </c>
      <c r="M193" s="115"/>
      <c r="N193" s="116"/>
    </row>
    <row r="194" spans="2:15" x14ac:dyDescent="0.25">
      <c r="B194" s="114" t="s">
        <v>89</v>
      </c>
      <c r="C194" s="115">
        <v>1379</v>
      </c>
      <c r="D194" s="116">
        <v>-0.55857874519846351</v>
      </c>
      <c r="E194" s="115">
        <v>5242</v>
      </c>
      <c r="F194" s="116">
        <f t="shared" si="43"/>
        <v>2.8013052936910805</v>
      </c>
      <c r="G194" s="115">
        <v>2154</v>
      </c>
      <c r="H194" s="116">
        <f t="shared" si="44"/>
        <v>-0.58908813429988549</v>
      </c>
      <c r="I194" s="115">
        <v>4047</v>
      </c>
      <c r="J194" s="116">
        <f t="shared" si="45"/>
        <v>0.87883008356545966</v>
      </c>
      <c r="K194" s="115">
        <v>5700</v>
      </c>
      <c r="L194" s="116">
        <f t="shared" si="46"/>
        <v>0.40845070422535201</v>
      </c>
      <c r="M194" s="115"/>
      <c r="N194" s="116"/>
    </row>
    <row r="195" spans="2:15" x14ac:dyDescent="0.25">
      <c r="B195" s="114" t="s">
        <v>91</v>
      </c>
      <c r="C195" s="115">
        <v>671</v>
      </c>
      <c r="D195" s="116">
        <v>-0.77169105137801974</v>
      </c>
      <c r="E195" s="115">
        <v>6043</v>
      </c>
      <c r="F195" s="116">
        <f t="shared" si="43"/>
        <v>8.0059612518628906</v>
      </c>
      <c r="G195" s="115">
        <v>3174</v>
      </c>
      <c r="H195" s="116">
        <f t="shared" si="44"/>
        <v>-0.47476418997186831</v>
      </c>
      <c r="I195" s="115">
        <v>3953</v>
      </c>
      <c r="J195" s="116">
        <f t="shared" si="45"/>
        <v>0.245431632010082</v>
      </c>
      <c r="K195" s="115">
        <v>4388</v>
      </c>
      <c r="L195" s="116">
        <f t="shared" si="46"/>
        <v>0.11004300531242084</v>
      </c>
      <c r="M195" s="115"/>
      <c r="N195" s="116"/>
    </row>
    <row r="196" spans="2:15" x14ac:dyDescent="0.25">
      <c r="B196" s="114" t="s">
        <v>93</v>
      </c>
      <c r="C196" s="115">
        <v>337</v>
      </c>
      <c r="D196" s="116">
        <v>-0.88572397422855209</v>
      </c>
      <c r="E196" s="115">
        <v>3911</v>
      </c>
      <c r="F196" s="116">
        <f t="shared" si="43"/>
        <v>10.6053412462908</v>
      </c>
      <c r="G196" s="115">
        <v>3870</v>
      </c>
      <c r="H196" s="116">
        <f t="shared" si="44"/>
        <v>-1.0483252365124041E-2</v>
      </c>
      <c r="I196" s="115">
        <v>3615</v>
      </c>
      <c r="J196" s="116">
        <f t="shared" si="45"/>
        <v>-6.589147286821706E-2</v>
      </c>
      <c r="K196" s="115">
        <v>4832</v>
      </c>
      <c r="L196" s="116">
        <f t="shared" si="46"/>
        <v>0.33665283540802204</v>
      </c>
      <c r="M196" s="115"/>
      <c r="N196" s="116"/>
    </row>
    <row r="197" spans="2:15" ht="15.75" x14ac:dyDescent="0.25">
      <c r="B197" s="117" t="s">
        <v>30</v>
      </c>
      <c r="C197" s="118">
        <v>14962</v>
      </c>
      <c r="D197" s="119">
        <v>-0.68040840738209152</v>
      </c>
      <c r="E197" s="118">
        <v>33300</v>
      </c>
      <c r="F197" s="119">
        <f t="shared" si="43"/>
        <v>1.2256382836519184</v>
      </c>
      <c r="G197" s="118">
        <v>33738</v>
      </c>
      <c r="H197" s="119">
        <f t="shared" si="44"/>
        <v>1.3153153153153241E-2</v>
      </c>
      <c r="I197" s="118">
        <v>45567</v>
      </c>
      <c r="J197" s="119">
        <f t="shared" si="45"/>
        <v>0.35061355148497242</v>
      </c>
      <c r="K197" s="118">
        <v>58820</v>
      </c>
      <c r="L197" s="119">
        <f t="shared" si="46"/>
        <v>0.29084644589286102</v>
      </c>
      <c r="M197" s="118">
        <v>5043</v>
      </c>
      <c r="N197" s="119">
        <v>0.40356248260506544</v>
      </c>
    </row>
    <row r="198" spans="2:15" ht="6" customHeight="1" x14ac:dyDescent="0.25"/>
    <row r="199" spans="2:15" x14ac:dyDescent="0.25">
      <c r="B199" s="105" t="s">
        <v>55</v>
      </c>
      <c r="C199" s="105"/>
      <c r="D199" s="105"/>
      <c r="E199" s="105"/>
      <c r="F199" s="105"/>
      <c r="G199" s="105"/>
      <c r="H199" s="105"/>
      <c r="I199" s="105"/>
      <c r="J199" s="105"/>
      <c r="K199" s="105"/>
      <c r="L199" s="105"/>
      <c r="M199" s="105"/>
      <c r="N199" s="105"/>
    </row>
    <row r="200" spans="2:15" x14ac:dyDescent="0.25">
      <c r="C200" s="120"/>
      <c r="K200" s="120"/>
      <c r="N200" s="79"/>
    </row>
    <row r="202" spans="2:15" ht="48.75" customHeight="1" thickBot="1" x14ac:dyDescent="0.3">
      <c r="B202" s="265" t="s">
        <v>279</v>
      </c>
      <c r="C202" s="265"/>
      <c r="D202" s="265"/>
      <c r="E202" s="265"/>
      <c r="F202" s="265"/>
      <c r="G202" s="265"/>
      <c r="H202" s="265"/>
      <c r="I202" s="265"/>
      <c r="J202" s="265"/>
      <c r="K202" s="265"/>
      <c r="L202" s="265"/>
      <c r="M202" s="265"/>
      <c r="N202" s="265"/>
      <c r="O202" s="1" t="s">
        <v>121</v>
      </c>
    </row>
    <row r="203" spans="2:15" ht="10.5" customHeight="1" thickBot="1" x14ac:dyDescent="0.3">
      <c r="B203" s="106"/>
      <c r="C203" s="107"/>
      <c r="D203" s="106"/>
      <c r="E203" s="106"/>
      <c r="F203" s="106"/>
      <c r="G203" s="106"/>
      <c r="H203" s="106"/>
      <c r="I203" s="106"/>
      <c r="J203" s="106"/>
      <c r="K203" s="106"/>
      <c r="L203" s="106"/>
      <c r="M203" s="4"/>
      <c r="N203" s="4"/>
      <c r="O203" s="1" t="s">
        <v>122</v>
      </c>
    </row>
    <row r="204" spans="2:15" ht="22.5" thickTop="1" thickBot="1" x14ac:dyDescent="0.3">
      <c r="B204" s="121" t="str">
        <f>C204</f>
        <v>Países Bajos</v>
      </c>
      <c r="C204" s="290" t="s">
        <v>123</v>
      </c>
      <c r="D204" s="291"/>
      <c r="E204" s="291"/>
      <c r="F204" s="291"/>
      <c r="G204" s="291"/>
      <c r="H204" s="291"/>
      <c r="I204" s="291"/>
      <c r="J204" s="291"/>
      <c r="K204" s="291"/>
      <c r="L204" s="291"/>
      <c r="M204" s="291"/>
      <c r="N204" s="291"/>
    </row>
    <row r="205" spans="2:15" ht="22.5" thickTop="1" thickBot="1" x14ac:dyDescent="0.3">
      <c r="B205" s="109"/>
      <c r="C205" s="292">
        <f>$C$7</f>
        <v>2020</v>
      </c>
      <c r="D205" s="293"/>
      <c r="E205" s="294">
        <f>$E$7</f>
        <v>2021</v>
      </c>
      <c r="F205" s="293"/>
      <c r="G205" s="294">
        <f>$G$7</f>
        <v>2022</v>
      </c>
      <c r="H205" s="293"/>
      <c r="I205" s="294">
        <f>$I$7</f>
        <v>2023</v>
      </c>
      <c r="J205" s="293"/>
      <c r="K205" s="294">
        <f>$K$7</f>
        <v>2024</v>
      </c>
      <c r="L205" s="293"/>
      <c r="M205" s="294">
        <f>$M$7</f>
        <v>2025</v>
      </c>
      <c r="N205" s="295"/>
    </row>
    <row r="206" spans="2:15" ht="16.5" thickTop="1" thickBot="1" x14ac:dyDescent="0.3">
      <c r="B206" s="85"/>
      <c r="C206" s="111" t="s">
        <v>69</v>
      </c>
      <c r="D206" s="112" t="str">
        <f>CONCATENATE("var. ",RIGHT(C205,2),"/",RIGHT(C205-1,2))</f>
        <v>var. 20/19</v>
      </c>
      <c r="E206" s="113" t="s">
        <v>69</v>
      </c>
      <c r="F206" s="112" t="str">
        <f>CONCATENATE("var. ",RIGHT(E205,2),"/",RIGHT(E205-1,2))</f>
        <v>var. 21/20</v>
      </c>
      <c r="G206" s="113" t="s">
        <v>69</v>
      </c>
      <c r="H206" s="112" t="str">
        <f>CONCATENATE("var. ",RIGHT(G205,2),"/",RIGHT(G205-1,2))</f>
        <v>var. 22/21</v>
      </c>
      <c r="I206" s="113" t="s">
        <v>69</v>
      </c>
      <c r="J206" s="112" t="s">
        <v>247</v>
      </c>
      <c r="K206" s="113" t="s">
        <v>69</v>
      </c>
      <c r="L206" s="112" t="s">
        <v>248</v>
      </c>
      <c r="M206" s="113" t="s">
        <v>69</v>
      </c>
      <c r="N206" s="112" t="s">
        <v>271</v>
      </c>
    </row>
    <row r="207" spans="2:15" x14ac:dyDescent="0.25">
      <c r="B207" s="114" t="s">
        <v>71</v>
      </c>
      <c r="C207" s="115">
        <v>4444</v>
      </c>
      <c r="D207" s="116">
        <v>-5.5472901168969191E-2</v>
      </c>
      <c r="E207" s="115">
        <v>228</v>
      </c>
      <c r="F207" s="116">
        <f t="shared" ref="F207:F219" si="48">IFERROR(E207/C207-1,"-")</f>
        <v>-0.9486948694869487</v>
      </c>
      <c r="G207" s="115">
        <v>6256</v>
      </c>
      <c r="H207" s="116">
        <f t="shared" ref="H207:H219" si="49">IFERROR(G207/E207-1,"-")</f>
        <v>26.438596491228068</v>
      </c>
      <c r="I207" s="115">
        <v>6581</v>
      </c>
      <c r="J207" s="116">
        <f t="shared" ref="J207:J219" si="50">IFERROR(I207/G207-1,"-")</f>
        <v>5.1950127877237851E-2</v>
      </c>
      <c r="K207" s="115">
        <v>8748</v>
      </c>
      <c r="L207" s="116">
        <f t="shared" ref="L207:L219" si="51">IFERROR(K207/I207-1,"-")</f>
        <v>0.32928126424555537</v>
      </c>
      <c r="M207" s="115">
        <v>10873</v>
      </c>
      <c r="N207" s="116">
        <f t="shared" ref="N207" si="52">IFERROR(M207/K207-1,"-")</f>
        <v>0.24291266575217185</v>
      </c>
    </row>
    <row r="208" spans="2:15" x14ac:dyDescent="0.25">
      <c r="B208" s="114" t="s">
        <v>73</v>
      </c>
      <c r="C208" s="115">
        <v>3952</v>
      </c>
      <c r="D208" s="116">
        <v>-0.11509180474697711</v>
      </c>
      <c r="E208" s="115">
        <v>299</v>
      </c>
      <c r="F208" s="116">
        <f t="shared" si="48"/>
        <v>-0.92434210526315785</v>
      </c>
      <c r="G208" s="115">
        <v>5800</v>
      </c>
      <c r="H208" s="116">
        <f t="shared" si="49"/>
        <v>18.397993311036789</v>
      </c>
      <c r="I208" s="115">
        <v>5446</v>
      </c>
      <c r="J208" s="116">
        <f t="shared" si="50"/>
        <v>-6.1034482758620667E-2</v>
      </c>
      <c r="K208" s="115">
        <v>7811</v>
      </c>
      <c r="L208" s="116">
        <f t="shared" si="51"/>
        <v>0.43426367976496505</v>
      </c>
      <c r="M208" s="115"/>
      <c r="N208" s="116"/>
    </row>
    <row r="209" spans="2:15" x14ac:dyDescent="0.25">
      <c r="B209" s="114" t="s">
        <v>75</v>
      </c>
      <c r="C209" s="115">
        <v>2527</v>
      </c>
      <c r="D209" s="116">
        <v>-0.49134460547504022</v>
      </c>
      <c r="E209" s="115">
        <v>324</v>
      </c>
      <c r="F209" s="116">
        <f t="shared" si="48"/>
        <v>-0.87178472497032056</v>
      </c>
      <c r="G209" s="115">
        <v>5060</v>
      </c>
      <c r="H209" s="116">
        <f t="shared" si="49"/>
        <v>14.617283950617283</v>
      </c>
      <c r="I209" s="115">
        <v>5191</v>
      </c>
      <c r="J209" s="116">
        <f t="shared" si="50"/>
        <v>2.5889328063241068E-2</v>
      </c>
      <c r="K209" s="115">
        <v>7389</v>
      </c>
      <c r="L209" s="116">
        <f t="shared" si="51"/>
        <v>0.42342515892891552</v>
      </c>
      <c r="M209" s="115"/>
      <c r="N209" s="116"/>
    </row>
    <row r="210" spans="2:15" x14ac:dyDescent="0.25">
      <c r="B210" s="114" t="s">
        <v>77</v>
      </c>
      <c r="C210" s="115">
        <v>0</v>
      </c>
      <c r="D210" s="116">
        <v>-1</v>
      </c>
      <c r="E210" s="115">
        <v>162</v>
      </c>
      <c r="F210" s="116" t="str">
        <f t="shared" si="48"/>
        <v>-</v>
      </c>
      <c r="G210" s="115">
        <v>5496</v>
      </c>
      <c r="H210" s="116">
        <f t="shared" si="49"/>
        <v>32.925925925925924</v>
      </c>
      <c r="I210" s="115">
        <v>4693</v>
      </c>
      <c r="J210" s="116">
        <f t="shared" si="50"/>
        <v>-0.1461062590975255</v>
      </c>
      <c r="K210" s="115">
        <v>7994</v>
      </c>
      <c r="L210" s="116">
        <f t="shared" si="51"/>
        <v>0.70338802471766471</v>
      </c>
      <c r="M210" s="115"/>
      <c r="N210" s="116"/>
    </row>
    <row r="211" spans="2:15" x14ac:dyDescent="0.25">
      <c r="B211" s="114" t="s">
        <v>79</v>
      </c>
      <c r="C211" s="115">
        <v>0</v>
      </c>
      <c r="D211" s="116">
        <v>-1</v>
      </c>
      <c r="E211" s="115">
        <v>482</v>
      </c>
      <c r="F211" s="116" t="str">
        <f t="shared" si="48"/>
        <v>-</v>
      </c>
      <c r="G211" s="115">
        <v>4009</v>
      </c>
      <c r="H211" s="116">
        <f t="shared" si="49"/>
        <v>7.3174273858921168</v>
      </c>
      <c r="I211" s="115">
        <v>4570</v>
      </c>
      <c r="J211" s="116">
        <f t="shared" si="50"/>
        <v>0.13993514592167622</v>
      </c>
      <c r="K211" s="115">
        <v>7162</v>
      </c>
      <c r="L211" s="116">
        <f t="shared" si="51"/>
        <v>0.56717724288840254</v>
      </c>
      <c r="M211" s="115"/>
      <c r="N211" s="116"/>
    </row>
    <row r="212" spans="2:15" x14ac:dyDescent="0.25">
      <c r="B212" s="114" t="s">
        <v>81</v>
      </c>
      <c r="C212" s="115">
        <v>0</v>
      </c>
      <c r="D212" s="116">
        <v>-1</v>
      </c>
      <c r="E212" s="115">
        <v>1221</v>
      </c>
      <c r="F212" s="116" t="str">
        <f t="shared" si="48"/>
        <v>-</v>
      </c>
      <c r="G212" s="115">
        <v>3989</v>
      </c>
      <c r="H212" s="116">
        <f t="shared" si="49"/>
        <v>2.2669942669942671</v>
      </c>
      <c r="I212" s="115">
        <v>6037</v>
      </c>
      <c r="J212" s="116">
        <f t="shared" si="50"/>
        <v>0.51341188267736282</v>
      </c>
      <c r="K212" s="115">
        <v>10443</v>
      </c>
      <c r="L212" s="116">
        <f t="shared" si="51"/>
        <v>0.72983269836011266</v>
      </c>
      <c r="M212" s="115"/>
      <c r="N212" s="116"/>
    </row>
    <row r="213" spans="2:15" x14ac:dyDescent="0.25">
      <c r="B213" s="114" t="s">
        <v>83</v>
      </c>
      <c r="C213" s="115">
        <v>0</v>
      </c>
      <c r="D213" s="116">
        <v>-1</v>
      </c>
      <c r="E213" s="115">
        <v>3777</v>
      </c>
      <c r="F213" s="116" t="str">
        <f t="shared" si="48"/>
        <v>-</v>
      </c>
      <c r="G213" s="115">
        <v>7258</v>
      </c>
      <c r="H213" s="116">
        <f t="shared" si="49"/>
        <v>0.92163092401376745</v>
      </c>
      <c r="I213" s="115">
        <v>9426</v>
      </c>
      <c r="J213" s="116">
        <f t="shared" si="50"/>
        <v>0.29870487737668783</v>
      </c>
      <c r="K213" s="115">
        <v>17870</v>
      </c>
      <c r="L213" s="116">
        <f t="shared" si="51"/>
        <v>0.89582007214088688</v>
      </c>
      <c r="M213" s="115"/>
      <c r="N213" s="116"/>
    </row>
    <row r="214" spans="2:15" x14ac:dyDescent="0.25">
      <c r="B214" s="114" t="s">
        <v>85</v>
      </c>
      <c r="C214" s="115">
        <v>1443</v>
      </c>
      <c r="D214" s="116">
        <v>-0.89691384483497638</v>
      </c>
      <c r="E214" s="115">
        <v>5378</v>
      </c>
      <c r="F214" s="116">
        <f t="shared" si="48"/>
        <v>2.726957726957727</v>
      </c>
      <c r="G214" s="115">
        <v>10210</v>
      </c>
      <c r="H214" s="116">
        <f t="shared" si="49"/>
        <v>0.89847526961695801</v>
      </c>
      <c r="I214" s="115">
        <v>13529</v>
      </c>
      <c r="J214" s="116">
        <f t="shared" si="50"/>
        <v>0.32507345739471116</v>
      </c>
      <c r="K214" s="115">
        <v>17817</v>
      </c>
      <c r="L214" s="116">
        <f t="shared" si="51"/>
        <v>0.31694877670189969</v>
      </c>
      <c r="M214" s="115"/>
      <c r="N214" s="116"/>
    </row>
    <row r="215" spans="2:15" x14ac:dyDescent="0.25">
      <c r="B215" s="114" t="s">
        <v>87</v>
      </c>
      <c r="C215" s="115">
        <v>396</v>
      </c>
      <c r="D215" s="116">
        <v>-0.9397260273972603</v>
      </c>
      <c r="E215" s="115">
        <v>5141</v>
      </c>
      <c r="F215" s="116">
        <f t="shared" si="48"/>
        <v>11.982323232323232</v>
      </c>
      <c r="G215" s="115">
        <v>7103</v>
      </c>
      <c r="H215" s="116">
        <f t="shared" si="49"/>
        <v>0.38163781365493099</v>
      </c>
      <c r="I215" s="115">
        <v>9989</v>
      </c>
      <c r="J215" s="116">
        <f t="shared" si="50"/>
        <v>0.40630719414331962</v>
      </c>
      <c r="K215" s="115">
        <v>13011</v>
      </c>
      <c r="L215" s="116">
        <f t="shared" si="51"/>
        <v>0.30253278606467116</v>
      </c>
      <c r="M215" s="115"/>
      <c r="N215" s="116"/>
    </row>
    <row r="216" spans="2:15" x14ac:dyDescent="0.25">
      <c r="B216" s="114" t="s">
        <v>89</v>
      </c>
      <c r="C216" s="115">
        <v>218</v>
      </c>
      <c r="D216" s="116">
        <v>-0.96025524156791253</v>
      </c>
      <c r="E216" s="115">
        <v>7377</v>
      </c>
      <c r="F216" s="116">
        <f t="shared" si="48"/>
        <v>32.839449541284402</v>
      </c>
      <c r="G216" s="115">
        <v>6492</v>
      </c>
      <c r="H216" s="116">
        <f t="shared" si="49"/>
        <v>-0.11996746644977629</v>
      </c>
      <c r="I216" s="115">
        <v>9266</v>
      </c>
      <c r="J216" s="116">
        <f t="shared" si="50"/>
        <v>0.42729513247073325</v>
      </c>
      <c r="K216" s="115">
        <v>14761</v>
      </c>
      <c r="L216" s="116">
        <f t="shared" si="51"/>
        <v>0.59302827541549741</v>
      </c>
      <c r="M216" s="115"/>
      <c r="N216" s="116"/>
    </row>
    <row r="217" spans="2:15" x14ac:dyDescent="0.25">
      <c r="B217" s="114" t="s">
        <v>91</v>
      </c>
      <c r="C217" s="115">
        <v>367</v>
      </c>
      <c r="D217" s="116">
        <v>-0.92392205638474301</v>
      </c>
      <c r="E217" s="115">
        <v>6793</v>
      </c>
      <c r="F217" s="116">
        <f t="shared" si="48"/>
        <v>17.509536784741144</v>
      </c>
      <c r="G217" s="115">
        <v>6967</v>
      </c>
      <c r="H217" s="116">
        <f t="shared" si="49"/>
        <v>2.5614603268069969E-2</v>
      </c>
      <c r="I217" s="115">
        <v>8087</v>
      </c>
      <c r="J217" s="116">
        <f t="shared" si="50"/>
        <v>0.16075785847567103</v>
      </c>
      <c r="K217" s="115">
        <v>8957</v>
      </c>
      <c r="L217" s="116">
        <f t="shared" si="51"/>
        <v>0.10758006677383447</v>
      </c>
      <c r="M217" s="115"/>
      <c r="N217" s="116"/>
    </row>
    <row r="218" spans="2:15" x14ac:dyDescent="0.25">
      <c r="B218" s="114" t="s">
        <v>93</v>
      </c>
      <c r="C218" s="115">
        <v>553</v>
      </c>
      <c r="D218" s="116">
        <v>-0.8827893175074184</v>
      </c>
      <c r="E218" s="115">
        <v>7042</v>
      </c>
      <c r="F218" s="116">
        <f t="shared" si="48"/>
        <v>11.734177215189874</v>
      </c>
      <c r="G218" s="115">
        <v>6873</v>
      </c>
      <c r="H218" s="116">
        <f t="shared" si="49"/>
        <v>-2.3998863959102557E-2</v>
      </c>
      <c r="I218" s="115">
        <v>7535</v>
      </c>
      <c r="J218" s="116">
        <f t="shared" si="50"/>
        <v>9.6318929143023535E-2</v>
      </c>
      <c r="K218" s="115">
        <v>12303</v>
      </c>
      <c r="L218" s="116">
        <f t="shared" si="51"/>
        <v>0.63278035832780355</v>
      </c>
      <c r="M218" s="115"/>
      <c r="N218" s="116"/>
    </row>
    <row r="219" spans="2:15" ht="15.75" x14ac:dyDescent="0.25">
      <c r="B219" s="117" t="s">
        <v>30</v>
      </c>
      <c r="C219" s="118">
        <v>15102</v>
      </c>
      <c r="D219" s="119">
        <v>-0.79926895726722935</v>
      </c>
      <c r="E219" s="118">
        <v>38224</v>
      </c>
      <c r="F219" s="119">
        <f t="shared" si="48"/>
        <v>1.5310554893391606</v>
      </c>
      <c r="G219" s="118">
        <v>75513</v>
      </c>
      <c r="H219" s="119">
        <f t="shared" si="49"/>
        <v>0.97553892842193379</v>
      </c>
      <c r="I219" s="118">
        <v>90350</v>
      </c>
      <c r="J219" s="119">
        <f t="shared" si="50"/>
        <v>0.19648272482883744</v>
      </c>
      <c r="K219" s="118">
        <v>134266</v>
      </c>
      <c r="L219" s="119">
        <f t="shared" si="51"/>
        <v>0.48606530160486994</v>
      </c>
      <c r="M219" s="118">
        <v>10873</v>
      </c>
      <c r="N219" s="119">
        <v>0.24291266575217185</v>
      </c>
    </row>
    <row r="220" spans="2:15" ht="6" customHeight="1" x14ac:dyDescent="0.25"/>
    <row r="221" spans="2:15" x14ac:dyDescent="0.25">
      <c r="B221" s="105" t="s">
        <v>55</v>
      </c>
      <c r="C221" s="105"/>
      <c r="D221" s="105"/>
      <c r="E221" s="105"/>
      <c r="F221" s="105"/>
      <c r="G221" s="105"/>
      <c r="H221" s="105"/>
      <c r="I221" s="105"/>
      <c r="J221" s="105"/>
      <c r="K221" s="105"/>
      <c r="L221" s="105"/>
      <c r="M221" s="105"/>
      <c r="N221" s="105"/>
    </row>
    <row r="222" spans="2:15" x14ac:dyDescent="0.25">
      <c r="C222" s="120"/>
      <c r="K222" s="120"/>
      <c r="N222" s="79"/>
    </row>
    <row r="224" spans="2:15" ht="48.75" customHeight="1" thickBot="1" x14ac:dyDescent="0.3">
      <c r="B224" s="265" t="s">
        <v>280</v>
      </c>
      <c r="C224" s="265"/>
      <c r="D224" s="265"/>
      <c r="E224" s="265"/>
      <c r="F224" s="265"/>
      <c r="G224" s="265"/>
      <c r="H224" s="265"/>
      <c r="I224" s="265"/>
      <c r="J224" s="265"/>
      <c r="K224" s="265"/>
      <c r="L224" s="265"/>
      <c r="M224" s="265"/>
      <c r="N224" s="265"/>
      <c r="O224" s="1" t="s">
        <v>147</v>
      </c>
    </row>
    <row r="225" spans="2:15" ht="10.5" customHeight="1" thickBot="1" x14ac:dyDescent="0.3">
      <c r="B225" s="106"/>
      <c r="C225" s="107"/>
      <c r="D225" s="106"/>
      <c r="E225" s="106"/>
      <c r="F225" s="106"/>
      <c r="G225" s="106"/>
      <c r="H225" s="106"/>
      <c r="I225" s="106"/>
      <c r="J225" s="106"/>
      <c r="K225" s="106"/>
      <c r="L225" s="106"/>
      <c r="M225" s="4"/>
      <c r="N225" s="4"/>
      <c r="O225" s="1" t="s">
        <v>148</v>
      </c>
    </row>
    <row r="226" spans="2:15" ht="22.5" thickTop="1" thickBot="1" x14ac:dyDescent="0.3">
      <c r="B226" s="121" t="str">
        <f>C226</f>
        <v>Dinamarca</v>
      </c>
      <c r="C226" s="290" t="s">
        <v>128</v>
      </c>
      <c r="D226" s="291"/>
      <c r="E226" s="291"/>
      <c r="F226" s="291"/>
      <c r="G226" s="291"/>
      <c r="H226" s="291"/>
      <c r="I226" s="291"/>
      <c r="J226" s="291"/>
      <c r="K226" s="291"/>
      <c r="L226" s="291"/>
      <c r="M226" s="291"/>
      <c r="N226" s="291"/>
    </row>
    <row r="227" spans="2:15" ht="22.5" thickTop="1" thickBot="1" x14ac:dyDescent="0.3">
      <c r="B227" s="109"/>
      <c r="C227" s="292">
        <f>$C$7</f>
        <v>2020</v>
      </c>
      <c r="D227" s="293"/>
      <c r="E227" s="294">
        <f>$E$7</f>
        <v>2021</v>
      </c>
      <c r="F227" s="293"/>
      <c r="G227" s="294">
        <f>$G$7</f>
        <v>2022</v>
      </c>
      <c r="H227" s="293"/>
      <c r="I227" s="294">
        <f>$I$7</f>
        <v>2023</v>
      </c>
      <c r="J227" s="293"/>
      <c r="K227" s="294">
        <f>$K$7</f>
        <v>2024</v>
      </c>
      <c r="L227" s="293"/>
      <c r="M227" s="294">
        <f>$M$7</f>
        <v>2025</v>
      </c>
      <c r="N227" s="295"/>
    </row>
    <row r="228" spans="2:15" ht="16.5" thickTop="1" thickBot="1" x14ac:dyDescent="0.3">
      <c r="B228" s="85"/>
      <c r="C228" s="111" t="s">
        <v>69</v>
      </c>
      <c r="D228" s="112" t="str">
        <f>CONCATENATE("var. ",RIGHT(C227,2),"/",RIGHT(C227-1,2))</f>
        <v>var. 20/19</v>
      </c>
      <c r="E228" s="113" t="s">
        <v>69</v>
      </c>
      <c r="F228" s="112" t="str">
        <f>CONCATENATE("var. ",RIGHT(E227,2),"/",RIGHT(E227-1,2))</f>
        <v>var. 21/20</v>
      </c>
      <c r="G228" s="113" t="s">
        <v>69</v>
      </c>
      <c r="H228" s="112" t="str">
        <f>CONCATENATE("var. ",RIGHT(G227,2),"/",RIGHT(G227-1,2))</f>
        <v>var. 22/21</v>
      </c>
      <c r="I228" s="113" t="s">
        <v>69</v>
      </c>
      <c r="J228" s="112" t="s">
        <v>247</v>
      </c>
      <c r="K228" s="113" t="s">
        <v>69</v>
      </c>
      <c r="L228" s="112" t="s">
        <v>248</v>
      </c>
      <c r="M228" s="113" t="s">
        <v>69</v>
      </c>
      <c r="N228" s="112" t="s">
        <v>271</v>
      </c>
    </row>
    <row r="229" spans="2:15" x14ac:dyDescent="0.25">
      <c r="B229" s="114" t="s">
        <v>71</v>
      </c>
      <c r="C229" s="115">
        <v>12677</v>
      </c>
      <c r="D229" s="116">
        <v>-4.2594970168416291E-2</v>
      </c>
      <c r="E229" s="115">
        <v>191</v>
      </c>
      <c r="F229" s="116">
        <f t="shared" ref="F229:F241" si="53">IFERROR(E229/C229-1,"-")</f>
        <v>-0.9849333438510689</v>
      </c>
      <c r="G229" s="115">
        <v>8499</v>
      </c>
      <c r="H229" s="116">
        <f t="shared" ref="H229:H241" si="54">IFERROR(G229/E229-1,"-")</f>
        <v>43.497382198952877</v>
      </c>
      <c r="I229" s="115">
        <v>14185</v>
      </c>
      <c r="J229" s="116">
        <f t="shared" ref="J229:J241" si="55">IFERROR(I229/G229-1,"-")</f>
        <v>0.66901988469231677</v>
      </c>
      <c r="K229" s="115">
        <v>11905</v>
      </c>
      <c r="L229" s="116">
        <f t="shared" ref="L229:L241" si="56">IFERROR(K229/I229-1,"-")</f>
        <v>-0.16073316884032429</v>
      </c>
      <c r="M229" s="115">
        <v>11922</v>
      </c>
      <c r="N229" s="116">
        <f t="shared" ref="N229" si="57">IFERROR(M229/K229-1,"-")</f>
        <v>1.427971440571163E-3</v>
      </c>
    </row>
    <row r="230" spans="2:15" x14ac:dyDescent="0.25">
      <c r="B230" s="114" t="s">
        <v>73</v>
      </c>
      <c r="C230" s="115">
        <v>10552</v>
      </c>
      <c r="D230" s="116">
        <v>2.5660964230171057E-2</v>
      </c>
      <c r="E230" s="115">
        <v>120</v>
      </c>
      <c r="F230" s="116">
        <f t="shared" si="53"/>
        <v>-0.98862774829416222</v>
      </c>
      <c r="G230" s="115">
        <v>8138</v>
      </c>
      <c r="H230" s="116">
        <f t="shared" si="54"/>
        <v>66.816666666666663</v>
      </c>
      <c r="I230" s="115">
        <v>13893</v>
      </c>
      <c r="J230" s="116">
        <f t="shared" si="55"/>
        <v>0.70717621037109857</v>
      </c>
      <c r="K230" s="115">
        <v>13299</v>
      </c>
      <c r="L230" s="116">
        <f t="shared" si="56"/>
        <v>-4.2755344418052288E-2</v>
      </c>
      <c r="M230" s="115"/>
      <c r="N230" s="116"/>
    </row>
    <row r="231" spans="2:15" x14ac:dyDescent="0.25">
      <c r="B231" s="114" t="s">
        <v>75</v>
      </c>
      <c r="C231" s="115">
        <v>6958</v>
      </c>
      <c r="D231" s="116">
        <v>-0.42967213114754099</v>
      </c>
      <c r="E231" s="115">
        <v>117</v>
      </c>
      <c r="F231" s="116">
        <f t="shared" si="53"/>
        <v>-0.98318482322506462</v>
      </c>
      <c r="G231" s="115">
        <v>7119</v>
      </c>
      <c r="H231" s="116">
        <f t="shared" si="54"/>
        <v>59.846153846153847</v>
      </c>
      <c r="I231" s="115">
        <v>12035</v>
      </c>
      <c r="J231" s="116">
        <f t="shared" si="55"/>
        <v>0.69054642505969932</v>
      </c>
      <c r="K231" s="115">
        <v>11980</v>
      </c>
      <c r="L231" s="116">
        <f t="shared" si="56"/>
        <v>-4.5700041545492232E-3</v>
      </c>
      <c r="M231" s="115"/>
      <c r="N231" s="116"/>
    </row>
    <row r="232" spans="2:15" x14ac:dyDescent="0.25">
      <c r="B232" s="114" t="s">
        <v>77</v>
      </c>
      <c r="C232" s="115">
        <v>0</v>
      </c>
      <c r="D232" s="116">
        <v>-1</v>
      </c>
      <c r="E232" s="115">
        <v>178</v>
      </c>
      <c r="F232" s="116" t="str">
        <f t="shared" si="53"/>
        <v>-</v>
      </c>
      <c r="G232" s="115">
        <v>4096</v>
      </c>
      <c r="H232" s="116">
        <f t="shared" si="54"/>
        <v>22.011235955056179</v>
      </c>
      <c r="I232" s="115">
        <v>4421</v>
      </c>
      <c r="J232" s="116">
        <f t="shared" si="55"/>
        <v>7.9345703125E-2</v>
      </c>
      <c r="K232" s="115">
        <v>2791</v>
      </c>
      <c r="L232" s="116">
        <f t="shared" si="56"/>
        <v>-0.36869486541506447</v>
      </c>
      <c r="M232" s="115"/>
      <c r="N232" s="116"/>
    </row>
    <row r="233" spans="2:15" x14ac:dyDescent="0.25">
      <c r="B233" s="114" t="s">
        <v>79</v>
      </c>
      <c r="C233" s="115">
        <v>0</v>
      </c>
      <c r="D233" s="116">
        <v>-1</v>
      </c>
      <c r="E233" s="115">
        <v>174</v>
      </c>
      <c r="F233" s="116" t="str">
        <f t="shared" si="53"/>
        <v>-</v>
      </c>
      <c r="G233" s="115">
        <v>576</v>
      </c>
      <c r="H233" s="116">
        <f t="shared" si="54"/>
        <v>2.3103448275862069</v>
      </c>
      <c r="I233" s="115">
        <v>1554</v>
      </c>
      <c r="J233" s="116">
        <f t="shared" si="55"/>
        <v>1.6979166666666665</v>
      </c>
      <c r="K233" s="115">
        <v>1368</v>
      </c>
      <c r="L233" s="116">
        <f t="shared" si="56"/>
        <v>-0.11969111969111967</v>
      </c>
      <c r="M233" s="115"/>
      <c r="N233" s="116"/>
    </row>
    <row r="234" spans="2:15" x14ac:dyDescent="0.25">
      <c r="B234" s="114" t="s">
        <v>81</v>
      </c>
      <c r="C234" s="115">
        <v>0</v>
      </c>
      <c r="D234" s="116">
        <v>-1</v>
      </c>
      <c r="E234" s="115">
        <v>167</v>
      </c>
      <c r="F234" s="116" t="str">
        <f t="shared" si="53"/>
        <v>-</v>
      </c>
      <c r="G234" s="115">
        <v>669</v>
      </c>
      <c r="H234" s="116">
        <f t="shared" si="54"/>
        <v>3.0059880239520957</v>
      </c>
      <c r="I234" s="115">
        <v>1137</v>
      </c>
      <c r="J234" s="116">
        <f t="shared" si="55"/>
        <v>0.69955156950672648</v>
      </c>
      <c r="K234" s="115">
        <v>942</v>
      </c>
      <c r="L234" s="116">
        <f t="shared" si="56"/>
        <v>-0.17150395778364114</v>
      </c>
      <c r="M234" s="115"/>
      <c r="N234" s="116"/>
    </row>
    <row r="235" spans="2:15" x14ac:dyDescent="0.25">
      <c r="B235" s="114" t="s">
        <v>83</v>
      </c>
      <c r="C235" s="115">
        <v>0</v>
      </c>
      <c r="D235" s="116">
        <v>-1</v>
      </c>
      <c r="E235" s="115">
        <v>915</v>
      </c>
      <c r="F235" s="116" t="str">
        <f t="shared" si="53"/>
        <v>-</v>
      </c>
      <c r="G235" s="115">
        <v>2777</v>
      </c>
      <c r="H235" s="116">
        <f t="shared" si="54"/>
        <v>2.0349726775956283</v>
      </c>
      <c r="I235" s="115">
        <v>1227</v>
      </c>
      <c r="J235" s="116">
        <f t="shared" si="55"/>
        <v>-0.5581562837594527</v>
      </c>
      <c r="K235" s="115">
        <v>1623</v>
      </c>
      <c r="L235" s="116">
        <f t="shared" si="56"/>
        <v>0.32273838630806839</v>
      </c>
      <c r="M235" s="115"/>
      <c r="N235" s="116"/>
    </row>
    <row r="236" spans="2:15" x14ac:dyDescent="0.25">
      <c r="B236" s="114" t="s">
        <v>85</v>
      </c>
      <c r="C236" s="115">
        <v>9</v>
      </c>
      <c r="D236" s="116">
        <v>-0.99605954465849389</v>
      </c>
      <c r="E236" s="115">
        <v>840</v>
      </c>
      <c r="F236" s="116">
        <f t="shared" si="53"/>
        <v>92.333333333333329</v>
      </c>
      <c r="G236" s="115">
        <v>2025</v>
      </c>
      <c r="H236" s="116">
        <f t="shared" si="54"/>
        <v>1.4107142857142856</v>
      </c>
      <c r="I236" s="115">
        <v>1177</v>
      </c>
      <c r="J236" s="116">
        <f t="shared" si="55"/>
        <v>-0.41876543209876538</v>
      </c>
      <c r="K236" s="115">
        <v>1100</v>
      </c>
      <c r="L236" s="116">
        <f t="shared" si="56"/>
        <v>-6.5420560747663559E-2</v>
      </c>
      <c r="M236" s="115"/>
      <c r="N236" s="116"/>
    </row>
    <row r="237" spans="2:15" x14ac:dyDescent="0.25">
      <c r="B237" s="114" t="s">
        <v>87</v>
      </c>
      <c r="C237" s="115">
        <v>100</v>
      </c>
      <c r="D237" s="116">
        <v>-0.94810586403736374</v>
      </c>
      <c r="E237" s="115">
        <v>707</v>
      </c>
      <c r="F237" s="116">
        <f t="shared" si="53"/>
        <v>6.07</v>
      </c>
      <c r="G237" s="115">
        <v>1619</v>
      </c>
      <c r="H237" s="116">
        <f t="shared" si="54"/>
        <v>1.2899575671852901</v>
      </c>
      <c r="I237" s="115">
        <v>906</v>
      </c>
      <c r="J237" s="116">
        <f t="shared" si="55"/>
        <v>-0.44039530574428665</v>
      </c>
      <c r="K237" s="115">
        <v>1480</v>
      </c>
      <c r="L237" s="116">
        <f t="shared" si="56"/>
        <v>0.63355408388520962</v>
      </c>
      <c r="M237" s="115"/>
      <c r="N237" s="116"/>
    </row>
    <row r="238" spans="2:15" x14ac:dyDescent="0.25">
      <c r="B238" s="114" t="s">
        <v>89</v>
      </c>
      <c r="C238" s="115">
        <v>13</v>
      </c>
      <c r="D238" s="116">
        <v>-0.99772647778943691</v>
      </c>
      <c r="E238" s="115">
        <v>3040</v>
      </c>
      <c r="F238" s="116">
        <f t="shared" si="53"/>
        <v>232.84615384615384</v>
      </c>
      <c r="G238" s="115">
        <v>6332</v>
      </c>
      <c r="H238" s="116">
        <f t="shared" si="54"/>
        <v>1.0828947368421051</v>
      </c>
      <c r="I238" s="115">
        <v>4290</v>
      </c>
      <c r="J238" s="116">
        <f t="shared" si="55"/>
        <v>-0.32248894504106129</v>
      </c>
      <c r="K238" s="115">
        <v>4680</v>
      </c>
      <c r="L238" s="116">
        <f t="shared" si="56"/>
        <v>9.0909090909090828E-2</v>
      </c>
      <c r="M238" s="115"/>
      <c r="N238" s="116"/>
    </row>
    <row r="239" spans="2:15" x14ac:dyDescent="0.25">
      <c r="B239" s="114" t="s">
        <v>91</v>
      </c>
      <c r="C239" s="115">
        <v>25</v>
      </c>
      <c r="D239" s="116">
        <v>-0.99760398696568908</v>
      </c>
      <c r="E239" s="115">
        <v>8169</v>
      </c>
      <c r="F239" s="116">
        <f t="shared" si="53"/>
        <v>325.76</v>
      </c>
      <c r="G239" s="115">
        <v>11430</v>
      </c>
      <c r="H239" s="116">
        <f t="shared" si="54"/>
        <v>0.39919206757253023</v>
      </c>
      <c r="I239" s="115">
        <v>10498</v>
      </c>
      <c r="J239" s="116">
        <f t="shared" si="55"/>
        <v>-8.1539807524059538E-2</v>
      </c>
      <c r="K239" s="115">
        <v>10590</v>
      </c>
      <c r="L239" s="116">
        <f t="shared" si="56"/>
        <v>8.7635740140978857E-3</v>
      </c>
      <c r="M239" s="115"/>
      <c r="N239" s="116"/>
    </row>
    <row r="240" spans="2:15" x14ac:dyDescent="0.25">
      <c r="B240" s="114" t="s">
        <v>93</v>
      </c>
      <c r="C240" s="115">
        <v>120</v>
      </c>
      <c r="D240" s="116">
        <v>-0.98584237848041534</v>
      </c>
      <c r="E240" s="115">
        <v>6253</v>
      </c>
      <c r="F240" s="116">
        <f t="shared" si="53"/>
        <v>51.108333333333334</v>
      </c>
      <c r="G240" s="115">
        <v>10183</v>
      </c>
      <c r="H240" s="116">
        <f t="shared" si="54"/>
        <v>0.62849832080601309</v>
      </c>
      <c r="I240" s="115">
        <v>9612</v>
      </c>
      <c r="J240" s="116">
        <f t="shared" si="55"/>
        <v>-5.6073848571147944E-2</v>
      </c>
      <c r="K240" s="115">
        <v>6874</v>
      </c>
      <c r="L240" s="116">
        <f t="shared" si="56"/>
        <v>-0.28485226799833541</v>
      </c>
      <c r="M240" s="115"/>
      <c r="N240" s="116"/>
    </row>
    <row r="241" spans="2:15" ht="15.75" x14ac:dyDescent="0.25">
      <c r="B241" s="117" t="s">
        <v>30</v>
      </c>
      <c r="C241" s="118">
        <v>30460</v>
      </c>
      <c r="D241" s="119">
        <v>-0.59285150976434575</v>
      </c>
      <c r="E241" s="118">
        <v>20871</v>
      </c>
      <c r="F241" s="119">
        <f t="shared" si="53"/>
        <v>-0.314806303348654</v>
      </c>
      <c r="G241" s="118">
        <v>63463</v>
      </c>
      <c r="H241" s="119">
        <f t="shared" si="54"/>
        <v>2.0407263667289541</v>
      </c>
      <c r="I241" s="118">
        <v>74935</v>
      </c>
      <c r="J241" s="119">
        <f t="shared" si="55"/>
        <v>0.18076674597797138</v>
      </c>
      <c r="K241" s="118">
        <v>68632</v>
      </c>
      <c r="L241" s="119">
        <f t="shared" si="56"/>
        <v>-8.4112897844798806E-2</v>
      </c>
      <c r="M241" s="118">
        <v>11922</v>
      </c>
      <c r="N241" s="119">
        <v>1.427971440571163E-3</v>
      </c>
    </row>
    <row r="242" spans="2:15" ht="6" customHeight="1" x14ac:dyDescent="0.25"/>
    <row r="243" spans="2:15" x14ac:dyDescent="0.25">
      <c r="B243" s="105" t="s">
        <v>55</v>
      </c>
      <c r="C243" s="105"/>
      <c r="D243" s="105"/>
      <c r="E243" s="105"/>
      <c r="F243" s="105"/>
      <c r="G243" s="105"/>
      <c r="H243" s="105"/>
      <c r="I243" s="105"/>
      <c r="J243" s="105"/>
      <c r="K243" s="105"/>
      <c r="L243" s="105"/>
      <c r="M243" s="105"/>
      <c r="N243" s="105"/>
    </row>
    <row r="244" spans="2:15" x14ac:dyDescent="0.25">
      <c r="C244" s="120"/>
      <c r="K244" s="120"/>
      <c r="N244" s="79"/>
    </row>
    <row r="250" spans="2:15" ht="48.75" customHeight="1" thickBot="1" x14ac:dyDescent="0.3">
      <c r="B250" s="265" t="s">
        <v>281</v>
      </c>
      <c r="C250" s="265"/>
      <c r="D250" s="265"/>
      <c r="E250" s="265"/>
      <c r="F250" s="265"/>
      <c r="G250" s="265"/>
      <c r="H250" s="265"/>
      <c r="I250" s="265"/>
      <c r="J250" s="265"/>
      <c r="K250" s="265"/>
      <c r="L250" s="265"/>
      <c r="M250" s="265"/>
      <c r="N250" s="265"/>
      <c r="O250" s="1" t="s">
        <v>147</v>
      </c>
    </row>
    <row r="251" spans="2:15" ht="10.5" customHeight="1" thickBot="1" x14ac:dyDescent="0.3">
      <c r="B251" s="106"/>
      <c r="C251" s="107"/>
      <c r="D251" s="106"/>
      <c r="E251" s="106"/>
      <c r="F251" s="106"/>
      <c r="G251" s="106"/>
      <c r="H251" s="106"/>
      <c r="I251" s="106"/>
      <c r="J251" s="106"/>
      <c r="K251" s="106"/>
      <c r="L251" s="106"/>
      <c r="M251" s="4"/>
      <c r="N251" s="4"/>
      <c r="O251" s="1" t="s">
        <v>148</v>
      </c>
    </row>
    <row r="252" spans="2:15" ht="22.5" thickTop="1" thickBot="1" x14ac:dyDescent="0.3">
      <c r="B252" s="121" t="str">
        <f>C252</f>
        <v>Suecia</v>
      </c>
      <c r="C252" s="290" t="s">
        <v>131</v>
      </c>
      <c r="D252" s="291"/>
      <c r="E252" s="291"/>
      <c r="F252" s="291"/>
      <c r="G252" s="291"/>
      <c r="H252" s="291"/>
      <c r="I252" s="291"/>
      <c r="J252" s="291"/>
      <c r="K252" s="291"/>
      <c r="L252" s="291"/>
      <c r="M252" s="291"/>
      <c r="N252" s="291"/>
    </row>
    <row r="253" spans="2:15" ht="22.5" thickTop="1" thickBot="1" x14ac:dyDescent="0.3">
      <c r="B253" s="109"/>
      <c r="C253" s="292">
        <f>$C$7</f>
        <v>2020</v>
      </c>
      <c r="D253" s="293"/>
      <c r="E253" s="294">
        <f>$E$7</f>
        <v>2021</v>
      </c>
      <c r="F253" s="293"/>
      <c r="G253" s="294">
        <f>$G$7</f>
        <v>2022</v>
      </c>
      <c r="H253" s="293"/>
      <c r="I253" s="294">
        <f>$I$7</f>
        <v>2023</v>
      </c>
      <c r="J253" s="293"/>
      <c r="K253" s="294">
        <f>$K$7</f>
        <v>2024</v>
      </c>
      <c r="L253" s="293"/>
      <c r="M253" s="294">
        <f>$M$7</f>
        <v>2025</v>
      </c>
      <c r="N253" s="295"/>
    </row>
    <row r="254" spans="2:15" ht="16.5" thickTop="1" thickBot="1" x14ac:dyDescent="0.3">
      <c r="B254" s="85"/>
      <c r="C254" s="111" t="s">
        <v>69</v>
      </c>
      <c r="D254" s="112" t="str">
        <f>CONCATENATE("var. ",RIGHT(C253,2),"/",RIGHT(C253-1,2))</f>
        <v>var. 20/19</v>
      </c>
      <c r="E254" s="113" t="s">
        <v>69</v>
      </c>
      <c r="F254" s="112" t="str">
        <f>CONCATENATE("var. ",RIGHT(E253,2),"/",RIGHT(E253-1,2))</f>
        <v>var. 21/20</v>
      </c>
      <c r="G254" s="113" t="s">
        <v>69</v>
      </c>
      <c r="H254" s="112" t="str">
        <f>CONCATENATE("var. ",RIGHT(G253,2),"/",RIGHT(G253-1,2))</f>
        <v>var. 22/21</v>
      </c>
      <c r="I254" s="113" t="s">
        <v>69</v>
      </c>
      <c r="J254" s="112" t="s">
        <v>247</v>
      </c>
      <c r="K254" s="113" t="s">
        <v>69</v>
      </c>
      <c r="L254" s="112" t="s">
        <v>248</v>
      </c>
      <c r="M254" s="113" t="s">
        <v>69</v>
      </c>
      <c r="N254" s="112" t="s">
        <v>271</v>
      </c>
    </row>
    <row r="255" spans="2:15" x14ac:dyDescent="0.25">
      <c r="B255" s="114" t="s">
        <v>71</v>
      </c>
      <c r="C255" s="115">
        <v>22962</v>
      </c>
      <c r="D255" s="116">
        <v>0.13977960885535601</v>
      </c>
      <c r="E255" s="115">
        <v>414</v>
      </c>
      <c r="F255" s="116">
        <f t="shared" ref="F255:J267" si="58">IFERROR(E255/C255-1,"-")</f>
        <v>-0.98197021165403708</v>
      </c>
      <c r="G255" s="115">
        <v>8088</v>
      </c>
      <c r="H255" s="116">
        <f t="shared" si="58"/>
        <v>18.536231884057973</v>
      </c>
      <c r="I255" s="115">
        <v>14056</v>
      </c>
      <c r="J255" s="116">
        <f t="shared" si="58"/>
        <v>0.73788328387734925</v>
      </c>
      <c r="K255" s="115">
        <v>15423</v>
      </c>
      <c r="L255" s="116">
        <f t="shared" ref="L255:L267" si="59">IFERROR(K255/I255-1,"-")</f>
        <v>9.7253841775754024E-2</v>
      </c>
      <c r="M255" s="115">
        <v>14766</v>
      </c>
      <c r="N255" s="116">
        <f t="shared" ref="N255" si="60">IFERROR(M255/K255-1,"-")</f>
        <v>-4.2598716203073317E-2</v>
      </c>
    </row>
    <row r="256" spans="2:15" x14ac:dyDescent="0.25">
      <c r="B256" s="114" t="s">
        <v>73</v>
      </c>
      <c r="C256" s="115">
        <v>16812</v>
      </c>
      <c r="D256" s="116">
        <v>0.10532544378698216</v>
      </c>
      <c r="E256" s="115">
        <v>460</v>
      </c>
      <c r="F256" s="116">
        <f t="shared" si="58"/>
        <v>-0.97263859148227461</v>
      </c>
      <c r="G256" s="115">
        <v>5654</v>
      </c>
      <c r="H256" s="116">
        <f t="shared" si="58"/>
        <v>11.291304347826086</v>
      </c>
      <c r="I256" s="115">
        <v>10790</v>
      </c>
      <c r="J256" s="116">
        <f t="shared" si="58"/>
        <v>0.90838344534842586</v>
      </c>
      <c r="K256" s="115">
        <v>14145</v>
      </c>
      <c r="L256" s="116">
        <f t="shared" si="59"/>
        <v>0.31093605189990736</v>
      </c>
      <c r="M256" s="115"/>
      <c r="N256" s="116"/>
    </row>
    <row r="257" spans="2:14" x14ac:dyDescent="0.25">
      <c r="B257" s="114" t="s">
        <v>75</v>
      </c>
      <c r="C257" s="115">
        <v>8864</v>
      </c>
      <c r="D257" s="116">
        <v>-0.4214854457642605</v>
      </c>
      <c r="E257" s="115">
        <v>470</v>
      </c>
      <c r="F257" s="116">
        <f t="shared" si="58"/>
        <v>-0.9469765342960289</v>
      </c>
      <c r="G257" s="115">
        <v>6887</v>
      </c>
      <c r="H257" s="116">
        <f t="shared" si="58"/>
        <v>13.653191489361703</v>
      </c>
      <c r="I257" s="115">
        <v>13448</v>
      </c>
      <c r="J257" s="116">
        <f t="shared" si="58"/>
        <v>0.95266444024974595</v>
      </c>
      <c r="K257" s="115">
        <v>13372</v>
      </c>
      <c r="L257" s="116">
        <f t="shared" si="59"/>
        <v>-5.6513979773944456E-3</v>
      </c>
      <c r="M257" s="115"/>
      <c r="N257" s="116"/>
    </row>
    <row r="258" spans="2:14" x14ac:dyDescent="0.25">
      <c r="B258" s="114" t="s">
        <v>77</v>
      </c>
      <c r="C258" s="115">
        <v>0</v>
      </c>
      <c r="D258" s="116">
        <v>-1</v>
      </c>
      <c r="E258" s="115">
        <v>222</v>
      </c>
      <c r="F258" s="116" t="str">
        <f t="shared" si="58"/>
        <v>-</v>
      </c>
      <c r="G258" s="115">
        <v>5203</v>
      </c>
      <c r="H258" s="116">
        <f t="shared" si="58"/>
        <v>22.436936936936938</v>
      </c>
      <c r="I258" s="115">
        <v>6713</v>
      </c>
      <c r="J258" s="116">
        <f t="shared" si="58"/>
        <v>0.29021718239477234</v>
      </c>
      <c r="K258" s="115">
        <v>6549</v>
      </c>
      <c r="L258" s="116">
        <f t="shared" si="59"/>
        <v>-2.4430210040220501E-2</v>
      </c>
      <c r="M258" s="115"/>
      <c r="N258" s="116"/>
    </row>
    <row r="259" spans="2:14" x14ac:dyDescent="0.25">
      <c r="B259" s="114" t="s">
        <v>79</v>
      </c>
      <c r="C259" s="115">
        <v>0</v>
      </c>
      <c r="D259" s="116">
        <v>-1</v>
      </c>
      <c r="E259" s="115">
        <v>984</v>
      </c>
      <c r="F259" s="116" t="str">
        <f t="shared" si="58"/>
        <v>-</v>
      </c>
      <c r="G259" s="115">
        <v>423</v>
      </c>
      <c r="H259" s="116">
        <f t="shared" si="58"/>
        <v>-0.57012195121951215</v>
      </c>
      <c r="I259" s="115">
        <v>976</v>
      </c>
      <c r="J259" s="116">
        <f t="shared" si="58"/>
        <v>1.3073286052009458</v>
      </c>
      <c r="K259" s="115">
        <v>564</v>
      </c>
      <c r="L259" s="116">
        <f t="shared" si="59"/>
        <v>-0.42213114754098358</v>
      </c>
      <c r="M259" s="115"/>
      <c r="N259" s="116"/>
    </row>
    <row r="260" spans="2:14" x14ac:dyDescent="0.25">
      <c r="B260" s="114" t="s">
        <v>81</v>
      </c>
      <c r="C260" s="115">
        <v>0</v>
      </c>
      <c r="D260" s="116">
        <v>-1</v>
      </c>
      <c r="E260" s="115">
        <v>959</v>
      </c>
      <c r="F260" s="116" t="str">
        <f t="shared" si="58"/>
        <v>-</v>
      </c>
      <c r="G260" s="115">
        <v>476</v>
      </c>
      <c r="H260" s="116">
        <f t="shared" si="58"/>
        <v>-0.50364963503649629</v>
      </c>
      <c r="I260" s="115">
        <v>1174</v>
      </c>
      <c r="J260" s="116">
        <f t="shared" si="58"/>
        <v>1.4663865546218489</v>
      </c>
      <c r="K260" s="115">
        <v>774</v>
      </c>
      <c r="L260" s="116">
        <f t="shared" si="59"/>
        <v>-0.34071550255536631</v>
      </c>
      <c r="M260" s="115"/>
      <c r="N260" s="116"/>
    </row>
    <row r="261" spans="2:14" x14ac:dyDescent="0.25">
      <c r="B261" s="114" t="s">
        <v>83</v>
      </c>
      <c r="C261" s="115">
        <v>0</v>
      </c>
      <c r="D261" s="116">
        <v>-1</v>
      </c>
      <c r="E261" s="115">
        <v>212</v>
      </c>
      <c r="F261" s="116" t="str">
        <f t="shared" si="58"/>
        <v>-</v>
      </c>
      <c r="G261" s="115">
        <v>1013</v>
      </c>
      <c r="H261" s="116">
        <f t="shared" si="58"/>
        <v>3.7783018867924527</v>
      </c>
      <c r="I261" s="115">
        <v>1082</v>
      </c>
      <c r="J261" s="116">
        <f t="shared" si="58"/>
        <v>6.8114511352418639E-2</v>
      </c>
      <c r="K261" s="115">
        <v>428</v>
      </c>
      <c r="L261" s="116">
        <f t="shared" si="59"/>
        <v>-0.60443622920517559</v>
      </c>
      <c r="M261" s="115"/>
      <c r="N261" s="116"/>
    </row>
    <row r="262" spans="2:14" x14ac:dyDescent="0.25">
      <c r="B262" s="114" t="s">
        <v>85</v>
      </c>
      <c r="C262" s="115">
        <v>67</v>
      </c>
      <c r="D262" s="116">
        <v>-0.95902140672782876</v>
      </c>
      <c r="E262" s="115">
        <v>187</v>
      </c>
      <c r="F262" s="116">
        <f t="shared" si="58"/>
        <v>1.7910447761194028</v>
      </c>
      <c r="G262" s="115">
        <v>1100</v>
      </c>
      <c r="H262" s="116">
        <f t="shared" si="58"/>
        <v>4.882352941176471</v>
      </c>
      <c r="I262" s="115">
        <v>642</v>
      </c>
      <c r="J262" s="116">
        <f t="shared" si="58"/>
        <v>-0.41636363636363638</v>
      </c>
      <c r="K262" s="115">
        <v>407</v>
      </c>
      <c r="L262" s="116">
        <f t="shared" si="59"/>
        <v>-0.36604361370716509</v>
      </c>
      <c r="M262" s="115"/>
      <c r="N262" s="116"/>
    </row>
    <row r="263" spans="2:14" x14ac:dyDescent="0.25">
      <c r="B263" s="114" t="s">
        <v>87</v>
      </c>
      <c r="C263" s="115">
        <v>134</v>
      </c>
      <c r="D263" s="116">
        <v>-0.89228295819935688</v>
      </c>
      <c r="E263" s="115">
        <v>591</v>
      </c>
      <c r="F263" s="116">
        <f t="shared" si="58"/>
        <v>3.41044776119403</v>
      </c>
      <c r="G263" s="115">
        <v>876</v>
      </c>
      <c r="H263" s="116">
        <f t="shared" si="58"/>
        <v>0.48223350253807107</v>
      </c>
      <c r="I263" s="115">
        <v>677</v>
      </c>
      <c r="J263" s="116">
        <f t="shared" si="58"/>
        <v>-0.22716894977168944</v>
      </c>
      <c r="K263" s="115">
        <v>1644</v>
      </c>
      <c r="L263" s="116">
        <f t="shared" si="59"/>
        <v>1.4283604135893651</v>
      </c>
      <c r="M263" s="115"/>
      <c r="N263" s="116"/>
    </row>
    <row r="264" spans="2:14" x14ac:dyDescent="0.25">
      <c r="B264" s="114" t="s">
        <v>89</v>
      </c>
      <c r="C264" s="115">
        <v>240</v>
      </c>
      <c r="D264" s="116">
        <v>-0.97433704020530365</v>
      </c>
      <c r="E264" s="115">
        <v>1830</v>
      </c>
      <c r="F264" s="116">
        <f t="shared" si="58"/>
        <v>6.625</v>
      </c>
      <c r="G264" s="115">
        <v>5750</v>
      </c>
      <c r="H264" s="116">
        <f t="shared" si="58"/>
        <v>2.1420765027322406</v>
      </c>
      <c r="I264" s="115">
        <v>5312</v>
      </c>
      <c r="J264" s="116">
        <f t="shared" si="58"/>
        <v>-7.6173913043478314E-2</v>
      </c>
      <c r="K264" s="115">
        <v>3688</v>
      </c>
      <c r="L264" s="116">
        <f t="shared" si="59"/>
        <v>-0.30572289156626509</v>
      </c>
      <c r="M264" s="115"/>
      <c r="N264" s="116"/>
    </row>
    <row r="265" spans="2:14" x14ac:dyDescent="0.25">
      <c r="B265" s="114" t="s">
        <v>91</v>
      </c>
      <c r="C265" s="115">
        <v>431</v>
      </c>
      <c r="D265" s="116">
        <v>-0.97703415569883301</v>
      </c>
      <c r="E265" s="115">
        <v>7490</v>
      </c>
      <c r="F265" s="116">
        <f t="shared" si="58"/>
        <v>16.378190255220417</v>
      </c>
      <c r="G265" s="115">
        <v>10845</v>
      </c>
      <c r="H265" s="116">
        <f t="shared" si="58"/>
        <v>0.44793057409879844</v>
      </c>
      <c r="I265" s="115">
        <v>12717</v>
      </c>
      <c r="J265" s="116">
        <f t="shared" si="58"/>
        <v>0.17261410788381748</v>
      </c>
      <c r="K265" s="115">
        <v>10546</v>
      </c>
      <c r="L265" s="116">
        <f t="shared" si="59"/>
        <v>-0.17071636392230871</v>
      </c>
      <c r="M265" s="115"/>
      <c r="N265" s="116"/>
    </row>
    <row r="266" spans="2:14" x14ac:dyDescent="0.25">
      <c r="B266" s="114" t="s">
        <v>93</v>
      </c>
      <c r="C266" s="115">
        <v>490</v>
      </c>
      <c r="D266" s="116">
        <v>-0.97457319288049404</v>
      </c>
      <c r="E266" s="115">
        <v>8622</v>
      </c>
      <c r="F266" s="116">
        <f t="shared" si="58"/>
        <v>16.59591836734694</v>
      </c>
      <c r="G266" s="115">
        <v>13657</v>
      </c>
      <c r="H266" s="116">
        <f t="shared" si="58"/>
        <v>0.58397123637207149</v>
      </c>
      <c r="I266" s="115">
        <v>14110</v>
      </c>
      <c r="J266" s="116">
        <f t="shared" si="58"/>
        <v>3.3169803031412481E-2</v>
      </c>
      <c r="K266" s="115">
        <v>12135</v>
      </c>
      <c r="L266" s="116">
        <f t="shared" si="59"/>
        <v>-0.13997165131112688</v>
      </c>
      <c r="M266" s="115"/>
      <c r="N266" s="116"/>
    </row>
    <row r="267" spans="2:14" ht="15.75" x14ac:dyDescent="0.25">
      <c r="B267" s="117" t="s">
        <v>30</v>
      </c>
      <c r="C267" s="118">
        <v>50030</v>
      </c>
      <c r="D267" s="119">
        <v>-0.5562552663089273</v>
      </c>
      <c r="E267" s="118">
        <v>22441</v>
      </c>
      <c r="F267" s="119">
        <f t="shared" si="58"/>
        <v>-0.55144913052168698</v>
      </c>
      <c r="G267" s="118">
        <v>59972</v>
      </c>
      <c r="H267" s="119">
        <f t="shared" si="58"/>
        <v>1.6724299273650907</v>
      </c>
      <c r="I267" s="118">
        <v>81697</v>
      </c>
      <c r="J267" s="119">
        <f t="shared" si="58"/>
        <v>0.36225238444607477</v>
      </c>
      <c r="K267" s="118">
        <v>79675</v>
      </c>
      <c r="L267" s="119">
        <f t="shared" si="59"/>
        <v>-2.4749990819736389E-2</v>
      </c>
      <c r="M267" s="118">
        <v>14766</v>
      </c>
      <c r="N267" s="119">
        <v>-4.2598716203073317E-2</v>
      </c>
    </row>
    <row r="268" spans="2:14" ht="6" customHeight="1" x14ac:dyDescent="0.25"/>
    <row r="269" spans="2:14" x14ac:dyDescent="0.25">
      <c r="B269" s="105" t="s">
        <v>55</v>
      </c>
      <c r="C269" s="105"/>
      <c r="D269" s="105"/>
      <c r="E269" s="105"/>
      <c r="F269" s="105"/>
      <c r="G269" s="105"/>
      <c r="H269" s="105"/>
      <c r="I269" s="105"/>
      <c r="J269" s="105"/>
      <c r="K269" s="105"/>
      <c r="L269" s="105"/>
      <c r="M269" s="105"/>
      <c r="N269" s="105"/>
    </row>
    <row r="270" spans="2:14" x14ac:dyDescent="0.25">
      <c r="C270" s="120"/>
      <c r="K270" s="120"/>
      <c r="N270" s="79"/>
    </row>
  </sheetData>
  <mergeCells count="96">
    <mergeCell ref="B4:N4"/>
    <mergeCell ref="C6:N6"/>
    <mergeCell ref="C7:D7"/>
    <mergeCell ref="E7:F7"/>
    <mergeCell ref="G7:H7"/>
    <mergeCell ref="I7:J7"/>
    <mergeCell ref="K7:L7"/>
    <mergeCell ref="M7:N7"/>
    <mergeCell ref="B26:N26"/>
    <mergeCell ref="C28:N28"/>
    <mergeCell ref="C29:D29"/>
    <mergeCell ref="E29:F29"/>
    <mergeCell ref="G29:H29"/>
    <mergeCell ref="I29:J29"/>
    <mergeCell ref="K29:L29"/>
    <mergeCell ref="M29:N29"/>
    <mergeCell ref="B48:N48"/>
    <mergeCell ref="C50:N50"/>
    <mergeCell ref="C51:D51"/>
    <mergeCell ref="E51:F51"/>
    <mergeCell ref="G51:H51"/>
    <mergeCell ref="I51:J51"/>
    <mergeCell ref="K51:L51"/>
    <mergeCell ref="M51:N51"/>
    <mergeCell ref="B70:N70"/>
    <mergeCell ref="C72:N72"/>
    <mergeCell ref="C73:D73"/>
    <mergeCell ref="E73:F73"/>
    <mergeCell ref="G73:H73"/>
    <mergeCell ref="I73:J73"/>
    <mergeCell ref="K73:L73"/>
    <mergeCell ref="M73:N73"/>
    <mergeCell ref="B92:N92"/>
    <mergeCell ref="C94:N94"/>
    <mergeCell ref="C95:D95"/>
    <mergeCell ref="E95:F95"/>
    <mergeCell ref="G95:H95"/>
    <mergeCell ref="I95:J95"/>
    <mergeCell ref="K95:L95"/>
    <mergeCell ref="M95:N95"/>
    <mergeCell ref="B114:N114"/>
    <mergeCell ref="C116:N116"/>
    <mergeCell ref="C117:D117"/>
    <mergeCell ref="E117:F117"/>
    <mergeCell ref="G117:H117"/>
    <mergeCell ref="I117:J117"/>
    <mergeCell ref="K117:L117"/>
    <mergeCell ref="M117:N117"/>
    <mergeCell ref="B136:N136"/>
    <mergeCell ref="C138:N138"/>
    <mergeCell ref="C139:D139"/>
    <mergeCell ref="E139:F139"/>
    <mergeCell ref="G139:H139"/>
    <mergeCell ref="I139:J139"/>
    <mergeCell ref="K139:L139"/>
    <mergeCell ref="M139:N139"/>
    <mergeCell ref="B158:N158"/>
    <mergeCell ref="C160:N160"/>
    <mergeCell ref="C161:D161"/>
    <mergeCell ref="E161:F161"/>
    <mergeCell ref="G161:H161"/>
    <mergeCell ref="I161:J161"/>
    <mergeCell ref="K161:L161"/>
    <mergeCell ref="M161:N161"/>
    <mergeCell ref="B180:N180"/>
    <mergeCell ref="C182:N182"/>
    <mergeCell ref="C183:D183"/>
    <mergeCell ref="E183:F183"/>
    <mergeCell ref="G183:H183"/>
    <mergeCell ref="I183:J183"/>
    <mergeCell ref="K183:L183"/>
    <mergeCell ref="M183:N183"/>
    <mergeCell ref="B202:N202"/>
    <mergeCell ref="C204:N204"/>
    <mergeCell ref="C205:D205"/>
    <mergeCell ref="E205:F205"/>
    <mergeCell ref="G205:H205"/>
    <mergeCell ref="I205:J205"/>
    <mergeCell ref="K205:L205"/>
    <mergeCell ref="M205:N205"/>
    <mergeCell ref="B224:N224"/>
    <mergeCell ref="C226:N226"/>
    <mergeCell ref="C227:D227"/>
    <mergeCell ref="E227:F227"/>
    <mergeCell ref="G227:H227"/>
    <mergeCell ref="I227:J227"/>
    <mergeCell ref="K227:L227"/>
    <mergeCell ref="M227:N227"/>
    <mergeCell ref="B250:N250"/>
    <mergeCell ref="C252:N252"/>
    <mergeCell ref="C253:D253"/>
    <mergeCell ref="E253:F253"/>
    <mergeCell ref="G253:H253"/>
    <mergeCell ref="I253:J253"/>
    <mergeCell ref="K253:L253"/>
    <mergeCell ref="M253:N253"/>
  </mergeCells>
  <pageMargins left="0.7" right="0.7" top="0.75" bottom="0.75" header="0.3" footer="0.3"/>
  <pageSetup paperSize="9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7DE894-5D33-4204-B045-703C6B639EB2}">
  <sheetPr codeName="Hoja47">
    <tabColor rgb="FFF29140"/>
  </sheetPr>
  <dimension ref="A4:O113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4" max="4" width="12.140625" bestFit="1" customWidth="1"/>
    <col min="14" max="14" width="13.5703125" bestFit="1" customWidth="1"/>
  </cols>
  <sheetData>
    <row r="4" spans="1:15" ht="48.75" customHeight="1" thickBot="1" x14ac:dyDescent="0.3">
      <c r="B4" s="265" t="s">
        <v>269</v>
      </c>
      <c r="C4" s="265"/>
      <c r="D4" s="265"/>
      <c r="E4" s="265"/>
      <c r="F4" s="265"/>
      <c r="G4" s="265"/>
      <c r="H4" s="265"/>
      <c r="I4" s="265"/>
      <c r="J4" s="265"/>
      <c r="K4" s="265"/>
      <c r="L4" s="265"/>
      <c r="M4" s="265"/>
      <c r="N4" s="265"/>
      <c r="O4" s="1" t="s">
        <v>66</v>
      </c>
    </row>
    <row r="5" spans="1:15" ht="10.5" customHeight="1" thickBot="1" x14ac:dyDescent="0.3">
      <c r="B5" s="106"/>
      <c r="C5" s="107"/>
      <c r="D5" s="106"/>
      <c r="E5" s="106"/>
      <c r="F5" s="106"/>
      <c r="G5" s="106"/>
      <c r="H5" s="106"/>
      <c r="I5" s="106"/>
      <c r="J5" s="106"/>
      <c r="K5" s="106"/>
      <c r="L5" s="106"/>
      <c r="M5" s="4"/>
      <c r="N5" s="4"/>
      <c r="O5" s="1" t="s">
        <v>67</v>
      </c>
    </row>
    <row r="6" spans="1:15" ht="22.5" thickTop="1" thickBot="1" x14ac:dyDescent="0.3">
      <c r="B6" s="108" t="s">
        <v>30</v>
      </c>
      <c r="C6" s="290" t="s">
        <v>132</v>
      </c>
      <c r="D6" s="291"/>
      <c r="E6" s="291"/>
      <c r="F6" s="291"/>
      <c r="G6" s="291"/>
      <c r="H6" s="291"/>
      <c r="I6" s="291"/>
      <c r="J6" s="291"/>
      <c r="K6" s="291"/>
      <c r="L6" s="291"/>
      <c r="M6" s="291"/>
      <c r="N6" s="291"/>
    </row>
    <row r="7" spans="1:15" ht="22.5" thickTop="1" thickBot="1" x14ac:dyDescent="0.3">
      <c r="B7" s="109"/>
      <c r="C7" s="294">
        <f>E7-1</f>
        <v>2020</v>
      </c>
      <c r="D7" s="293"/>
      <c r="E7" s="294">
        <f>G7-1</f>
        <v>2021</v>
      </c>
      <c r="F7" s="293"/>
      <c r="G7" s="294">
        <f>I7-1</f>
        <v>2022</v>
      </c>
      <c r="H7" s="293"/>
      <c r="I7" s="294">
        <f>K7-1</f>
        <v>2023</v>
      </c>
      <c r="J7" s="293"/>
      <c r="K7" s="294">
        <f>M7-1</f>
        <v>2024</v>
      </c>
      <c r="L7" s="293"/>
      <c r="M7" s="294">
        <v>2025</v>
      </c>
      <c r="N7" s="295"/>
    </row>
    <row r="8" spans="1:15" ht="16.5" thickTop="1" thickBot="1" x14ac:dyDescent="0.3">
      <c r="B8" s="85"/>
      <c r="C8" s="111" t="s">
        <v>69</v>
      </c>
      <c r="D8" s="112" t="str">
        <f>CONCATENATE("var ",RIGHT(C7,2),"/",RIGHT(C7-1,2))</f>
        <v>var 20/19</v>
      </c>
      <c r="E8" s="113" t="s">
        <v>69</v>
      </c>
      <c r="F8" s="112" t="str">
        <f>CONCATENATE("var ",RIGHT(E7,2),"/",RIGHT(C7,2))</f>
        <v>var 21/20</v>
      </c>
      <c r="G8" s="113" t="s">
        <v>69</v>
      </c>
      <c r="H8" s="112" t="str">
        <f>CONCATENATE("var ",RIGHT(G7,2),"/",RIGHT(E7,2))</f>
        <v>var 22/21</v>
      </c>
      <c r="I8" s="113" t="s">
        <v>69</v>
      </c>
      <c r="J8" s="112" t="str">
        <f>CONCATENATE("var ",RIGHT(I7,2),"/",RIGHT(G7,2))</f>
        <v>var 23/22</v>
      </c>
      <c r="K8" s="113" t="s">
        <v>69</v>
      </c>
      <c r="L8" s="112" t="str">
        <f>CONCATENATE("var ",RIGHT(K7,2),"/",RIGHT(I7,2))</f>
        <v>var 24/23</v>
      </c>
      <c r="M8" s="113" t="s">
        <v>69</v>
      </c>
      <c r="N8" s="112" t="str">
        <f>CONCATENATE("var ",RIGHT(M7,2),"/",RIGHT(K7,2))</f>
        <v>var 25/24</v>
      </c>
    </row>
    <row r="9" spans="1:15" x14ac:dyDescent="0.25">
      <c r="A9" s="1" t="s">
        <v>70</v>
      </c>
      <c r="B9" s="114" t="s">
        <v>71</v>
      </c>
      <c r="C9" s="115">
        <v>493497</v>
      </c>
      <c r="D9" s="116">
        <v>1.0158965394424957E-2</v>
      </c>
      <c r="E9" s="115">
        <v>29647</v>
      </c>
      <c r="F9" s="116">
        <f t="shared" ref="F9:L21" si="0">IFERROR(E9/C9-1,"-")</f>
        <v>-0.93992466012964615</v>
      </c>
      <c r="G9" s="115">
        <v>262511</v>
      </c>
      <c r="H9" s="116">
        <f t="shared" si="0"/>
        <v>7.8545552669747369</v>
      </c>
      <c r="I9" s="115">
        <v>459644</v>
      </c>
      <c r="J9" s="116">
        <f t="shared" si="0"/>
        <v>0.75095138870371136</v>
      </c>
      <c r="K9" s="115">
        <v>482317</v>
      </c>
      <c r="L9" s="116">
        <f t="shared" si="0"/>
        <v>4.9327305479893058E-2</v>
      </c>
      <c r="M9" s="115">
        <v>494946</v>
      </c>
      <c r="N9" s="116">
        <f t="shared" ref="N9" si="1">IFERROR(M9/K9-1,"-")</f>
        <v>2.6184024199851885E-2</v>
      </c>
    </row>
    <row r="10" spans="1:15" x14ac:dyDescent="0.25">
      <c r="A10" s="1" t="s">
        <v>72</v>
      </c>
      <c r="B10" s="114" t="s">
        <v>73</v>
      </c>
      <c r="C10" s="115">
        <v>430844</v>
      </c>
      <c r="D10" s="116">
        <v>-9.1417348367941464E-3</v>
      </c>
      <c r="E10" s="115">
        <v>25901</v>
      </c>
      <c r="F10" s="116">
        <f t="shared" si="0"/>
        <v>-0.93988311314536122</v>
      </c>
      <c r="G10" s="115">
        <v>300105</v>
      </c>
      <c r="H10" s="116">
        <f t="shared" si="0"/>
        <v>10.586618277286592</v>
      </c>
      <c r="I10" s="115">
        <v>411785</v>
      </c>
      <c r="J10" s="116">
        <f t="shared" si="0"/>
        <v>0.37213641892004468</v>
      </c>
      <c r="K10" s="115">
        <v>476786</v>
      </c>
      <c r="L10" s="116">
        <f t="shared" si="0"/>
        <v>0.15785179159027152</v>
      </c>
      <c r="M10" s="115"/>
      <c r="N10" s="116"/>
    </row>
    <row r="11" spans="1:15" x14ac:dyDescent="0.25">
      <c r="A11" s="1" t="s">
        <v>74</v>
      </c>
      <c r="B11" s="114" t="s">
        <v>75</v>
      </c>
      <c r="C11" s="115">
        <v>217806</v>
      </c>
      <c r="D11" s="116">
        <v>-0.53633437502661008</v>
      </c>
      <c r="E11" s="115">
        <v>35797</v>
      </c>
      <c r="F11" s="116">
        <f t="shared" si="0"/>
        <v>-0.83564731917394375</v>
      </c>
      <c r="G11" s="115">
        <v>366039</v>
      </c>
      <c r="H11" s="116">
        <f t="shared" si="0"/>
        <v>9.225409950554516</v>
      </c>
      <c r="I11" s="115">
        <v>435839</v>
      </c>
      <c r="J11" s="116">
        <f t="shared" si="0"/>
        <v>0.19069006308071001</v>
      </c>
      <c r="K11" s="115">
        <v>499150</v>
      </c>
      <c r="L11" s="116">
        <f t="shared" si="0"/>
        <v>0.14526235605349691</v>
      </c>
      <c r="M11" s="115"/>
      <c r="N11" s="116"/>
    </row>
    <row r="12" spans="1:15" x14ac:dyDescent="0.25">
      <c r="A12" s="1" t="s">
        <v>76</v>
      </c>
      <c r="B12" s="114" t="s">
        <v>77</v>
      </c>
      <c r="C12" s="115">
        <v>0</v>
      </c>
      <c r="D12" s="116">
        <v>-1</v>
      </c>
      <c r="E12" s="115">
        <v>33867</v>
      </c>
      <c r="F12" s="116" t="str">
        <f t="shared" si="0"/>
        <v>-</v>
      </c>
      <c r="G12" s="115">
        <v>348988</v>
      </c>
      <c r="H12" s="116">
        <f t="shared" si="0"/>
        <v>9.3046623556854762</v>
      </c>
      <c r="I12" s="115">
        <v>379392</v>
      </c>
      <c r="J12" s="116">
        <f t="shared" si="0"/>
        <v>8.7120474056414654E-2</v>
      </c>
      <c r="K12" s="115">
        <v>411482</v>
      </c>
      <c r="L12" s="116">
        <f t="shared" si="0"/>
        <v>8.4582700742240169E-2</v>
      </c>
      <c r="M12" s="115"/>
      <c r="N12" s="116"/>
    </row>
    <row r="13" spans="1:15" x14ac:dyDescent="0.25">
      <c r="A13" s="1" t="s">
        <v>78</v>
      </c>
      <c r="B13" s="114" t="s">
        <v>79</v>
      </c>
      <c r="C13" s="115">
        <v>0</v>
      </c>
      <c r="D13" s="116">
        <v>-1</v>
      </c>
      <c r="E13" s="115">
        <v>65490</v>
      </c>
      <c r="F13" s="116" t="str">
        <f t="shared" si="0"/>
        <v>-</v>
      </c>
      <c r="G13" s="115">
        <v>310799</v>
      </c>
      <c r="H13" s="116">
        <f t="shared" si="0"/>
        <v>3.7457474423576116</v>
      </c>
      <c r="I13" s="115">
        <v>340598</v>
      </c>
      <c r="J13" s="116">
        <f t="shared" si="0"/>
        <v>9.5878686868361873E-2</v>
      </c>
      <c r="K13" s="115">
        <v>405702</v>
      </c>
      <c r="L13" s="116">
        <f t="shared" si="0"/>
        <v>0.19114616057639799</v>
      </c>
      <c r="M13" s="115"/>
      <c r="N13" s="116"/>
    </row>
    <row r="14" spans="1:15" x14ac:dyDescent="0.25">
      <c r="A14" s="1" t="s">
        <v>80</v>
      </c>
      <c r="B14" s="114" t="s">
        <v>81</v>
      </c>
      <c r="C14" s="115">
        <v>0</v>
      </c>
      <c r="D14" s="116">
        <v>-1</v>
      </c>
      <c r="E14" s="115">
        <v>110623</v>
      </c>
      <c r="F14" s="116" t="str">
        <f t="shared" si="0"/>
        <v>-</v>
      </c>
      <c r="G14" s="115">
        <v>364068</v>
      </c>
      <c r="H14" s="116">
        <f t="shared" si="0"/>
        <v>2.2910696690561636</v>
      </c>
      <c r="I14" s="115">
        <v>393768</v>
      </c>
      <c r="J14" s="116">
        <f t="shared" si="0"/>
        <v>8.1578166716107958E-2</v>
      </c>
      <c r="K14" s="115">
        <v>460449</v>
      </c>
      <c r="L14" s="116">
        <f t="shared" si="0"/>
        <v>0.16934083013347956</v>
      </c>
      <c r="M14" s="115"/>
      <c r="N14" s="116"/>
    </row>
    <row r="15" spans="1:15" x14ac:dyDescent="0.25">
      <c r="A15" s="1" t="s">
        <v>82</v>
      </c>
      <c r="B15" s="114" t="s">
        <v>83</v>
      </c>
      <c r="C15" s="115">
        <v>0</v>
      </c>
      <c r="D15" s="116">
        <v>-1</v>
      </c>
      <c r="E15" s="115">
        <v>225677</v>
      </c>
      <c r="F15" s="116" t="str">
        <f t="shared" si="0"/>
        <v>-</v>
      </c>
      <c r="G15" s="115">
        <v>417659</v>
      </c>
      <c r="H15" s="116">
        <f t="shared" si="0"/>
        <v>0.85069369054001953</v>
      </c>
      <c r="I15" s="115">
        <v>454413</v>
      </c>
      <c r="J15" s="116">
        <f t="shared" si="0"/>
        <v>8.8000019154381937E-2</v>
      </c>
      <c r="K15" s="115">
        <v>532065</v>
      </c>
      <c r="L15" s="116">
        <f t="shared" si="0"/>
        <v>0.17088419565461366</v>
      </c>
      <c r="M15" s="115"/>
      <c r="N15" s="116"/>
    </row>
    <row r="16" spans="1:15" x14ac:dyDescent="0.25">
      <c r="A16" s="1" t="s">
        <v>84</v>
      </c>
      <c r="B16" s="114" t="s">
        <v>85</v>
      </c>
      <c r="C16" s="115">
        <v>115808</v>
      </c>
      <c r="D16" s="116">
        <v>-0.7741072194870755</v>
      </c>
      <c r="E16" s="115">
        <v>283986</v>
      </c>
      <c r="F16" s="116">
        <f t="shared" si="0"/>
        <v>1.4522140093948606</v>
      </c>
      <c r="G16" s="115">
        <v>416027</v>
      </c>
      <c r="H16" s="116">
        <f t="shared" si="0"/>
        <v>0.46495601895868099</v>
      </c>
      <c r="I16" s="115">
        <v>480859</v>
      </c>
      <c r="J16" s="116">
        <f t="shared" si="0"/>
        <v>0.15583603948782176</v>
      </c>
      <c r="K16" s="115">
        <v>551869</v>
      </c>
      <c r="L16" s="116">
        <f t="shared" si="0"/>
        <v>0.14767322645515635</v>
      </c>
      <c r="M16" s="115"/>
      <c r="N16" s="116"/>
    </row>
    <row r="17" spans="1:15" x14ac:dyDescent="0.25">
      <c r="A17" s="1" t="s">
        <v>86</v>
      </c>
      <c r="B17" s="114" t="s">
        <v>87</v>
      </c>
      <c r="C17" s="115">
        <v>80706</v>
      </c>
      <c r="D17" s="116">
        <v>-0.82868605391636596</v>
      </c>
      <c r="E17" s="115">
        <v>281990</v>
      </c>
      <c r="F17" s="116">
        <f t="shared" si="0"/>
        <v>2.4940400961514633</v>
      </c>
      <c r="G17" s="115">
        <v>378277</v>
      </c>
      <c r="H17" s="116">
        <f t="shared" si="0"/>
        <v>0.34145537075782828</v>
      </c>
      <c r="I17" s="115">
        <v>441114</v>
      </c>
      <c r="J17" s="116">
        <f t="shared" si="0"/>
        <v>0.16611372089764909</v>
      </c>
      <c r="K17" s="115">
        <v>489204</v>
      </c>
      <c r="L17" s="116">
        <f t="shared" si="0"/>
        <v>0.10901943715230078</v>
      </c>
      <c r="M17" s="115"/>
      <c r="N17" s="116"/>
    </row>
    <row r="18" spans="1:15" x14ac:dyDescent="0.25">
      <c r="A18" s="1" t="s">
        <v>88</v>
      </c>
      <c r="B18" s="114" t="s">
        <v>89</v>
      </c>
      <c r="C18" s="115">
        <v>56100</v>
      </c>
      <c r="D18" s="116">
        <v>-0.86636143395848864</v>
      </c>
      <c r="E18" s="115">
        <v>287185</v>
      </c>
      <c r="F18" s="116">
        <f t="shared" si="0"/>
        <v>4.1191622103386809</v>
      </c>
      <c r="G18" s="115">
        <v>375972</v>
      </c>
      <c r="H18" s="116">
        <f t="shared" si="0"/>
        <v>0.30916308303010265</v>
      </c>
      <c r="I18" s="115">
        <v>428972</v>
      </c>
      <c r="J18" s="116">
        <f t="shared" si="0"/>
        <v>0.14096794442139315</v>
      </c>
      <c r="K18" s="115">
        <v>490987</v>
      </c>
      <c r="L18" s="116">
        <f t="shared" si="0"/>
        <v>0.14456654513581313</v>
      </c>
      <c r="M18" s="115"/>
      <c r="N18" s="116"/>
    </row>
    <row r="19" spans="1:15" x14ac:dyDescent="0.25">
      <c r="A19" s="1" t="s">
        <v>90</v>
      </c>
      <c r="B19" s="114" t="s">
        <v>91</v>
      </c>
      <c r="C19" s="115">
        <v>36828</v>
      </c>
      <c r="D19" s="116">
        <v>-0.92058892022666705</v>
      </c>
      <c r="E19" s="115">
        <v>303117</v>
      </c>
      <c r="F19" s="116">
        <f t="shared" si="0"/>
        <v>7.2306125773867702</v>
      </c>
      <c r="G19" s="115">
        <v>401911</v>
      </c>
      <c r="H19" s="116">
        <f t="shared" si="0"/>
        <v>0.32592695229894719</v>
      </c>
      <c r="I19" s="115">
        <v>456108</v>
      </c>
      <c r="J19" s="116">
        <f t="shared" si="0"/>
        <v>0.13484826242625858</v>
      </c>
      <c r="K19" s="115">
        <v>482914</v>
      </c>
      <c r="L19" s="116">
        <f t="shared" si="0"/>
        <v>5.877116823208528E-2</v>
      </c>
      <c r="M19" s="115"/>
      <c r="N19" s="116"/>
    </row>
    <row r="20" spans="1:15" x14ac:dyDescent="0.25">
      <c r="A20" s="1" t="s">
        <v>92</v>
      </c>
      <c r="B20" s="114" t="s">
        <v>93</v>
      </c>
      <c r="C20" s="115">
        <v>44846</v>
      </c>
      <c r="D20" s="116">
        <v>-0.90272882455139569</v>
      </c>
      <c r="E20" s="115">
        <v>284082</v>
      </c>
      <c r="F20" s="116">
        <f t="shared" si="0"/>
        <v>5.3346117825447088</v>
      </c>
      <c r="G20" s="115">
        <v>410037</v>
      </c>
      <c r="H20" s="116">
        <f t="shared" si="0"/>
        <v>0.4433755042558134</v>
      </c>
      <c r="I20" s="115">
        <v>440835</v>
      </c>
      <c r="J20" s="116">
        <f t="shared" si="0"/>
        <v>7.5110294924604304E-2</v>
      </c>
      <c r="K20" s="115">
        <v>468874</v>
      </c>
      <c r="L20" s="116">
        <f t="shared" si="0"/>
        <v>6.3604296392074211E-2</v>
      </c>
      <c r="M20" s="115"/>
      <c r="N20" s="116"/>
    </row>
    <row r="21" spans="1:15" ht="15.75" x14ac:dyDescent="0.25">
      <c r="A21" s="1"/>
      <c r="B21" s="117" t="s">
        <v>30</v>
      </c>
      <c r="C21" s="118">
        <v>1546641</v>
      </c>
      <c r="D21" s="119">
        <v>-0.71841117178520508</v>
      </c>
      <c r="E21" s="118">
        <v>1967362</v>
      </c>
      <c r="F21" s="119">
        <f t="shared" si="0"/>
        <v>0.27202240209589679</v>
      </c>
      <c r="G21" s="118">
        <v>4352393</v>
      </c>
      <c r="H21" s="119">
        <f t="shared" si="0"/>
        <v>1.2122990075034488</v>
      </c>
      <c r="I21" s="118">
        <v>5123327</v>
      </c>
      <c r="J21" s="119">
        <f t="shared" si="0"/>
        <v>0.17712876571577985</v>
      </c>
      <c r="K21" s="118">
        <v>5751799</v>
      </c>
      <c r="L21" s="119">
        <f t="shared" si="0"/>
        <v>0.12266872678632468</v>
      </c>
      <c r="M21" s="118">
        <v>494946</v>
      </c>
      <c r="N21" s="119">
        <v>2.6184024199851885E-2</v>
      </c>
    </row>
    <row r="22" spans="1:15" ht="6" customHeight="1" x14ac:dyDescent="0.25"/>
    <row r="23" spans="1:15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</row>
    <row r="24" spans="1:15" x14ac:dyDescent="0.25">
      <c r="K24" s="120"/>
      <c r="N24" s="79"/>
    </row>
    <row r="26" spans="1:15" ht="48.75" customHeight="1" thickBot="1" x14ac:dyDescent="0.3">
      <c r="B26" s="265" t="s">
        <v>282</v>
      </c>
      <c r="C26" s="265"/>
      <c r="D26" s="265"/>
      <c r="E26" s="265"/>
      <c r="F26" s="265"/>
      <c r="G26" s="265"/>
      <c r="H26" s="265"/>
      <c r="I26" s="265"/>
      <c r="J26" s="265"/>
      <c r="K26" s="265"/>
      <c r="L26" s="265"/>
      <c r="M26" s="265"/>
      <c r="N26" s="265"/>
      <c r="O26" s="1" t="s">
        <v>94</v>
      </c>
    </row>
    <row r="27" spans="1:15" ht="10.5" customHeight="1" thickBot="1" x14ac:dyDescent="0.3">
      <c r="B27" s="106"/>
      <c r="C27" s="107"/>
      <c r="D27" s="106"/>
      <c r="E27" s="106"/>
      <c r="F27" s="106"/>
      <c r="G27" s="106"/>
      <c r="H27" s="106"/>
      <c r="I27" s="106"/>
      <c r="J27" s="106"/>
      <c r="K27" s="106"/>
      <c r="L27" s="106"/>
      <c r="M27" s="4"/>
      <c r="N27" s="4"/>
      <c r="O27" s="1" t="s">
        <v>95</v>
      </c>
    </row>
    <row r="28" spans="1:15" ht="22.5" thickTop="1" thickBot="1" x14ac:dyDescent="0.3">
      <c r="B28" s="121" t="s">
        <v>96</v>
      </c>
      <c r="C28" s="290" t="s">
        <v>137</v>
      </c>
      <c r="D28" s="291"/>
      <c r="E28" s="291"/>
      <c r="F28" s="291"/>
      <c r="G28" s="291"/>
      <c r="H28" s="291"/>
      <c r="I28" s="291"/>
      <c r="J28" s="291"/>
      <c r="K28" s="291"/>
      <c r="L28" s="291"/>
      <c r="M28" s="291"/>
      <c r="N28" s="291"/>
    </row>
    <row r="29" spans="1:15" ht="22.5" thickTop="1" thickBot="1" x14ac:dyDescent="0.3">
      <c r="B29" s="109"/>
      <c r="C29" s="292">
        <f>C$7</f>
        <v>2020</v>
      </c>
      <c r="D29" s="293"/>
      <c r="E29" s="292">
        <f>E$7</f>
        <v>2021</v>
      </c>
      <c r="F29" s="293"/>
      <c r="G29" s="292">
        <f>G$7</f>
        <v>2022</v>
      </c>
      <c r="H29" s="293"/>
      <c r="I29" s="292">
        <f>I$7</f>
        <v>2023</v>
      </c>
      <c r="J29" s="293"/>
      <c r="K29" s="292">
        <f>K$7</f>
        <v>2024</v>
      </c>
      <c r="L29" s="293"/>
      <c r="M29" s="294">
        <f>M$7</f>
        <v>2025</v>
      </c>
      <c r="N29" s="295"/>
    </row>
    <row r="30" spans="1:15" ht="16.5" thickTop="1" thickBot="1" x14ac:dyDescent="0.3">
      <c r="B30" s="85"/>
      <c r="C30" s="111" t="s">
        <v>69</v>
      </c>
      <c r="D30" s="112" t="str">
        <f>CONCATENATE("var ",RIGHT(C29,2),"/",RIGHT(C29-1,2))</f>
        <v>var 20/19</v>
      </c>
      <c r="E30" s="113" t="s">
        <v>69</v>
      </c>
      <c r="F30" s="112" t="str">
        <f>CONCATENATE("var ",RIGHT(E29,2),"/",RIGHT(C29,2))</f>
        <v>var 21/20</v>
      </c>
      <c r="G30" s="113" t="s">
        <v>69</v>
      </c>
      <c r="H30" s="112" t="str">
        <f>CONCATENATE("var ",RIGHT(G29,2),"/",RIGHT(E29,2))</f>
        <v>var 22/21</v>
      </c>
      <c r="I30" s="113" t="s">
        <v>69</v>
      </c>
      <c r="J30" s="112" t="str">
        <f>CONCATENATE("var ",RIGHT(I29,2),"/",RIGHT(G29,2))</f>
        <v>var 23/22</v>
      </c>
      <c r="K30" s="113" t="s">
        <v>69</v>
      </c>
      <c r="L30" s="112" t="str">
        <f>CONCATENATE("var ",RIGHT(K29,2),"/",RIGHT(I29,2))</f>
        <v>var 24/23</v>
      </c>
      <c r="M30" s="113" t="s">
        <v>69</v>
      </c>
      <c r="N30" s="112" t="str">
        <f>CONCATENATE("var ",RIGHT(M29,2),"/",RIGHT(K29,2))</f>
        <v>var 25/24</v>
      </c>
    </row>
    <row r="31" spans="1:15" x14ac:dyDescent="0.25">
      <c r="B31" s="114" t="s">
        <v>71</v>
      </c>
      <c r="C31" s="115">
        <v>373415</v>
      </c>
      <c r="D31" s="116">
        <v>1.4185533634625491E-2</v>
      </c>
      <c r="E31" s="115">
        <v>19618</v>
      </c>
      <c r="F31" s="116">
        <f t="shared" ref="F31:J43" si="2">IFERROR(E31/C31-1,"-")</f>
        <v>-0.94746327812219644</v>
      </c>
      <c r="G31" s="115">
        <v>196008</v>
      </c>
      <c r="H31" s="116">
        <f t="shared" si="2"/>
        <v>8.9912325415434804</v>
      </c>
      <c r="I31" s="115">
        <v>361401</v>
      </c>
      <c r="J31" s="116">
        <f t="shared" si="2"/>
        <v>0.84380739561650553</v>
      </c>
      <c r="K31" s="115">
        <v>388603</v>
      </c>
      <c r="L31" s="116">
        <f t="shared" ref="L31:L43" si="3">IFERROR(K31/I31-1,"-")</f>
        <v>7.5268192395704592E-2</v>
      </c>
      <c r="M31" s="115">
        <v>397887</v>
      </c>
      <c r="N31" s="116">
        <f t="shared" ref="N31" si="4">IFERROR(M31/K31-1,"-")</f>
        <v>2.3890705938965917E-2</v>
      </c>
    </row>
    <row r="32" spans="1:15" x14ac:dyDescent="0.25">
      <c r="B32" s="114" t="s">
        <v>73</v>
      </c>
      <c r="C32" s="115">
        <v>332081</v>
      </c>
      <c r="D32" s="116">
        <v>-9.0338589031624394E-6</v>
      </c>
      <c r="E32" s="115">
        <v>15920</v>
      </c>
      <c r="F32" s="116">
        <f t="shared" si="2"/>
        <v>-0.95205988900298422</v>
      </c>
      <c r="G32" s="115">
        <v>230918</v>
      </c>
      <c r="H32" s="116">
        <f t="shared" si="2"/>
        <v>13.504899497487438</v>
      </c>
      <c r="I32" s="115">
        <v>321582</v>
      </c>
      <c r="J32" s="116">
        <f t="shared" si="2"/>
        <v>0.39262422158515142</v>
      </c>
      <c r="K32" s="115">
        <v>385800</v>
      </c>
      <c r="L32" s="116">
        <f t="shared" si="3"/>
        <v>0.19969401272459275</v>
      </c>
      <c r="M32" s="115"/>
      <c r="N32" s="116"/>
    </row>
    <row r="33" spans="2:15" x14ac:dyDescent="0.25">
      <c r="B33" s="114" t="s">
        <v>75</v>
      </c>
      <c r="C33" s="115">
        <v>163870</v>
      </c>
      <c r="D33" s="116">
        <v>-0.54615951300841381</v>
      </c>
      <c r="E33" s="115">
        <v>23752</v>
      </c>
      <c r="F33" s="116">
        <f t="shared" si="2"/>
        <v>-0.85505583694391896</v>
      </c>
      <c r="G33" s="115">
        <v>290346</v>
      </c>
      <c r="H33" s="116">
        <f t="shared" si="2"/>
        <v>11.224065341865948</v>
      </c>
      <c r="I33" s="115">
        <v>342372</v>
      </c>
      <c r="J33" s="116">
        <f t="shared" si="2"/>
        <v>0.17918621231220677</v>
      </c>
      <c r="K33" s="115">
        <v>400622</v>
      </c>
      <c r="L33" s="116">
        <f t="shared" si="3"/>
        <v>0.17013657658920711</v>
      </c>
      <c r="M33" s="115"/>
      <c r="N33" s="116"/>
    </row>
    <row r="34" spans="2:15" x14ac:dyDescent="0.25">
      <c r="B34" s="114" t="s">
        <v>77</v>
      </c>
      <c r="C34" s="115">
        <v>0</v>
      </c>
      <c r="D34" s="116">
        <v>-1</v>
      </c>
      <c r="E34" s="115">
        <v>20518</v>
      </c>
      <c r="F34" s="116" t="str">
        <f t="shared" si="2"/>
        <v>-</v>
      </c>
      <c r="G34" s="115">
        <v>278903</v>
      </c>
      <c r="H34" s="116">
        <f t="shared" si="2"/>
        <v>12.593088995028756</v>
      </c>
      <c r="I34" s="115">
        <v>302352</v>
      </c>
      <c r="J34" s="116">
        <f t="shared" si="2"/>
        <v>8.4075825645475222E-2</v>
      </c>
      <c r="K34" s="115">
        <v>325621</v>
      </c>
      <c r="L34" s="116">
        <f t="shared" si="3"/>
        <v>7.695996719055942E-2</v>
      </c>
      <c r="M34" s="115"/>
      <c r="N34" s="116"/>
    </row>
    <row r="35" spans="2:15" x14ac:dyDescent="0.25">
      <c r="B35" s="114" t="s">
        <v>79</v>
      </c>
      <c r="C35" s="115">
        <v>0</v>
      </c>
      <c r="D35" s="116">
        <v>-1</v>
      </c>
      <c r="E35" s="115">
        <v>44031</v>
      </c>
      <c r="F35" s="116" t="str">
        <f t="shared" si="2"/>
        <v>-</v>
      </c>
      <c r="G35" s="115">
        <v>254517</v>
      </c>
      <c r="H35" s="116">
        <f t="shared" si="2"/>
        <v>4.7804047148599853</v>
      </c>
      <c r="I35" s="115">
        <v>274338</v>
      </c>
      <c r="J35" s="116">
        <f t="shared" si="2"/>
        <v>7.7876919812821965E-2</v>
      </c>
      <c r="K35" s="115">
        <v>335432</v>
      </c>
      <c r="L35" s="116">
        <f t="shared" si="3"/>
        <v>0.22269609022446768</v>
      </c>
      <c r="M35" s="115"/>
      <c r="N35" s="116"/>
    </row>
    <row r="36" spans="2:15" x14ac:dyDescent="0.25">
      <c r="B36" s="114" t="s">
        <v>81</v>
      </c>
      <c r="C36" s="115">
        <v>0</v>
      </c>
      <c r="D36" s="116">
        <v>-1</v>
      </c>
      <c r="E36" s="115">
        <v>81020</v>
      </c>
      <c r="F36" s="116" t="str">
        <f t="shared" si="2"/>
        <v>-</v>
      </c>
      <c r="G36" s="115">
        <v>296860</v>
      </c>
      <c r="H36" s="116">
        <f t="shared" si="2"/>
        <v>2.6640335719575412</v>
      </c>
      <c r="I36" s="115">
        <v>316101</v>
      </c>
      <c r="J36" s="116">
        <f t="shared" si="2"/>
        <v>6.4815064340092876E-2</v>
      </c>
      <c r="K36" s="115">
        <v>376782</v>
      </c>
      <c r="L36" s="116">
        <f t="shared" si="3"/>
        <v>0.19196712443174802</v>
      </c>
      <c r="M36" s="115"/>
      <c r="N36" s="116"/>
    </row>
    <row r="37" spans="2:15" x14ac:dyDescent="0.25">
      <c r="B37" s="114" t="s">
        <v>83</v>
      </c>
      <c r="C37" s="115">
        <v>0</v>
      </c>
      <c r="D37" s="116">
        <v>-1</v>
      </c>
      <c r="E37" s="115">
        <v>177380</v>
      </c>
      <c r="F37" s="116" t="str">
        <f t="shared" si="2"/>
        <v>-</v>
      </c>
      <c r="G37" s="115">
        <v>328256</v>
      </c>
      <c r="H37" s="116">
        <f t="shared" si="2"/>
        <v>0.85058067425865369</v>
      </c>
      <c r="I37" s="115">
        <v>361648</v>
      </c>
      <c r="J37" s="116">
        <f t="shared" si="2"/>
        <v>0.10172548255020475</v>
      </c>
      <c r="K37" s="115">
        <v>429398</v>
      </c>
      <c r="L37" s="116">
        <f t="shared" si="3"/>
        <v>0.18733685793921162</v>
      </c>
      <c r="M37" s="115"/>
      <c r="N37" s="116"/>
    </row>
    <row r="38" spans="2:15" x14ac:dyDescent="0.25">
      <c r="B38" s="114" t="s">
        <v>85</v>
      </c>
      <c r="C38" s="115">
        <v>87947</v>
      </c>
      <c r="D38" s="116">
        <v>-0.7821039148305704</v>
      </c>
      <c r="E38" s="115">
        <v>229749</v>
      </c>
      <c r="F38" s="116">
        <f t="shared" si="2"/>
        <v>1.6123574425506271</v>
      </c>
      <c r="G38" s="115">
        <v>330578</v>
      </c>
      <c r="H38" s="116">
        <f t="shared" si="2"/>
        <v>0.43886589277864108</v>
      </c>
      <c r="I38" s="115">
        <v>399402</v>
      </c>
      <c r="J38" s="116">
        <f t="shared" si="2"/>
        <v>0.20819292269903023</v>
      </c>
      <c r="K38" s="115">
        <v>441301</v>
      </c>
      <c r="L38" s="116">
        <f t="shared" si="3"/>
        <v>0.10490433197630455</v>
      </c>
      <c r="M38" s="115"/>
      <c r="N38" s="116"/>
    </row>
    <row r="39" spans="2:15" x14ac:dyDescent="0.25">
      <c r="B39" s="114" t="s">
        <v>87</v>
      </c>
      <c r="C39" s="115">
        <v>61722</v>
      </c>
      <c r="D39" s="116">
        <v>-0.83720053069008171</v>
      </c>
      <c r="E39" s="115">
        <v>231886</v>
      </c>
      <c r="F39" s="116">
        <f t="shared" si="2"/>
        <v>2.7569424192346328</v>
      </c>
      <c r="G39" s="115">
        <v>315701</v>
      </c>
      <c r="H39" s="116">
        <f t="shared" si="2"/>
        <v>0.3614491603632819</v>
      </c>
      <c r="I39" s="115">
        <v>360982</v>
      </c>
      <c r="J39" s="116">
        <f t="shared" si="2"/>
        <v>0.14343001764327634</v>
      </c>
      <c r="K39" s="115">
        <v>390629</v>
      </c>
      <c r="L39" s="116">
        <f t="shared" si="3"/>
        <v>8.212874880187937E-2</v>
      </c>
      <c r="M39" s="115"/>
      <c r="N39" s="116"/>
    </row>
    <row r="40" spans="2:15" x14ac:dyDescent="0.25">
      <c r="B40" s="114" t="s">
        <v>89</v>
      </c>
      <c r="C40" s="115">
        <v>42156</v>
      </c>
      <c r="D40" s="116">
        <v>-0.87258428188868808</v>
      </c>
      <c r="E40" s="115">
        <v>233583</v>
      </c>
      <c r="F40" s="116">
        <f t="shared" si="2"/>
        <v>4.5409194420723029</v>
      </c>
      <c r="G40" s="115">
        <v>299153</v>
      </c>
      <c r="H40" s="116">
        <f t="shared" si="2"/>
        <v>0.28071392181794041</v>
      </c>
      <c r="I40" s="115">
        <v>353071</v>
      </c>
      <c r="J40" s="116">
        <f t="shared" si="2"/>
        <v>0.18023553165102801</v>
      </c>
      <c r="K40" s="115">
        <v>401956</v>
      </c>
      <c r="L40" s="116">
        <f t="shared" si="3"/>
        <v>0.13845657105794595</v>
      </c>
      <c r="M40" s="115"/>
      <c r="N40" s="116"/>
    </row>
    <row r="41" spans="2:15" x14ac:dyDescent="0.25">
      <c r="B41" s="114" t="s">
        <v>91</v>
      </c>
      <c r="C41" s="115">
        <v>24880</v>
      </c>
      <c r="D41" s="116">
        <v>-0.93086891768733193</v>
      </c>
      <c r="E41" s="115">
        <v>241067</v>
      </c>
      <c r="F41" s="116">
        <f t="shared" si="2"/>
        <v>8.6891881028938904</v>
      </c>
      <c r="G41" s="115">
        <v>315687</v>
      </c>
      <c r="H41" s="116">
        <f t="shared" si="2"/>
        <v>0.30954050118846621</v>
      </c>
      <c r="I41" s="115">
        <v>365540</v>
      </c>
      <c r="J41" s="116">
        <f t="shared" si="2"/>
        <v>0.15791907807416838</v>
      </c>
      <c r="K41" s="115">
        <v>389586</v>
      </c>
      <c r="L41" s="116">
        <f t="shared" si="3"/>
        <v>6.5782130546588657E-2</v>
      </c>
      <c r="M41" s="115"/>
      <c r="N41" s="116"/>
    </row>
    <row r="42" spans="2:15" x14ac:dyDescent="0.25">
      <c r="B42" s="114" t="s">
        <v>93</v>
      </c>
      <c r="C42" s="115">
        <v>27572</v>
      </c>
      <c r="D42" s="116">
        <v>-0.9216860283466356</v>
      </c>
      <c r="E42" s="115">
        <v>216372</v>
      </c>
      <c r="F42" s="116">
        <f t="shared" si="2"/>
        <v>6.8475264761352097</v>
      </c>
      <c r="G42" s="115">
        <v>318072</v>
      </c>
      <c r="H42" s="116">
        <f t="shared" si="2"/>
        <v>0.47002384781764728</v>
      </c>
      <c r="I42" s="115">
        <v>348250</v>
      </c>
      <c r="J42" s="116">
        <f t="shared" si="2"/>
        <v>9.4877889282929617E-2</v>
      </c>
      <c r="K42" s="115">
        <v>374099</v>
      </c>
      <c r="L42" s="116">
        <f t="shared" si="3"/>
        <v>7.4225412778176514E-2</v>
      </c>
      <c r="M42" s="115"/>
      <c r="N42" s="116"/>
    </row>
    <row r="43" spans="2:15" ht="15.75" x14ac:dyDescent="0.25">
      <c r="B43" s="117" t="s">
        <v>30</v>
      </c>
      <c r="C43" s="118">
        <v>1157521</v>
      </c>
      <c r="D43" s="119">
        <v>-0.72834095255663489</v>
      </c>
      <c r="E43" s="118">
        <v>1534896</v>
      </c>
      <c r="F43" s="119">
        <f t="shared" si="2"/>
        <v>0.32602000309281642</v>
      </c>
      <c r="G43" s="118">
        <v>3454999</v>
      </c>
      <c r="H43" s="119">
        <f t="shared" si="2"/>
        <v>1.2509661892401831</v>
      </c>
      <c r="I43" s="118">
        <v>4107039</v>
      </c>
      <c r="J43" s="119">
        <f t="shared" si="2"/>
        <v>0.18872364362478833</v>
      </c>
      <c r="K43" s="118">
        <v>4639829</v>
      </c>
      <c r="L43" s="119">
        <f t="shared" si="3"/>
        <v>0.12972606298601019</v>
      </c>
      <c r="M43" s="118">
        <v>397887</v>
      </c>
      <c r="N43" s="119">
        <v>2.3890705938965917E-2</v>
      </c>
    </row>
    <row r="44" spans="2:15" ht="6" customHeight="1" x14ac:dyDescent="0.25"/>
    <row r="45" spans="2:15" x14ac:dyDescent="0.25">
      <c r="B45" s="105" t="s">
        <v>55</v>
      </c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</row>
    <row r="48" spans="2:15" ht="48.75" customHeight="1" thickBot="1" x14ac:dyDescent="0.3">
      <c r="B48" s="265" t="s">
        <v>283</v>
      </c>
      <c r="C48" s="265"/>
      <c r="D48" s="265"/>
      <c r="E48" s="265"/>
      <c r="F48" s="265"/>
      <c r="G48" s="265"/>
      <c r="H48" s="265"/>
      <c r="I48" s="265"/>
      <c r="J48" s="265"/>
      <c r="K48" s="265"/>
      <c r="L48" s="265"/>
      <c r="M48" s="265"/>
      <c r="N48" s="265"/>
      <c r="O48" s="1" t="s">
        <v>98</v>
      </c>
    </row>
    <row r="49" spans="1:15" ht="10.5" customHeight="1" thickBot="1" x14ac:dyDescent="0.3">
      <c r="B49" s="106"/>
      <c r="C49" s="107"/>
      <c r="D49" s="106"/>
      <c r="E49" s="106"/>
      <c r="F49" s="106"/>
      <c r="G49" s="106"/>
      <c r="H49" s="106"/>
      <c r="I49" s="106"/>
      <c r="J49" s="106"/>
      <c r="K49" s="106"/>
      <c r="L49" s="106"/>
      <c r="M49" s="4"/>
      <c r="N49" s="4"/>
      <c r="O49" s="1" t="s">
        <v>99</v>
      </c>
    </row>
    <row r="50" spans="1:15" ht="22.5" thickTop="1" thickBot="1" x14ac:dyDescent="0.3">
      <c r="B50" s="109"/>
      <c r="C50" s="290" t="s">
        <v>149</v>
      </c>
      <c r="D50" s="291"/>
      <c r="E50" s="291"/>
      <c r="F50" s="291"/>
      <c r="G50" s="291"/>
      <c r="H50" s="291"/>
      <c r="I50" s="291"/>
      <c r="J50" s="291"/>
      <c r="K50" s="291"/>
      <c r="L50" s="291"/>
      <c r="M50" s="291"/>
      <c r="N50" s="291"/>
    </row>
    <row r="51" spans="1:15" ht="22.5" thickTop="1" thickBot="1" x14ac:dyDescent="0.3">
      <c r="B51" s="109"/>
      <c r="C51" s="292">
        <f>C$7</f>
        <v>2020</v>
      </c>
      <c r="D51" s="293"/>
      <c r="E51" s="292">
        <f>E$7</f>
        <v>2021</v>
      </c>
      <c r="F51" s="293"/>
      <c r="G51" s="292">
        <f>G$7</f>
        <v>2022</v>
      </c>
      <c r="H51" s="293"/>
      <c r="I51" s="292">
        <f>I$7</f>
        <v>2023</v>
      </c>
      <c r="J51" s="293"/>
      <c r="K51" s="292">
        <f>K$7</f>
        <v>2024</v>
      </c>
      <c r="L51" s="293"/>
      <c r="M51" s="294">
        <f>M$7</f>
        <v>2025</v>
      </c>
      <c r="N51" s="295"/>
    </row>
    <row r="52" spans="1:15" ht="16.5" thickTop="1" thickBot="1" x14ac:dyDescent="0.3">
      <c r="B52" s="85"/>
      <c r="C52" s="111" t="s">
        <v>69</v>
      </c>
      <c r="D52" s="112" t="str">
        <f>CONCATENATE("var ",RIGHT(C51,2),"/",RIGHT(C51-1,2))</f>
        <v>var 20/19</v>
      </c>
      <c r="E52" s="113" t="s">
        <v>69</v>
      </c>
      <c r="F52" s="112" t="str">
        <f>CONCATENATE("var ",RIGHT(E51,2),"/",RIGHT(C51,2))</f>
        <v>var 21/20</v>
      </c>
      <c r="G52" s="113" t="s">
        <v>69</v>
      </c>
      <c r="H52" s="112" t="str">
        <f>CONCATENATE("var ",RIGHT(G51,2),"/",RIGHT(E51,2))</f>
        <v>var 22/21</v>
      </c>
      <c r="I52" s="113" t="s">
        <v>69</v>
      </c>
      <c r="J52" s="112" t="str">
        <f>CONCATENATE("var ",RIGHT(I51,2),"/",RIGHT(G51,2))</f>
        <v>var 23/22</v>
      </c>
      <c r="K52" s="113" t="s">
        <v>69</v>
      </c>
      <c r="L52" s="112" t="str">
        <f>CONCATENATE("var ",RIGHT(K51,2),"/",RIGHT(I51,2))</f>
        <v>var 24/23</v>
      </c>
      <c r="M52" s="113" t="s">
        <v>69</v>
      </c>
      <c r="N52" s="112" t="str">
        <f>CONCATENATE("var ",RIGHT(M51,2),"/",RIGHT(K51,2))</f>
        <v>var 25/24</v>
      </c>
    </row>
    <row r="53" spans="1:15" x14ac:dyDescent="0.25">
      <c r="A53" s="1"/>
      <c r="B53" s="114" t="s">
        <v>71</v>
      </c>
      <c r="C53" s="115">
        <v>309862</v>
      </c>
      <c r="D53" s="116">
        <v>5.67884560947578E-2</v>
      </c>
      <c r="E53" s="115">
        <v>11793</v>
      </c>
      <c r="F53" s="116">
        <f t="shared" ref="F53:J65" si="5">IFERROR(E53/C53-1,"-")</f>
        <v>-0.96194112217696914</v>
      </c>
      <c r="G53" s="115">
        <v>160981</v>
      </c>
      <c r="H53" s="116">
        <f t="shared" si="5"/>
        <v>12.65055541422878</v>
      </c>
      <c r="I53" s="115">
        <v>313942</v>
      </c>
      <c r="J53" s="116">
        <f t="shared" si="5"/>
        <v>0.95018045607866775</v>
      </c>
      <c r="K53" s="115">
        <v>333847</v>
      </c>
      <c r="L53" s="116">
        <f t="shared" ref="L53:L65" si="6">IFERROR(K53/I53-1,"-")</f>
        <v>6.3403431207038174E-2</v>
      </c>
      <c r="M53" s="115">
        <v>342802</v>
      </c>
      <c r="N53" s="116">
        <f t="shared" ref="N53" si="7">IFERROR(M53/K53-1,"-")</f>
        <v>2.6823664732646968E-2</v>
      </c>
    </row>
    <row r="54" spans="1:15" x14ac:dyDescent="0.25">
      <c r="A54" s="1">
        <v>2</v>
      </c>
      <c r="B54" s="114" t="s">
        <v>73</v>
      </c>
      <c r="C54" s="115">
        <v>274949</v>
      </c>
      <c r="D54" s="116">
        <v>3.9084377964301753E-2</v>
      </c>
      <c r="E54" s="115">
        <v>9931</v>
      </c>
      <c r="F54" s="116">
        <f t="shared" si="5"/>
        <v>-0.96388057421558182</v>
      </c>
      <c r="G54" s="115">
        <v>189898</v>
      </c>
      <c r="H54" s="116">
        <f t="shared" si="5"/>
        <v>18.121740006041687</v>
      </c>
      <c r="I54" s="115">
        <v>275344</v>
      </c>
      <c r="J54" s="116">
        <f t="shared" si="5"/>
        <v>0.44995734552233313</v>
      </c>
      <c r="K54" s="115">
        <v>334765</v>
      </c>
      <c r="L54" s="116">
        <f t="shared" si="6"/>
        <v>0.21580640943692253</v>
      </c>
      <c r="M54" s="115"/>
      <c r="N54" s="116"/>
    </row>
    <row r="55" spans="1:15" x14ac:dyDescent="0.25">
      <c r="A55" s="1">
        <v>3</v>
      </c>
      <c r="B55" s="114" t="s">
        <v>75</v>
      </c>
      <c r="C55" s="115">
        <v>137765</v>
      </c>
      <c r="D55" s="116">
        <v>-0.52768121010155034</v>
      </c>
      <c r="E55" s="115">
        <v>14380</v>
      </c>
      <c r="F55" s="116">
        <f t="shared" si="5"/>
        <v>-0.89561935179472285</v>
      </c>
      <c r="G55" s="115">
        <v>244364</v>
      </c>
      <c r="H55" s="116">
        <f t="shared" si="5"/>
        <v>15.993324061196105</v>
      </c>
      <c r="I55" s="115">
        <v>297230</v>
      </c>
      <c r="J55" s="116">
        <f t="shared" si="5"/>
        <v>0.21634119592083945</v>
      </c>
      <c r="K55" s="115">
        <v>347941</v>
      </c>
      <c r="L55" s="116">
        <f t="shared" si="6"/>
        <v>0.17061198398546584</v>
      </c>
      <c r="M55" s="115"/>
      <c r="N55" s="116"/>
    </row>
    <row r="56" spans="1:15" x14ac:dyDescent="0.25">
      <c r="A56" s="1">
        <v>4</v>
      </c>
      <c r="B56" s="114" t="s">
        <v>77</v>
      </c>
      <c r="C56" s="115">
        <v>0</v>
      </c>
      <c r="D56" s="116">
        <v>-1</v>
      </c>
      <c r="E56" s="115">
        <v>16678</v>
      </c>
      <c r="F56" s="116" t="str">
        <f t="shared" si="5"/>
        <v>-</v>
      </c>
      <c r="G56" s="115">
        <v>242765</v>
      </c>
      <c r="H56" s="116">
        <f t="shared" si="5"/>
        <v>13.556001918695287</v>
      </c>
      <c r="I56" s="115">
        <v>261963</v>
      </c>
      <c r="J56" s="116">
        <f t="shared" si="5"/>
        <v>7.9080592342388734E-2</v>
      </c>
      <c r="K56" s="115">
        <v>283297</v>
      </c>
      <c r="L56" s="116">
        <f t="shared" si="6"/>
        <v>8.1438981840947111E-2</v>
      </c>
      <c r="M56" s="115"/>
      <c r="N56" s="116"/>
    </row>
    <row r="57" spans="1:15" x14ac:dyDescent="0.25">
      <c r="A57" s="1">
        <v>5</v>
      </c>
      <c r="B57" s="114" t="s">
        <v>79</v>
      </c>
      <c r="C57" s="115">
        <v>0</v>
      </c>
      <c r="D57" s="116">
        <v>-1</v>
      </c>
      <c r="E57" s="115">
        <v>28484</v>
      </c>
      <c r="F57" s="116" t="str">
        <f t="shared" si="5"/>
        <v>-</v>
      </c>
      <c r="G57" s="115">
        <v>222244</v>
      </c>
      <c r="H57" s="116">
        <f t="shared" si="5"/>
        <v>6.8024153910967557</v>
      </c>
      <c r="I57" s="115">
        <v>236364</v>
      </c>
      <c r="J57" s="116">
        <f t="shared" si="5"/>
        <v>6.353377369017843E-2</v>
      </c>
      <c r="K57" s="115">
        <v>294723</v>
      </c>
      <c r="L57" s="116">
        <f t="shared" si="6"/>
        <v>0.24690308168756658</v>
      </c>
      <c r="M57" s="115"/>
      <c r="N57" s="116"/>
    </row>
    <row r="58" spans="1:15" x14ac:dyDescent="0.25">
      <c r="A58" s="1">
        <v>6</v>
      </c>
      <c r="B58" s="114" t="s">
        <v>81</v>
      </c>
      <c r="C58" s="115">
        <v>0</v>
      </c>
      <c r="D58" s="116">
        <v>-1</v>
      </c>
      <c r="E58" s="115">
        <v>62521</v>
      </c>
      <c r="F58" s="116" t="str">
        <f t="shared" si="5"/>
        <v>-</v>
      </c>
      <c r="G58" s="115">
        <v>261542</v>
      </c>
      <c r="H58" s="116">
        <f t="shared" si="5"/>
        <v>3.1832664224820464</v>
      </c>
      <c r="I58" s="115">
        <v>276657</v>
      </c>
      <c r="J58" s="116">
        <f t="shared" si="5"/>
        <v>5.7791865168882905E-2</v>
      </c>
      <c r="K58" s="115">
        <v>333511</v>
      </c>
      <c r="L58" s="116">
        <f t="shared" si="6"/>
        <v>0.20550356578723838</v>
      </c>
      <c r="M58" s="115"/>
      <c r="N58" s="116"/>
    </row>
    <row r="59" spans="1:15" x14ac:dyDescent="0.25">
      <c r="A59" s="1">
        <v>7</v>
      </c>
      <c r="B59" s="114" t="s">
        <v>83</v>
      </c>
      <c r="C59" s="115">
        <v>0</v>
      </c>
      <c r="D59" s="116">
        <v>-1</v>
      </c>
      <c r="E59" s="115">
        <v>152255</v>
      </c>
      <c r="F59" s="116" t="str">
        <f t="shared" si="5"/>
        <v>-</v>
      </c>
      <c r="G59" s="115">
        <v>290404</v>
      </c>
      <c r="H59" s="116">
        <f t="shared" si="5"/>
        <v>0.90735279629568821</v>
      </c>
      <c r="I59" s="115">
        <v>321014</v>
      </c>
      <c r="J59" s="116">
        <f t="shared" si="5"/>
        <v>0.10540488423024486</v>
      </c>
      <c r="K59" s="115">
        <v>378859</v>
      </c>
      <c r="L59" s="116">
        <f t="shared" si="6"/>
        <v>0.18019463325587037</v>
      </c>
      <c r="M59" s="115"/>
      <c r="N59" s="116"/>
    </row>
    <row r="60" spans="1:15" x14ac:dyDescent="0.25">
      <c r="A60" s="1">
        <v>8</v>
      </c>
      <c r="B60" s="114" t="s">
        <v>85</v>
      </c>
      <c r="C60" s="115">
        <v>79968</v>
      </c>
      <c r="D60" s="116">
        <v>-0.76572744370814361</v>
      </c>
      <c r="E60" s="115">
        <v>198189</v>
      </c>
      <c r="F60" s="116">
        <f t="shared" si="5"/>
        <v>1.4783538415366149</v>
      </c>
      <c r="G60" s="115">
        <v>292468</v>
      </c>
      <c r="H60" s="116">
        <f t="shared" si="5"/>
        <v>0.4757024860108281</v>
      </c>
      <c r="I60" s="115">
        <v>356449</v>
      </c>
      <c r="J60" s="116">
        <f t="shared" si="5"/>
        <v>0.21876239451837476</v>
      </c>
      <c r="K60" s="115">
        <v>388293</v>
      </c>
      <c r="L60" s="116">
        <f t="shared" si="6"/>
        <v>8.9336763464058055E-2</v>
      </c>
      <c r="M60" s="115"/>
      <c r="N60" s="116"/>
    </row>
    <row r="61" spans="1:15" x14ac:dyDescent="0.25">
      <c r="A61" s="1">
        <v>9</v>
      </c>
      <c r="B61" s="114" t="s">
        <v>87</v>
      </c>
      <c r="C61" s="115">
        <v>55034</v>
      </c>
      <c r="D61" s="116">
        <v>-0.82449269862327834</v>
      </c>
      <c r="E61" s="115">
        <v>195798</v>
      </c>
      <c r="F61" s="116">
        <f t="shared" si="5"/>
        <v>2.5577642911654612</v>
      </c>
      <c r="G61" s="115">
        <v>277384</v>
      </c>
      <c r="H61" s="116">
        <f t="shared" si="5"/>
        <v>0.41668454223230067</v>
      </c>
      <c r="I61" s="115">
        <v>316284</v>
      </c>
      <c r="J61" s="116">
        <f t="shared" si="5"/>
        <v>0.14023880252646159</v>
      </c>
      <c r="K61" s="115">
        <v>342910</v>
      </c>
      <c r="L61" s="116">
        <f t="shared" si="6"/>
        <v>8.4183834781399014E-2</v>
      </c>
      <c r="M61" s="115"/>
      <c r="N61" s="116"/>
    </row>
    <row r="62" spans="1:15" x14ac:dyDescent="0.25">
      <c r="A62" s="1">
        <v>10</v>
      </c>
      <c r="B62" s="114" t="s">
        <v>89</v>
      </c>
      <c r="C62" s="115">
        <v>34395</v>
      </c>
      <c r="D62" s="116">
        <v>-0.87655052114738563</v>
      </c>
      <c r="E62" s="115">
        <v>194220</v>
      </c>
      <c r="F62" s="116">
        <f t="shared" si="5"/>
        <v>4.6467509812472745</v>
      </c>
      <c r="G62" s="115">
        <v>264220</v>
      </c>
      <c r="H62" s="116">
        <f t="shared" si="5"/>
        <v>0.36041602306662557</v>
      </c>
      <c r="I62" s="115">
        <v>310495</v>
      </c>
      <c r="J62" s="116">
        <f t="shared" si="5"/>
        <v>0.17513814245704329</v>
      </c>
      <c r="K62" s="115">
        <v>353936</v>
      </c>
      <c r="L62" s="116">
        <f t="shared" si="6"/>
        <v>0.1399088552150598</v>
      </c>
      <c r="M62" s="115"/>
      <c r="N62" s="116"/>
    </row>
    <row r="63" spans="1:15" x14ac:dyDescent="0.25">
      <c r="A63" s="1">
        <v>11</v>
      </c>
      <c r="B63" s="114" t="s">
        <v>91</v>
      </c>
      <c r="C63" s="115">
        <v>19839</v>
      </c>
      <c r="D63" s="116">
        <v>-0.93285090049992048</v>
      </c>
      <c r="E63" s="115">
        <v>193852</v>
      </c>
      <c r="F63" s="116">
        <f t="shared" si="5"/>
        <v>8.7712586319875001</v>
      </c>
      <c r="G63" s="115">
        <v>273635</v>
      </c>
      <c r="H63" s="116">
        <f t="shared" si="5"/>
        <v>0.41156655592926561</v>
      </c>
      <c r="I63" s="115">
        <v>312898</v>
      </c>
      <c r="J63" s="116">
        <f t="shared" si="5"/>
        <v>0.14348676156193463</v>
      </c>
      <c r="K63" s="115">
        <v>338127</v>
      </c>
      <c r="L63" s="116">
        <f t="shared" si="6"/>
        <v>8.0630109492550339E-2</v>
      </c>
      <c r="M63" s="115"/>
      <c r="N63" s="116"/>
    </row>
    <row r="64" spans="1:15" x14ac:dyDescent="0.25">
      <c r="A64" s="1">
        <v>12</v>
      </c>
      <c r="B64" s="114" t="s">
        <v>93</v>
      </c>
      <c r="C64" s="115">
        <v>19258</v>
      </c>
      <c r="D64" s="116">
        <v>-0.93371607156378855</v>
      </c>
      <c r="E64" s="115">
        <v>173417</v>
      </c>
      <c r="F64" s="116">
        <f t="shared" si="5"/>
        <v>8.0049330148509714</v>
      </c>
      <c r="G64" s="115">
        <v>274030</v>
      </c>
      <c r="H64" s="116">
        <f t="shared" si="5"/>
        <v>0.58017956717046193</v>
      </c>
      <c r="I64" s="115">
        <v>297298</v>
      </c>
      <c r="J64" s="116">
        <f t="shared" si="5"/>
        <v>8.4910411268839248E-2</v>
      </c>
      <c r="K64" s="115">
        <v>322699</v>
      </c>
      <c r="L64" s="116">
        <f t="shared" si="6"/>
        <v>8.5439525324758403E-2</v>
      </c>
      <c r="M64" s="115"/>
      <c r="N64" s="116"/>
    </row>
    <row r="65" spans="1:15" ht="15.75" x14ac:dyDescent="0.25">
      <c r="B65" s="117" t="s">
        <v>30</v>
      </c>
      <c r="C65" s="118">
        <v>970776</v>
      </c>
      <c r="D65" s="119">
        <v>-0.72362902171991383</v>
      </c>
      <c r="E65" s="118">
        <v>1251518</v>
      </c>
      <c r="F65" s="119">
        <f t="shared" si="5"/>
        <v>0.28919338755799484</v>
      </c>
      <c r="G65" s="118">
        <v>2993935</v>
      </c>
      <c r="H65" s="119">
        <f t="shared" si="5"/>
        <v>1.3922428602704877</v>
      </c>
      <c r="I65" s="118">
        <v>3575938</v>
      </c>
      <c r="J65" s="119">
        <f t="shared" si="5"/>
        <v>0.1943939998697366</v>
      </c>
      <c r="K65" s="118">
        <v>4052908</v>
      </c>
      <c r="L65" s="119">
        <f t="shared" si="6"/>
        <v>0.13338318505522184</v>
      </c>
      <c r="M65" s="118">
        <v>342802</v>
      </c>
      <c r="N65" s="119">
        <v>2.6823664732646968E-2</v>
      </c>
    </row>
    <row r="66" spans="1:15" ht="6" customHeight="1" x14ac:dyDescent="0.25"/>
    <row r="67" spans="1:15" x14ac:dyDescent="0.25">
      <c r="B67" s="105" t="s">
        <v>55</v>
      </c>
      <c r="C67" s="105"/>
      <c r="D67" s="105"/>
      <c r="E67" s="105"/>
      <c r="F67" s="105"/>
      <c r="G67" s="105"/>
      <c r="H67" s="105"/>
      <c r="I67" s="105"/>
      <c r="J67" s="105"/>
      <c r="K67" s="105"/>
      <c r="L67" s="105"/>
      <c r="M67" s="105"/>
      <c r="N67" s="105"/>
    </row>
    <row r="70" spans="1:15" ht="48.75" customHeight="1" thickBot="1" x14ac:dyDescent="0.3">
      <c r="B70" s="265" t="s">
        <v>284</v>
      </c>
      <c r="C70" s="265"/>
      <c r="D70" s="265"/>
      <c r="E70" s="265"/>
      <c r="F70" s="265"/>
      <c r="G70" s="265"/>
      <c r="H70" s="265"/>
      <c r="I70" s="265"/>
      <c r="J70" s="265"/>
      <c r="K70" s="265"/>
      <c r="L70" s="265"/>
      <c r="M70" s="265"/>
      <c r="N70" s="265"/>
      <c r="O70" s="1" t="s">
        <v>101</v>
      </c>
    </row>
    <row r="71" spans="1:15" ht="10.5" customHeight="1" thickBot="1" x14ac:dyDescent="0.3">
      <c r="B71" s="106"/>
      <c r="C71" s="107"/>
      <c r="D71" s="106"/>
      <c r="E71" s="106"/>
      <c r="F71" s="106"/>
      <c r="G71" s="106"/>
      <c r="H71" s="106"/>
      <c r="I71" s="106"/>
      <c r="J71" s="106"/>
      <c r="K71" s="106"/>
      <c r="L71" s="106"/>
      <c r="M71" s="4"/>
      <c r="N71" s="4"/>
      <c r="O71" s="1" t="s">
        <v>102</v>
      </c>
    </row>
    <row r="72" spans="1:15" ht="22.5" thickTop="1" thickBot="1" x14ac:dyDescent="0.3">
      <c r="B72" s="109"/>
      <c r="C72" s="290" t="s">
        <v>62</v>
      </c>
      <c r="D72" s="291"/>
      <c r="E72" s="291"/>
      <c r="F72" s="291"/>
      <c r="G72" s="291"/>
      <c r="H72" s="291"/>
      <c r="I72" s="291"/>
      <c r="J72" s="291"/>
      <c r="K72" s="291"/>
      <c r="L72" s="291"/>
      <c r="M72" s="291"/>
      <c r="N72" s="291"/>
    </row>
    <row r="73" spans="1:15" ht="22.5" thickTop="1" thickBot="1" x14ac:dyDescent="0.3">
      <c r="B73" s="109"/>
      <c r="C73" s="292">
        <f>C$7</f>
        <v>2020</v>
      </c>
      <c r="D73" s="293"/>
      <c r="E73" s="292">
        <f>E$7</f>
        <v>2021</v>
      </c>
      <c r="F73" s="293"/>
      <c r="G73" s="292">
        <f>G$7</f>
        <v>2022</v>
      </c>
      <c r="H73" s="293"/>
      <c r="I73" s="292">
        <f>I$7</f>
        <v>2023</v>
      </c>
      <c r="J73" s="293"/>
      <c r="K73" s="292">
        <f>K$7</f>
        <v>2024</v>
      </c>
      <c r="L73" s="293"/>
      <c r="M73" s="294">
        <f>M$7</f>
        <v>2025</v>
      </c>
      <c r="N73" s="295"/>
    </row>
    <row r="74" spans="1:15" ht="16.5" thickTop="1" thickBot="1" x14ac:dyDescent="0.3">
      <c r="B74" s="85"/>
      <c r="C74" s="111" t="s">
        <v>69</v>
      </c>
      <c r="D74" s="112" t="str">
        <f>CONCATENATE("var ",RIGHT(C73,2),"/",RIGHT(C73-1,2))</f>
        <v>var 20/19</v>
      </c>
      <c r="E74" s="113" t="s">
        <v>69</v>
      </c>
      <c r="F74" s="112" t="str">
        <f>CONCATENATE("var ",RIGHT(E73,2),"/",RIGHT(C73,2))</f>
        <v>var 21/20</v>
      </c>
      <c r="G74" s="113" t="s">
        <v>69</v>
      </c>
      <c r="H74" s="112" t="str">
        <f>CONCATENATE("var ",RIGHT(G73,2),"/",RIGHT(E73,2))</f>
        <v>var 22/21</v>
      </c>
      <c r="I74" s="113" t="s">
        <v>69</v>
      </c>
      <c r="J74" s="112" t="str">
        <f>CONCATENATE("var ",RIGHT(I73,2),"/",RIGHT(G73,2))</f>
        <v>var 23/22</v>
      </c>
      <c r="K74" s="113" t="s">
        <v>69</v>
      </c>
      <c r="L74" s="112" t="str">
        <f>CONCATENATE("var ",RIGHT(K73,2),"/",RIGHT(I73,2))</f>
        <v>var 24/23</v>
      </c>
      <c r="M74" s="113" t="s">
        <v>69</v>
      </c>
      <c r="N74" s="112" t="str">
        <f>CONCATENATE("var ",RIGHT(M73,2),"/",RIGHT(K73,2))</f>
        <v>var 25/24</v>
      </c>
    </row>
    <row r="75" spans="1:15" x14ac:dyDescent="0.25">
      <c r="A75" s="1">
        <v>1</v>
      </c>
      <c r="B75" s="114" t="s">
        <v>71</v>
      </c>
      <c r="C75" s="115">
        <v>63553</v>
      </c>
      <c r="D75" s="116">
        <v>-0.15241194435923766</v>
      </c>
      <c r="E75" s="115">
        <v>7825</v>
      </c>
      <c r="F75" s="116">
        <f t="shared" ref="F75:J87" si="8">IFERROR(E75/C75-1,"-")</f>
        <v>-0.87687441977562031</v>
      </c>
      <c r="G75" s="115">
        <v>35027</v>
      </c>
      <c r="H75" s="116">
        <f t="shared" si="8"/>
        <v>3.47629392971246</v>
      </c>
      <c r="I75" s="115">
        <v>47459</v>
      </c>
      <c r="J75" s="116">
        <f t="shared" si="8"/>
        <v>0.3549261997887343</v>
      </c>
      <c r="K75" s="115">
        <v>54756</v>
      </c>
      <c r="L75" s="116">
        <f t="shared" ref="L75:L87" si="9">IFERROR(K75/I75-1,"-")</f>
        <v>0.15375376640890037</v>
      </c>
      <c r="M75" s="115">
        <v>55085</v>
      </c>
      <c r="N75" s="116">
        <f t="shared" ref="N75" si="10">IFERROR(M75/K75-1,"-")</f>
        <v>6.008473957191951E-3</v>
      </c>
    </row>
    <row r="76" spans="1:15" x14ac:dyDescent="0.25">
      <c r="A76" s="1">
        <v>2</v>
      </c>
      <c r="B76" s="114" t="s">
        <v>73</v>
      </c>
      <c r="C76" s="115">
        <v>57132</v>
      </c>
      <c r="D76" s="116">
        <v>-0.15331149873290162</v>
      </c>
      <c r="E76" s="115">
        <v>5989</v>
      </c>
      <c r="F76" s="116">
        <f t="shared" si="8"/>
        <v>-0.8951725827907302</v>
      </c>
      <c r="G76" s="115">
        <v>41020</v>
      </c>
      <c r="H76" s="116">
        <f t="shared" si="8"/>
        <v>5.8492235765570211</v>
      </c>
      <c r="I76" s="115">
        <v>46238</v>
      </c>
      <c r="J76" s="116">
        <f t="shared" si="8"/>
        <v>0.12720624085811805</v>
      </c>
      <c r="K76" s="115">
        <v>51035</v>
      </c>
      <c r="L76" s="116">
        <f t="shared" si="9"/>
        <v>0.10374583675764515</v>
      </c>
      <c r="M76" s="115"/>
      <c r="N76" s="116"/>
    </row>
    <row r="77" spans="1:15" x14ac:dyDescent="0.25">
      <c r="A77" s="1">
        <v>3</v>
      </c>
      <c r="B77" s="114" t="s">
        <v>75</v>
      </c>
      <c r="C77" s="115">
        <v>26105</v>
      </c>
      <c r="D77" s="116">
        <v>-0.62382558072511385</v>
      </c>
      <c r="E77" s="115">
        <v>9372</v>
      </c>
      <c r="F77" s="116">
        <f t="shared" si="8"/>
        <v>-0.64098831641448006</v>
      </c>
      <c r="G77" s="115">
        <v>45982</v>
      </c>
      <c r="H77" s="116">
        <f t="shared" si="8"/>
        <v>3.9063166880068287</v>
      </c>
      <c r="I77" s="115">
        <v>45142</v>
      </c>
      <c r="J77" s="116">
        <f t="shared" si="8"/>
        <v>-1.8268017920055724E-2</v>
      </c>
      <c r="K77" s="115">
        <v>52681</v>
      </c>
      <c r="L77" s="116">
        <f t="shared" si="9"/>
        <v>0.16700633556333355</v>
      </c>
      <c r="M77" s="115"/>
      <c r="N77" s="116"/>
    </row>
    <row r="78" spans="1:15" x14ac:dyDescent="0.25">
      <c r="A78" s="1">
        <v>4</v>
      </c>
      <c r="B78" s="114" t="s">
        <v>77</v>
      </c>
      <c r="C78" s="115">
        <v>0</v>
      </c>
      <c r="D78" s="116">
        <v>-1</v>
      </c>
      <c r="E78" s="115">
        <v>3840</v>
      </c>
      <c r="F78" s="116" t="str">
        <f t="shared" si="8"/>
        <v>-</v>
      </c>
      <c r="G78" s="115">
        <v>36138</v>
      </c>
      <c r="H78" s="116">
        <f t="shared" si="8"/>
        <v>8.4109374999999993</v>
      </c>
      <c r="I78" s="115">
        <v>40389</v>
      </c>
      <c r="J78" s="116">
        <f t="shared" si="8"/>
        <v>0.11763240909845596</v>
      </c>
      <c r="K78" s="115">
        <v>42324</v>
      </c>
      <c r="L78" s="116">
        <f t="shared" si="9"/>
        <v>4.7909084156577242E-2</v>
      </c>
      <c r="M78" s="115"/>
      <c r="N78" s="116"/>
    </row>
    <row r="79" spans="1:15" x14ac:dyDescent="0.25">
      <c r="A79" s="1">
        <v>5</v>
      </c>
      <c r="B79" s="114" t="s">
        <v>79</v>
      </c>
      <c r="C79" s="115">
        <v>0</v>
      </c>
      <c r="D79" s="116">
        <v>-1</v>
      </c>
      <c r="E79" s="115">
        <v>15547</v>
      </c>
      <c r="F79" s="116" t="str">
        <f t="shared" si="8"/>
        <v>-</v>
      </c>
      <c r="G79" s="115">
        <v>32273</v>
      </c>
      <c r="H79" s="116">
        <f t="shared" si="8"/>
        <v>1.0758345661542421</v>
      </c>
      <c r="I79" s="115">
        <v>37974</v>
      </c>
      <c r="J79" s="116">
        <f t="shared" si="8"/>
        <v>0.1766492114151148</v>
      </c>
      <c r="K79" s="115">
        <v>40709</v>
      </c>
      <c r="L79" s="116">
        <f t="shared" si="9"/>
        <v>7.2022963080002E-2</v>
      </c>
      <c r="M79" s="115"/>
      <c r="N79" s="116"/>
    </row>
    <row r="80" spans="1:15" x14ac:dyDescent="0.25">
      <c r="A80" s="1">
        <v>6</v>
      </c>
      <c r="B80" s="114" t="s">
        <v>81</v>
      </c>
      <c r="C80" s="115">
        <v>0</v>
      </c>
      <c r="D80" s="116">
        <v>-1</v>
      </c>
      <c r="E80" s="115">
        <v>18499</v>
      </c>
      <c r="F80" s="116" t="str">
        <f t="shared" si="8"/>
        <v>-</v>
      </c>
      <c r="G80" s="115">
        <v>35318</v>
      </c>
      <c r="H80" s="116">
        <f t="shared" si="8"/>
        <v>0.90918428023136388</v>
      </c>
      <c r="I80" s="115">
        <v>39444</v>
      </c>
      <c r="J80" s="116">
        <f t="shared" si="8"/>
        <v>0.11682428223568708</v>
      </c>
      <c r="K80" s="115">
        <v>43271</v>
      </c>
      <c r="L80" s="116">
        <f t="shared" si="9"/>
        <v>9.702362843524992E-2</v>
      </c>
      <c r="M80" s="115"/>
      <c r="N80" s="116"/>
    </row>
    <row r="81" spans="1:15" x14ac:dyDescent="0.25">
      <c r="A81" s="1">
        <v>7</v>
      </c>
      <c r="B81" s="114" t="s">
        <v>83</v>
      </c>
      <c r="C81" s="115">
        <v>0</v>
      </c>
      <c r="D81" s="116">
        <v>-1</v>
      </c>
      <c r="E81" s="115">
        <v>25125</v>
      </c>
      <c r="F81" s="116" t="str">
        <f t="shared" si="8"/>
        <v>-</v>
      </c>
      <c r="G81" s="115">
        <v>37852</v>
      </c>
      <c r="H81" s="116">
        <f t="shared" si="8"/>
        <v>0.50654726368159197</v>
      </c>
      <c r="I81" s="115">
        <v>40634</v>
      </c>
      <c r="J81" s="116">
        <f t="shared" si="8"/>
        <v>7.3496776920638274E-2</v>
      </c>
      <c r="K81" s="115">
        <v>50539</v>
      </c>
      <c r="L81" s="116">
        <f t="shared" si="9"/>
        <v>0.24376138209381315</v>
      </c>
      <c r="M81" s="115"/>
      <c r="N81" s="116"/>
    </row>
    <row r="82" spans="1:15" x14ac:dyDescent="0.25">
      <c r="A82" s="1">
        <v>8</v>
      </c>
      <c r="B82" s="114" t="s">
        <v>85</v>
      </c>
      <c r="C82" s="115">
        <v>7979</v>
      </c>
      <c r="D82" s="116">
        <v>-0.87187063414320809</v>
      </c>
      <c r="E82" s="115">
        <v>31560</v>
      </c>
      <c r="F82" s="116">
        <f t="shared" si="8"/>
        <v>2.9553828800601578</v>
      </c>
      <c r="G82" s="115">
        <v>38110</v>
      </c>
      <c r="H82" s="116">
        <f t="shared" si="8"/>
        <v>0.20754119138149552</v>
      </c>
      <c r="I82" s="115">
        <v>42953</v>
      </c>
      <c r="J82" s="116">
        <f t="shared" si="8"/>
        <v>0.1270795066911572</v>
      </c>
      <c r="K82" s="115">
        <v>53008</v>
      </c>
      <c r="L82" s="116">
        <f t="shared" si="9"/>
        <v>0.23409307848113059</v>
      </c>
      <c r="M82" s="115"/>
      <c r="N82" s="116"/>
    </row>
    <row r="83" spans="1:15" x14ac:dyDescent="0.25">
      <c r="A83" s="1">
        <v>9</v>
      </c>
      <c r="B83" s="114" t="s">
        <v>87</v>
      </c>
      <c r="C83" s="115">
        <v>6688</v>
      </c>
      <c r="D83" s="116">
        <v>-0.89798346502333815</v>
      </c>
      <c r="E83" s="115">
        <v>36088</v>
      </c>
      <c r="F83" s="116">
        <f t="shared" si="8"/>
        <v>4.3959330143540667</v>
      </c>
      <c r="G83" s="115">
        <v>38317</v>
      </c>
      <c r="H83" s="116">
        <f t="shared" si="8"/>
        <v>6.1765683883839406E-2</v>
      </c>
      <c r="I83" s="115">
        <v>44698</v>
      </c>
      <c r="J83" s="116">
        <f t="shared" si="8"/>
        <v>0.16653182660437915</v>
      </c>
      <c r="K83" s="115">
        <v>47719</v>
      </c>
      <c r="L83" s="116">
        <f t="shared" si="9"/>
        <v>6.7586916640565597E-2</v>
      </c>
      <c r="M83" s="115"/>
      <c r="N83" s="116"/>
    </row>
    <row r="84" spans="1:15" x14ac:dyDescent="0.25">
      <c r="A84" s="1">
        <v>10</v>
      </c>
      <c r="B84" s="114" t="s">
        <v>89</v>
      </c>
      <c r="C84" s="115">
        <v>7761</v>
      </c>
      <c r="D84" s="116">
        <v>-0.85142999349132809</v>
      </c>
      <c r="E84" s="115">
        <v>39363</v>
      </c>
      <c r="F84" s="116">
        <f t="shared" si="8"/>
        <v>4.071897951294936</v>
      </c>
      <c r="G84" s="115">
        <v>34933</v>
      </c>
      <c r="H84" s="116">
        <f t="shared" si="8"/>
        <v>-0.11254223509386985</v>
      </c>
      <c r="I84" s="115">
        <v>42576</v>
      </c>
      <c r="J84" s="116">
        <f t="shared" si="8"/>
        <v>0.21879025563221033</v>
      </c>
      <c r="K84" s="115">
        <v>48020</v>
      </c>
      <c r="L84" s="116">
        <f t="shared" si="9"/>
        <v>0.12786546411123645</v>
      </c>
      <c r="M84" s="115"/>
      <c r="N84" s="116"/>
    </row>
    <row r="85" spans="1:15" x14ac:dyDescent="0.25">
      <c r="A85" s="1">
        <v>11</v>
      </c>
      <c r="B85" s="114" t="s">
        <v>91</v>
      </c>
      <c r="C85" s="115">
        <v>5041</v>
      </c>
      <c r="D85" s="116">
        <v>-0.92178311533150237</v>
      </c>
      <c r="E85" s="115">
        <v>47215</v>
      </c>
      <c r="F85" s="116">
        <f t="shared" si="8"/>
        <v>8.3661971830985919</v>
      </c>
      <c r="G85" s="115">
        <v>42052</v>
      </c>
      <c r="H85" s="116">
        <f t="shared" si="8"/>
        <v>-0.10935084189346611</v>
      </c>
      <c r="I85" s="115">
        <v>52642</v>
      </c>
      <c r="J85" s="116">
        <f t="shared" si="8"/>
        <v>0.25183106629886809</v>
      </c>
      <c r="K85" s="115">
        <v>51459</v>
      </c>
      <c r="L85" s="116">
        <f t="shared" si="9"/>
        <v>-2.2472550435013838E-2</v>
      </c>
      <c r="M85" s="115"/>
      <c r="N85" s="116"/>
    </row>
    <row r="86" spans="1:15" x14ac:dyDescent="0.25">
      <c r="A86" s="1">
        <v>12</v>
      </c>
      <c r="B86" s="114" t="s">
        <v>93</v>
      </c>
      <c r="C86" s="115">
        <v>8314</v>
      </c>
      <c r="D86" s="116">
        <v>-0.86488331274783858</v>
      </c>
      <c r="E86" s="115">
        <v>42955</v>
      </c>
      <c r="F86" s="116">
        <f t="shared" si="8"/>
        <v>4.1665864806350736</v>
      </c>
      <c r="G86" s="115">
        <v>44042</v>
      </c>
      <c r="H86" s="116">
        <f t="shared" si="8"/>
        <v>2.5305552322197666E-2</v>
      </c>
      <c r="I86" s="115">
        <v>50952</v>
      </c>
      <c r="J86" s="116">
        <f t="shared" si="8"/>
        <v>0.15689569047727159</v>
      </c>
      <c r="K86" s="115">
        <v>51400</v>
      </c>
      <c r="L86" s="116">
        <f t="shared" si="9"/>
        <v>8.7925891034699166E-3</v>
      </c>
      <c r="M86" s="115"/>
      <c r="N86" s="116"/>
    </row>
    <row r="87" spans="1:15" ht="15.75" x14ac:dyDescent="0.25">
      <c r="B87" s="117" t="s">
        <v>30</v>
      </c>
      <c r="C87" s="118">
        <v>186745</v>
      </c>
      <c r="D87" s="119">
        <v>-0.75045767354847337</v>
      </c>
      <c r="E87" s="118">
        <v>283378</v>
      </c>
      <c r="F87" s="119">
        <f t="shared" si="8"/>
        <v>0.51745963747356027</v>
      </c>
      <c r="G87" s="118">
        <v>461064</v>
      </c>
      <c r="H87" s="119">
        <f t="shared" si="8"/>
        <v>0.62702820967047557</v>
      </c>
      <c r="I87" s="118">
        <v>531101</v>
      </c>
      <c r="J87" s="119">
        <f t="shared" si="8"/>
        <v>0.15190298960664905</v>
      </c>
      <c r="K87" s="118">
        <v>586921</v>
      </c>
      <c r="L87" s="119">
        <f t="shared" si="9"/>
        <v>0.10510241931384057</v>
      </c>
      <c r="M87" s="118">
        <v>55085</v>
      </c>
      <c r="N87" s="119">
        <v>6.008473957191951E-3</v>
      </c>
    </row>
    <row r="88" spans="1:15" ht="6" customHeight="1" x14ac:dyDescent="0.25"/>
    <row r="89" spans="1:15" x14ac:dyDescent="0.25">
      <c r="B89" s="105" t="s">
        <v>55</v>
      </c>
      <c r="C89" s="105"/>
      <c r="D89" s="105"/>
      <c r="E89" s="105"/>
      <c r="F89" s="105"/>
      <c r="G89" s="105"/>
      <c r="H89" s="105"/>
      <c r="I89" s="105"/>
      <c r="J89" s="105"/>
      <c r="K89" s="105"/>
      <c r="L89" s="105"/>
      <c r="M89" s="105"/>
      <c r="N89" s="105"/>
    </row>
    <row r="92" spans="1:15" ht="48.75" customHeight="1" thickBot="1" x14ac:dyDescent="0.3">
      <c r="B92" s="265" t="s">
        <v>285</v>
      </c>
      <c r="C92" s="265"/>
      <c r="D92" s="265"/>
      <c r="E92" s="265"/>
      <c r="F92" s="265"/>
      <c r="G92" s="265"/>
      <c r="H92" s="265"/>
      <c r="I92" s="265"/>
      <c r="J92" s="265"/>
      <c r="K92" s="265"/>
      <c r="L92" s="265"/>
      <c r="M92" s="265"/>
      <c r="N92" s="265"/>
      <c r="O92" s="1" t="s">
        <v>114</v>
      </c>
    </row>
    <row r="93" spans="1:15" ht="10.5" customHeight="1" thickBot="1" x14ac:dyDescent="0.3">
      <c r="B93" s="106"/>
      <c r="C93" s="107"/>
      <c r="D93" s="106"/>
      <c r="E93" s="106"/>
      <c r="F93" s="106"/>
      <c r="G93" s="106"/>
      <c r="H93" s="106"/>
      <c r="I93" s="106"/>
      <c r="J93" s="106"/>
      <c r="K93" s="106"/>
      <c r="L93" s="106"/>
      <c r="M93" s="4"/>
      <c r="N93" s="4"/>
      <c r="O93" s="1" t="s">
        <v>115</v>
      </c>
    </row>
    <row r="94" spans="1:15" ht="22.5" thickTop="1" thickBot="1" x14ac:dyDescent="0.3">
      <c r="B94" s="121" t="s">
        <v>96</v>
      </c>
      <c r="C94" s="290" t="s">
        <v>32</v>
      </c>
      <c r="D94" s="291"/>
      <c r="E94" s="291"/>
      <c r="F94" s="291"/>
      <c r="G94" s="291"/>
      <c r="H94" s="291"/>
      <c r="I94" s="291"/>
      <c r="J94" s="291"/>
      <c r="K94" s="291"/>
      <c r="L94" s="291"/>
      <c r="M94" s="291"/>
      <c r="N94" s="291"/>
    </row>
    <row r="95" spans="1:15" ht="22.5" thickTop="1" thickBot="1" x14ac:dyDescent="0.3">
      <c r="B95" s="109"/>
      <c r="C95" s="292">
        <f>C$7</f>
        <v>2020</v>
      </c>
      <c r="D95" s="293"/>
      <c r="E95" s="292">
        <f>E$7</f>
        <v>2021</v>
      </c>
      <c r="F95" s="293"/>
      <c r="G95" s="292">
        <f>G$7</f>
        <v>2022</v>
      </c>
      <c r="H95" s="293"/>
      <c r="I95" s="292">
        <f>I$7</f>
        <v>2023</v>
      </c>
      <c r="J95" s="293"/>
      <c r="K95" s="292">
        <f>K$7</f>
        <v>2024</v>
      </c>
      <c r="L95" s="293"/>
      <c r="M95" s="294">
        <f>M$7</f>
        <v>2025</v>
      </c>
      <c r="N95" s="295"/>
    </row>
    <row r="96" spans="1:15" ht="16.5" thickTop="1" thickBot="1" x14ac:dyDescent="0.3">
      <c r="B96" s="85"/>
      <c r="C96" s="111" t="s">
        <v>69</v>
      </c>
      <c r="D96" s="112" t="str">
        <f>CONCATENATE("var ",RIGHT(C95,2),"/",RIGHT(C95-1,2))</f>
        <v>var 20/19</v>
      </c>
      <c r="E96" s="113" t="s">
        <v>69</v>
      </c>
      <c r="F96" s="112" t="str">
        <f>CONCATENATE("var ",RIGHT(E95,2),"/",RIGHT(C95,2))</f>
        <v>var 21/20</v>
      </c>
      <c r="G96" s="113" t="s">
        <v>69</v>
      </c>
      <c r="H96" s="112" t="str">
        <f>CONCATENATE("var ",RIGHT(G95,2),"/",RIGHT(E95,2))</f>
        <v>var 22/21</v>
      </c>
      <c r="I96" s="113" t="s">
        <v>69</v>
      </c>
      <c r="J96" s="112" t="str">
        <f>CONCATENATE("var ",RIGHT(I95,2),"/",RIGHT(G95,2))</f>
        <v>var 23/22</v>
      </c>
      <c r="K96" s="113" t="s">
        <v>69</v>
      </c>
      <c r="L96" s="112" t="str">
        <f>CONCATENATE("var ",RIGHT(K95,2),"/",RIGHT(I95,2))</f>
        <v>var 24/23</v>
      </c>
      <c r="M96" s="113" t="s">
        <v>69</v>
      </c>
      <c r="N96" s="112" t="str">
        <f>CONCATENATE("var ",RIGHT(M95,2),"/",RIGHT(K95,2))</f>
        <v>var 25/24</v>
      </c>
    </row>
    <row r="97" spans="2:14" x14ac:dyDescent="0.25">
      <c r="B97" s="114" t="s">
        <v>71</v>
      </c>
      <c r="C97" s="115">
        <v>120082</v>
      </c>
      <c r="D97" s="116">
        <v>-2.1605092154027838E-3</v>
      </c>
      <c r="E97" s="115">
        <v>10029</v>
      </c>
      <c r="F97" s="116">
        <f t="shared" ref="F97:J109" si="11">IFERROR(E97/C97-1,"-")</f>
        <v>-0.91648207058510023</v>
      </c>
      <c r="G97" s="115">
        <v>66503</v>
      </c>
      <c r="H97" s="116">
        <f t="shared" si="11"/>
        <v>5.6310698972978361</v>
      </c>
      <c r="I97" s="115">
        <v>98243</v>
      </c>
      <c r="J97" s="116">
        <f t="shared" si="11"/>
        <v>0.47727170202848002</v>
      </c>
      <c r="K97" s="115">
        <v>93714</v>
      </c>
      <c r="L97" s="116">
        <f t="shared" ref="L97:L109" si="12">IFERROR(K97/I97-1,"-")</f>
        <v>-4.6099976588662828E-2</v>
      </c>
      <c r="M97" s="115">
        <v>97059</v>
      </c>
      <c r="N97" s="116">
        <f t="shared" ref="N97" si="13">IFERROR(M97/K97-1,"-")</f>
        <v>3.56937063832512E-2</v>
      </c>
    </row>
    <row r="98" spans="2:14" x14ac:dyDescent="0.25">
      <c r="B98" s="114" t="s">
        <v>73</v>
      </c>
      <c r="C98" s="115">
        <v>98763</v>
      </c>
      <c r="D98" s="116">
        <v>-3.8662578478609988E-2</v>
      </c>
      <c r="E98" s="115">
        <v>9981</v>
      </c>
      <c r="F98" s="116">
        <f t="shared" si="11"/>
        <v>-0.89893988639470246</v>
      </c>
      <c r="G98" s="115">
        <v>69187</v>
      </c>
      <c r="H98" s="116">
        <f t="shared" si="11"/>
        <v>5.9318705540526997</v>
      </c>
      <c r="I98" s="115">
        <v>90203</v>
      </c>
      <c r="J98" s="116">
        <f t="shared" si="11"/>
        <v>0.30375648604506633</v>
      </c>
      <c r="K98" s="115">
        <v>90986</v>
      </c>
      <c r="L98" s="116">
        <f t="shared" si="12"/>
        <v>8.6804208285755635E-3</v>
      </c>
      <c r="M98" s="115"/>
      <c r="N98" s="116"/>
    </row>
    <row r="99" spans="2:14" x14ac:dyDescent="0.25">
      <c r="B99" s="114" t="s">
        <v>75</v>
      </c>
      <c r="C99" s="115">
        <v>53936</v>
      </c>
      <c r="D99" s="116">
        <v>-0.50368993503505899</v>
      </c>
      <c r="E99" s="115">
        <v>12045</v>
      </c>
      <c r="F99" s="116">
        <f t="shared" si="11"/>
        <v>-0.77667976861465438</v>
      </c>
      <c r="G99" s="115">
        <v>75693</v>
      </c>
      <c r="H99" s="116">
        <f t="shared" si="11"/>
        <v>5.2841843088418434</v>
      </c>
      <c r="I99" s="115">
        <v>93467</v>
      </c>
      <c r="J99" s="116">
        <f t="shared" si="11"/>
        <v>0.23481695797497792</v>
      </c>
      <c r="K99" s="115">
        <v>98528</v>
      </c>
      <c r="L99" s="116">
        <f t="shared" si="12"/>
        <v>5.4147453111793364E-2</v>
      </c>
      <c r="M99" s="115"/>
      <c r="N99" s="116"/>
    </row>
    <row r="100" spans="2:14" x14ac:dyDescent="0.25">
      <c r="B100" s="114" t="s">
        <v>77</v>
      </c>
      <c r="C100" s="115">
        <v>0</v>
      </c>
      <c r="D100" s="116">
        <v>-1</v>
      </c>
      <c r="E100" s="115">
        <v>13349</v>
      </c>
      <c r="F100" s="116" t="str">
        <f t="shared" si="11"/>
        <v>-</v>
      </c>
      <c r="G100" s="115">
        <v>70085</v>
      </c>
      <c r="H100" s="116">
        <f t="shared" si="11"/>
        <v>4.2502060079406698</v>
      </c>
      <c r="I100" s="115">
        <v>77040</v>
      </c>
      <c r="J100" s="116">
        <f t="shared" si="11"/>
        <v>9.92366412213741E-2</v>
      </c>
      <c r="K100" s="115">
        <v>85861</v>
      </c>
      <c r="L100" s="116">
        <f t="shared" si="12"/>
        <v>0.11449896157840089</v>
      </c>
      <c r="M100" s="115"/>
      <c r="N100" s="116"/>
    </row>
    <row r="101" spans="2:14" x14ac:dyDescent="0.25">
      <c r="B101" s="114" t="s">
        <v>79</v>
      </c>
      <c r="C101" s="115">
        <v>0</v>
      </c>
      <c r="D101" s="116">
        <v>-1</v>
      </c>
      <c r="E101" s="115">
        <v>21459</v>
      </c>
      <c r="F101" s="116" t="str">
        <f t="shared" si="11"/>
        <v>-</v>
      </c>
      <c r="G101" s="115">
        <v>56282</v>
      </c>
      <c r="H101" s="116">
        <f t="shared" si="11"/>
        <v>1.6227690013514144</v>
      </c>
      <c r="I101" s="115">
        <v>66260</v>
      </c>
      <c r="J101" s="116">
        <f t="shared" si="11"/>
        <v>0.1772858107387798</v>
      </c>
      <c r="K101" s="115">
        <v>70270</v>
      </c>
      <c r="L101" s="116">
        <f t="shared" si="12"/>
        <v>6.0519166918201028E-2</v>
      </c>
      <c r="M101" s="115"/>
      <c r="N101" s="116"/>
    </row>
    <row r="102" spans="2:14" x14ac:dyDescent="0.25">
      <c r="B102" s="114" t="s">
        <v>81</v>
      </c>
      <c r="C102" s="115">
        <v>0</v>
      </c>
      <c r="D102" s="116">
        <v>-1</v>
      </c>
      <c r="E102" s="115">
        <v>29603</v>
      </c>
      <c r="F102" s="116" t="str">
        <f t="shared" si="11"/>
        <v>-</v>
      </c>
      <c r="G102" s="115">
        <v>67208</v>
      </c>
      <c r="H102" s="116">
        <f t="shared" si="11"/>
        <v>1.2703104415093063</v>
      </c>
      <c r="I102" s="115">
        <v>77667</v>
      </c>
      <c r="J102" s="116">
        <f t="shared" si="11"/>
        <v>0.15562135460064286</v>
      </c>
      <c r="K102" s="115">
        <v>83667</v>
      </c>
      <c r="L102" s="116">
        <f t="shared" si="12"/>
        <v>7.7252887326663799E-2</v>
      </c>
      <c r="M102" s="115"/>
      <c r="N102" s="116"/>
    </row>
    <row r="103" spans="2:14" x14ac:dyDescent="0.25">
      <c r="B103" s="114" t="s">
        <v>83</v>
      </c>
      <c r="C103" s="115">
        <v>0</v>
      </c>
      <c r="D103" s="116">
        <v>-1</v>
      </c>
      <c r="E103" s="115">
        <v>48297</v>
      </c>
      <c r="F103" s="116" t="str">
        <f t="shared" si="11"/>
        <v>-</v>
      </c>
      <c r="G103" s="115">
        <v>89403</v>
      </c>
      <c r="H103" s="116">
        <f t="shared" si="11"/>
        <v>0.85110876451953543</v>
      </c>
      <c r="I103" s="115">
        <v>92765</v>
      </c>
      <c r="J103" s="116">
        <f t="shared" si="11"/>
        <v>3.7605002069281745E-2</v>
      </c>
      <c r="K103" s="115">
        <v>102667</v>
      </c>
      <c r="L103" s="116">
        <f t="shared" si="12"/>
        <v>0.10674284482293972</v>
      </c>
      <c r="M103" s="115"/>
      <c r="N103" s="116"/>
    </row>
    <row r="104" spans="2:14" x14ac:dyDescent="0.25">
      <c r="B104" s="114" t="s">
        <v>85</v>
      </c>
      <c r="C104" s="115">
        <v>27861</v>
      </c>
      <c r="D104" s="116">
        <v>-0.74450934900824395</v>
      </c>
      <c r="E104" s="115">
        <v>54237</v>
      </c>
      <c r="F104" s="116">
        <f t="shared" si="11"/>
        <v>0.94669968773554425</v>
      </c>
      <c r="G104" s="115">
        <v>85449</v>
      </c>
      <c r="H104" s="116">
        <f t="shared" si="11"/>
        <v>0.57547430720725701</v>
      </c>
      <c r="I104" s="115">
        <v>81457</v>
      </c>
      <c r="J104" s="116">
        <f t="shared" si="11"/>
        <v>-4.6717925312174557E-2</v>
      </c>
      <c r="K104" s="115">
        <v>110568</v>
      </c>
      <c r="L104" s="116">
        <f t="shared" si="12"/>
        <v>0.35737873970315626</v>
      </c>
      <c r="M104" s="115"/>
      <c r="N104" s="116"/>
    </row>
    <row r="105" spans="2:14" x14ac:dyDescent="0.25">
      <c r="B105" s="114" t="s">
        <v>87</v>
      </c>
      <c r="C105" s="115">
        <v>18984</v>
      </c>
      <c r="D105" s="116">
        <v>-0.79358710898000462</v>
      </c>
      <c r="E105" s="115">
        <v>50104</v>
      </c>
      <c r="F105" s="116">
        <f t="shared" si="11"/>
        <v>1.6392751790981879</v>
      </c>
      <c r="G105" s="115">
        <v>62576</v>
      </c>
      <c r="H105" s="116">
        <f t="shared" si="11"/>
        <v>0.24892224173718658</v>
      </c>
      <c r="I105" s="115">
        <v>80132</v>
      </c>
      <c r="J105" s="116">
        <f t="shared" si="11"/>
        <v>0.28055484530810526</v>
      </c>
      <c r="K105" s="115">
        <v>98575</v>
      </c>
      <c r="L105" s="116">
        <f t="shared" si="12"/>
        <v>0.23015773972944631</v>
      </c>
      <c r="M105" s="115"/>
      <c r="N105" s="116"/>
    </row>
    <row r="106" spans="2:14" x14ac:dyDescent="0.25">
      <c r="B106" s="114" t="s">
        <v>89</v>
      </c>
      <c r="C106" s="115">
        <v>13944</v>
      </c>
      <c r="D106" s="116">
        <v>-0.84321133412042504</v>
      </c>
      <c r="E106" s="115">
        <v>53602</v>
      </c>
      <c r="F106" s="116">
        <f t="shared" si="11"/>
        <v>2.8440906483075157</v>
      </c>
      <c r="G106" s="115">
        <v>76819</v>
      </c>
      <c r="H106" s="116">
        <f t="shared" si="11"/>
        <v>0.43313682325286362</v>
      </c>
      <c r="I106" s="115">
        <v>75901</v>
      </c>
      <c r="J106" s="116">
        <f t="shared" si="11"/>
        <v>-1.1950168578086173E-2</v>
      </c>
      <c r="K106" s="115">
        <v>89031</v>
      </c>
      <c r="L106" s="116">
        <f t="shared" si="12"/>
        <v>0.17298849817525452</v>
      </c>
      <c r="M106" s="115"/>
      <c r="N106" s="116"/>
    </row>
    <row r="107" spans="2:14" x14ac:dyDescent="0.25">
      <c r="B107" s="114" t="s">
        <v>91</v>
      </c>
      <c r="C107" s="115">
        <v>11948</v>
      </c>
      <c r="D107" s="116">
        <v>-0.88496938421843108</v>
      </c>
      <c r="E107" s="115">
        <v>62050</v>
      </c>
      <c r="F107" s="116">
        <f t="shared" si="11"/>
        <v>4.193337797120857</v>
      </c>
      <c r="G107" s="115">
        <v>86224</v>
      </c>
      <c r="H107" s="116">
        <f t="shared" si="11"/>
        <v>0.38958904109589043</v>
      </c>
      <c r="I107" s="115">
        <v>90568</v>
      </c>
      <c r="J107" s="116">
        <f t="shared" si="11"/>
        <v>5.0380404527741618E-2</v>
      </c>
      <c r="K107" s="115">
        <v>93328</v>
      </c>
      <c r="L107" s="116">
        <f t="shared" si="12"/>
        <v>3.0474339722639243E-2</v>
      </c>
      <c r="M107" s="115"/>
      <c r="N107" s="116"/>
    </row>
    <row r="108" spans="2:14" x14ac:dyDescent="0.25">
      <c r="B108" s="114" t="s">
        <v>93</v>
      </c>
      <c r="C108" s="115">
        <v>17274</v>
      </c>
      <c r="D108" s="116">
        <v>-0.8414807609363959</v>
      </c>
      <c r="E108" s="115">
        <v>67710</v>
      </c>
      <c r="F108" s="116">
        <f t="shared" si="11"/>
        <v>2.9197638068773881</v>
      </c>
      <c r="G108" s="115">
        <v>91965</v>
      </c>
      <c r="H108" s="116">
        <f t="shared" si="11"/>
        <v>0.35821887461231716</v>
      </c>
      <c r="I108" s="115">
        <v>92585</v>
      </c>
      <c r="J108" s="116">
        <f t="shared" si="11"/>
        <v>6.7416952101342353E-3</v>
      </c>
      <c r="K108" s="115">
        <v>94775</v>
      </c>
      <c r="L108" s="116">
        <f t="shared" si="12"/>
        <v>2.3653939623049069E-2</v>
      </c>
      <c r="M108" s="115"/>
      <c r="N108" s="116"/>
    </row>
    <row r="109" spans="2:14" ht="15.75" x14ac:dyDescent="0.25">
      <c r="B109" s="117" t="s">
        <v>30</v>
      </c>
      <c r="C109" s="118">
        <v>389120</v>
      </c>
      <c r="D109" s="119">
        <v>-0.68405788158341307</v>
      </c>
      <c r="E109" s="118">
        <v>432466</v>
      </c>
      <c r="F109" s="119">
        <f t="shared" si="11"/>
        <v>0.11139494243421044</v>
      </c>
      <c r="G109" s="118">
        <v>897394</v>
      </c>
      <c r="H109" s="119">
        <f t="shared" si="11"/>
        <v>1.0750625482696905</v>
      </c>
      <c r="I109" s="118">
        <v>1016288</v>
      </c>
      <c r="J109" s="119">
        <f t="shared" si="11"/>
        <v>0.13248807101451532</v>
      </c>
      <c r="K109" s="118">
        <v>1111970</v>
      </c>
      <c r="L109" s="119">
        <f t="shared" si="12"/>
        <v>9.4148509084039267E-2</v>
      </c>
      <c r="M109" s="118">
        <v>97059</v>
      </c>
      <c r="N109" s="119">
        <v>3.56937063832512E-2</v>
      </c>
    </row>
    <row r="110" spans="2:14" ht="6" customHeight="1" x14ac:dyDescent="0.25"/>
    <row r="111" spans="2:14" x14ac:dyDescent="0.25">
      <c r="B111" s="105" t="s">
        <v>55</v>
      </c>
      <c r="C111" s="105"/>
      <c r="D111" s="105"/>
      <c r="E111" s="105"/>
      <c r="F111" s="105"/>
      <c r="G111" s="105"/>
      <c r="H111" s="105"/>
      <c r="I111" s="105"/>
      <c r="J111" s="105"/>
      <c r="K111" s="105"/>
      <c r="L111" s="105"/>
      <c r="M111" s="105"/>
      <c r="N111" s="105"/>
    </row>
    <row r="113" spans="3:3" x14ac:dyDescent="0.25">
      <c r="C113" s="120"/>
    </row>
  </sheetData>
  <mergeCells count="40">
    <mergeCell ref="B4:N4"/>
    <mergeCell ref="C6:N6"/>
    <mergeCell ref="C7:D7"/>
    <mergeCell ref="E7:F7"/>
    <mergeCell ref="G7:H7"/>
    <mergeCell ref="I7:J7"/>
    <mergeCell ref="K7:L7"/>
    <mergeCell ref="M7:N7"/>
    <mergeCell ref="B26:N26"/>
    <mergeCell ref="C28:N28"/>
    <mergeCell ref="C29:D29"/>
    <mergeCell ref="E29:F29"/>
    <mergeCell ref="G29:H29"/>
    <mergeCell ref="I29:J29"/>
    <mergeCell ref="K29:L29"/>
    <mergeCell ref="M29:N29"/>
    <mergeCell ref="B48:N48"/>
    <mergeCell ref="C50:N50"/>
    <mergeCell ref="C51:D51"/>
    <mergeCell ref="E51:F51"/>
    <mergeCell ref="G51:H51"/>
    <mergeCell ref="I51:J51"/>
    <mergeCell ref="K51:L51"/>
    <mergeCell ref="M51:N51"/>
    <mergeCell ref="B70:N70"/>
    <mergeCell ref="C72:N72"/>
    <mergeCell ref="C73:D73"/>
    <mergeCell ref="E73:F73"/>
    <mergeCell ref="G73:H73"/>
    <mergeCell ref="I73:J73"/>
    <mergeCell ref="K73:L73"/>
    <mergeCell ref="M73:N73"/>
    <mergeCell ref="B92:N92"/>
    <mergeCell ref="C94:N94"/>
    <mergeCell ref="C95:D95"/>
    <mergeCell ref="E95:F95"/>
    <mergeCell ref="G95:H95"/>
    <mergeCell ref="I95:J95"/>
    <mergeCell ref="K95:L95"/>
    <mergeCell ref="M95:N95"/>
  </mergeCells>
  <pageMargins left="0.7" right="0.7" top="0.75" bottom="0.75" header="0.3" footer="0.3"/>
  <pageSetup paperSize="9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359288-8EF5-4EB5-8E81-DDC5D8925D1E}">
  <sheetPr codeName="Hoja26">
    <tabColor rgb="FFF29140"/>
    <pageSetUpPr fitToPage="1"/>
  </sheetPr>
  <dimension ref="A1:N162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</cols>
  <sheetData>
    <row r="1" spans="1:12" ht="42.75" customHeight="1" x14ac:dyDescent="0.25"/>
    <row r="4" spans="1:12" ht="42" customHeight="1" thickBot="1" x14ac:dyDescent="0.3">
      <c r="B4" s="265" t="str">
        <f>CONCATENATE("Pernoctaciones en los establecimientos alojativos de Tenerife según lugar de residencia y municipio de alojamiento (hotel + apartamento)")</f>
        <v>Pernoctaciones en los establecimientos alojativos de Tenerife según lugar de residencia y municipio de alojamiento (hotel + apartamento)</v>
      </c>
      <c r="C4" s="265"/>
      <c r="D4" s="265"/>
      <c r="E4" s="265"/>
      <c r="F4" s="265"/>
      <c r="G4" s="265"/>
      <c r="H4" s="265"/>
      <c r="I4" s="265"/>
      <c r="J4" s="265"/>
      <c r="K4" s="265"/>
    </row>
    <row r="5" spans="1:12" ht="6" customHeight="1" x14ac:dyDescent="0.25"/>
    <row r="6" spans="1:12" s="142" customFormat="1" ht="72" customHeight="1" x14ac:dyDescent="0.25">
      <c r="B6" s="143"/>
      <c r="C6" s="168" t="s">
        <v>258</v>
      </c>
      <c r="D6" s="168" t="s">
        <v>224</v>
      </c>
      <c r="E6" s="168" t="s">
        <v>225</v>
      </c>
      <c r="F6" s="168" t="s">
        <v>226</v>
      </c>
      <c r="G6" s="168" t="s">
        <v>227</v>
      </c>
      <c r="H6" s="168" t="s">
        <v>228</v>
      </c>
      <c r="I6" s="169" t="str">
        <f>CONCATENATE("var. ",RIGHT(H6,2),"/",RIGHT(G6,2))</f>
        <v>var. 25/24</v>
      </c>
      <c r="J6" s="168" t="str">
        <f>CONCATENATE("dif. ",RIGHT(H6,2),"/",RIGHT(G6,2))</f>
        <v>dif. 25/24</v>
      </c>
      <c r="K6" s="169" t="str">
        <f>CONCATENATE("Cuota s/ total lugares de residencia ",RIGHT(H6,4))</f>
        <v>Cuota s/ total lugares de residencia 2025</v>
      </c>
    </row>
    <row r="7" spans="1:12" s="142" customFormat="1" x14ac:dyDescent="0.25">
      <c r="B7" s="148" t="s">
        <v>43</v>
      </c>
      <c r="C7" s="149"/>
      <c r="D7" s="149"/>
      <c r="E7" s="149"/>
      <c r="F7" s="149"/>
      <c r="G7" s="149"/>
      <c r="H7" s="149"/>
      <c r="I7" s="149"/>
      <c r="J7" s="149"/>
      <c r="K7" s="149"/>
    </row>
    <row r="8" spans="1:12" x14ac:dyDescent="0.25">
      <c r="A8" s="1"/>
      <c r="B8" s="152" t="s">
        <v>68</v>
      </c>
      <c r="C8" s="172">
        <v>3010465</v>
      </c>
      <c r="D8" s="172">
        <v>260161</v>
      </c>
      <c r="E8" s="172">
        <v>2017602</v>
      </c>
      <c r="F8" s="172">
        <v>2930663</v>
      </c>
      <c r="G8" s="172">
        <v>3028970</v>
      </c>
      <c r="H8" s="172">
        <v>3019532</v>
      </c>
      <c r="I8" s="173">
        <f>IFERROR(H8/G8-1,"-")</f>
        <v>-3.1159106891121002E-3</v>
      </c>
      <c r="J8" s="172">
        <f>H8-G8</f>
        <v>-9438</v>
      </c>
      <c r="K8" s="173">
        <f>H8/H$8</f>
        <v>1</v>
      </c>
      <c r="L8" s="79"/>
    </row>
    <row r="9" spans="1:12" x14ac:dyDescent="0.25">
      <c r="A9" s="1" t="s">
        <v>96</v>
      </c>
      <c r="B9" s="155" t="s">
        <v>97</v>
      </c>
      <c r="C9" s="156">
        <v>269349</v>
      </c>
      <c r="D9" s="156">
        <v>55049</v>
      </c>
      <c r="E9" s="156">
        <v>189281</v>
      </c>
      <c r="F9" s="156">
        <v>281845</v>
      </c>
      <c r="G9" s="156">
        <v>239399</v>
      </c>
      <c r="H9" s="156">
        <v>229765</v>
      </c>
      <c r="I9" s="157">
        <f>IFERROR(H9/G9-1,"-")</f>
        <v>-4.0242440444613337E-2</v>
      </c>
      <c r="J9" s="156">
        <f t="shared" ref="J9:J19" si="0">H9-G9</f>
        <v>-9634</v>
      </c>
      <c r="K9" s="157">
        <f>H9/H$8</f>
        <v>7.6092917710426644E-2</v>
      </c>
      <c r="L9" s="79"/>
    </row>
    <row r="10" spans="1:12" x14ac:dyDescent="0.25">
      <c r="A10" s="158" t="s">
        <v>103</v>
      </c>
      <c r="B10" s="159" t="s">
        <v>103</v>
      </c>
      <c r="C10" s="160">
        <v>58030</v>
      </c>
      <c r="D10" s="160">
        <v>32446</v>
      </c>
      <c r="E10" s="160">
        <v>59719</v>
      </c>
      <c r="F10" s="160">
        <v>87686</v>
      </c>
      <c r="G10" s="160">
        <v>70667</v>
      </c>
      <c r="H10" s="160">
        <v>59579</v>
      </c>
      <c r="I10" s="161">
        <f>IFERROR(H10/G10-1,"-")</f>
        <v>-0.15690492025981007</v>
      </c>
      <c r="J10" s="160">
        <f t="shared" si="0"/>
        <v>-11088</v>
      </c>
      <c r="K10" s="161">
        <f>H10/H$8</f>
        <v>1.9731203378536805E-2</v>
      </c>
      <c r="L10" s="79"/>
    </row>
    <row r="11" spans="1:12" x14ac:dyDescent="0.25">
      <c r="A11" s="158" t="s">
        <v>100</v>
      </c>
      <c r="B11" s="159" t="s">
        <v>100</v>
      </c>
      <c r="C11" s="160">
        <v>211319</v>
      </c>
      <c r="D11" s="160">
        <v>22603</v>
      </c>
      <c r="E11" s="160">
        <v>129562</v>
      </c>
      <c r="F11" s="160">
        <v>194159</v>
      </c>
      <c r="G11" s="160">
        <v>168732</v>
      </c>
      <c r="H11" s="160">
        <v>170186</v>
      </c>
      <c r="I11" s="161">
        <f>IFERROR(H11/G11-1,"-")</f>
        <v>8.6172154659460709E-3</v>
      </c>
      <c r="J11" s="160">
        <f t="shared" si="0"/>
        <v>1454</v>
      </c>
      <c r="K11" s="161">
        <f>H11/H$8</f>
        <v>5.6361714331889842E-2</v>
      </c>
      <c r="L11" s="79"/>
    </row>
    <row r="12" spans="1:12" x14ac:dyDescent="0.25">
      <c r="A12" s="1"/>
      <c r="B12" s="155" t="s">
        <v>107</v>
      </c>
      <c r="C12" s="156">
        <v>2741116</v>
      </c>
      <c r="D12" s="156">
        <v>205112</v>
      </c>
      <c r="E12" s="156">
        <v>1828321</v>
      </c>
      <c r="F12" s="156">
        <v>2648818</v>
      </c>
      <c r="G12" s="156">
        <v>2789571</v>
      </c>
      <c r="H12" s="156">
        <v>2789767</v>
      </c>
      <c r="I12" s="157">
        <f>IFERROR(H12/G12-1,"-")</f>
        <v>7.026169973811669E-5</v>
      </c>
      <c r="J12" s="156">
        <f t="shared" si="0"/>
        <v>196</v>
      </c>
      <c r="K12" s="157">
        <f>H12/H$8</f>
        <v>0.9239070822895733</v>
      </c>
      <c r="L12" s="79"/>
    </row>
    <row r="13" spans="1:12" s="56" customFormat="1" x14ac:dyDescent="0.25">
      <c r="A13" s="158"/>
      <c r="B13" s="159" t="s">
        <v>110</v>
      </c>
      <c r="C13" s="160">
        <v>1052899</v>
      </c>
      <c r="D13" s="160">
        <v>34741</v>
      </c>
      <c r="E13" s="160">
        <v>624260</v>
      </c>
      <c r="F13" s="160">
        <v>996744</v>
      </c>
      <c r="G13" s="160">
        <v>1103795</v>
      </c>
      <c r="H13" s="160">
        <v>1111730</v>
      </c>
      <c r="I13" s="161">
        <f t="shared" ref="I13:I20" si="1">IFERROR(H13/G13-1,"-")</f>
        <v>7.1888348832889193E-3</v>
      </c>
      <c r="J13" s="160">
        <f t="shared" si="0"/>
        <v>7935</v>
      </c>
      <c r="K13" s="161">
        <f t="shared" ref="K13:K20" si="2">H13/H$8</f>
        <v>0.36817957219860559</v>
      </c>
      <c r="L13" s="162"/>
    </row>
    <row r="14" spans="1:12" s="56" customFormat="1" x14ac:dyDescent="0.25">
      <c r="A14" s="158"/>
      <c r="B14" s="159" t="s">
        <v>113</v>
      </c>
      <c r="C14" s="160">
        <v>420089</v>
      </c>
      <c r="D14" s="160">
        <v>32334</v>
      </c>
      <c r="E14" s="160">
        <v>238924</v>
      </c>
      <c r="F14" s="160">
        <v>354283</v>
      </c>
      <c r="G14" s="160">
        <v>372775</v>
      </c>
      <c r="H14" s="160">
        <v>368628</v>
      </c>
      <c r="I14" s="161">
        <f t="shared" si="1"/>
        <v>-1.1124673060156964E-2</v>
      </c>
      <c r="J14" s="160">
        <f t="shared" si="0"/>
        <v>-4147</v>
      </c>
      <c r="K14" s="161">
        <f t="shared" si="2"/>
        <v>0.12208117019458645</v>
      </c>
      <c r="L14" s="162"/>
    </row>
    <row r="15" spans="1:12" x14ac:dyDescent="0.25">
      <c r="A15" s="158"/>
      <c r="B15" s="159" t="s">
        <v>116</v>
      </c>
      <c r="C15" s="160">
        <v>101413</v>
      </c>
      <c r="D15" s="160">
        <v>30295</v>
      </c>
      <c r="E15" s="160">
        <v>80394</v>
      </c>
      <c r="F15" s="160">
        <v>126041</v>
      </c>
      <c r="G15" s="160">
        <v>127988</v>
      </c>
      <c r="H15" s="160">
        <v>123185</v>
      </c>
      <c r="I15" s="161">
        <f t="shared" si="1"/>
        <v>-3.7526955652092409E-2</v>
      </c>
      <c r="J15" s="160">
        <f t="shared" si="0"/>
        <v>-4803</v>
      </c>
      <c r="K15" s="161">
        <f t="shared" si="2"/>
        <v>4.0796057137331213E-2</v>
      </c>
      <c r="L15" s="79"/>
    </row>
    <row r="16" spans="1:12" x14ac:dyDescent="0.25">
      <c r="A16" s="158"/>
      <c r="B16" s="159" t="s">
        <v>123</v>
      </c>
      <c r="C16" s="160">
        <v>86270</v>
      </c>
      <c r="D16" s="160">
        <v>3178</v>
      </c>
      <c r="E16" s="160">
        <v>102811</v>
      </c>
      <c r="F16" s="160">
        <v>99985</v>
      </c>
      <c r="G16" s="160">
        <v>107435</v>
      </c>
      <c r="H16" s="160">
        <v>99471</v>
      </c>
      <c r="I16" s="161">
        <f t="shared" si="1"/>
        <v>-7.4128542839856704E-2</v>
      </c>
      <c r="J16" s="160">
        <f t="shared" si="0"/>
        <v>-7964</v>
      </c>
      <c r="K16" s="161">
        <f t="shared" si="2"/>
        <v>3.2942522218674948E-2</v>
      </c>
      <c r="L16" s="79"/>
    </row>
    <row r="17" spans="1:12" x14ac:dyDescent="0.25">
      <c r="A17" s="158"/>
      <c r="B17" s="159" t="s">
        <v>119</v>
      </c>
      <c r="C17" s="160">
        <v>106486</v>
      </c>
      <c r="D17" s="160">
        <v>15935</v>
      </c>
      <c r="E17" s="160">
        <v>99130</v>
      </c>
      <c r="F17" s="160">
        <v>106604</v>
      </c>
      <c r="G17" s="160">
        <v>105686</v>
      </c>
      <c r="H17" s="160">
        <v>97876</v>
      </c>
      <c r="I17" s="161">
        <f t="shared" si="1"/>
        <v>-7.3898151126923106E-2</v>
      </c>
      <c r="J17" s="160">
        <f t="shared" si="0"/>
        <v>-7810</v>
      </c>
      <c r="K17" s="161">
        <f t="shared" si="2"/>
        <v>3.2414294665530953E-2</v>
      </c>
      <c r="L17" s="79"/>
    </row>
    <row r="18" spans="1:12" x14ac:dyDescent="0.25">
      <c r="A18" s="158"/>
      <c r="B18" s="159" t="s">
        <v>128</v>
      </c>
      <c r="C18" s="160">
        <v>91656</v>
      </c>
      <c r="D18" s="160">
        <v>700</v>
      </c>
      <c r="E18" s="160">
        <v>65027</v>
      </c>
      <c r="F18" s="160">
        <v>87732</v>
      </c>
      <c r="G18" s="160">
        <v>79237</v>
      </c>
      <c r="H18" s="160">
        <v>76979</v>
      </c>
      <c r="I18" s="161">
        <f t="shared" si="1"/>
        <v>-2.8496788116662675E-2</v>
      </c>
      <c r="J18" s="160">
        <f t="shared" si="0"/>
        <v>-2258</v>
      </c>
      <c r="K18" s="161">
        <f t="shared" si="2"/>
        <v>2.549368577647132E-2</v>
      </c>
      <c r="L18" s="79"/>
    </row>
    <row r="19" spans="1:12" x14ac:dyDescent="0.25">
      <c r="A19" s="158" t="s">
        <v>144</v>
      </c>
      <c r="B19" s="159" t="s">
        <v>131</v>
      </c>
      <c r="C19" s="160">
        <v>149739</v>
      </c>
      <c r="D19" s="160">
        <v>5617</v>
      </c>
      <c r="E19" s="160">
        <v>60986</v>
      </c>
      <c r="F19" s="160">
        <v>94135</v>
      </c>
      <c r="G19" s="160">
        <v>100501</v>
      </c>
      <c r="H19" s="160">
        <v>94215</v>
      </c>
      <c r="I19" s="161">
        <f t="shared" si="1"/>
        <v>-6.2546641326951979E-2</v>
      </c>
      <c r="J19" s="160">
        <f t="shared" si="0"/>
        <v>-6286</v>
      </c>
      <c r="K19" s="161">
        <f t="shared" si="2"/>
        <v>3.1201855121919555E-2</v>
      </c>
      <c r="L19" s="79"/>
    </row>
    <row r="20" spans="1:12" x14ac:dyDescent="0.25">
      <c r="A20" s="158" t="s">
        <v>145</v>
      </c>
      <c r="B20" s="164" t="s">
        <v>145</v>
      </c>
      <c r="C20" s="165">
        <f t="shared" ref="C20:H20" si="3">C12-SUM(C13:C19)</f>
        <v>732564</v>
      </c>
      <c r="D20" s="165">
        <f t="shared" si="3"/>
        <v>82312</v>
      </c>
      <c r="E20" s="165">
        <f t="shared" si="3"/>
        <v>556789</v>
      </c>
      <c r="F20" s="165">
        <f t="shared" si="3"/>
        <v>783294</v>
      </c>
      <c r="G20" s="165">
        <f t="shared" si="3"/>
        <v>792154</v>
      </c>
      <c r="H20" s="165">
        <f t="shared" si="3"/>
        <v>817683</v>
      </c>
      <c r="I20" s="166">
        <f t="shared" si="1"/>
        <v>3.2227319435362389E-2</v>
      </c>
      <c r="J20" s="165">
        <f>H20-G20</f>
        <v>25529</v>
      </c>
      <c r="K20" s="166">
        <f t="shared" si="2"/>
        <v>0.27079792497645333</v>
      </c>
      <c r="L20" s="79"/>
    </row>
    <row r="21" spans="1:12" s="142" customFormat="1" x14ac:dyDescent="0.25">
      <c r="A21" s="158"/>
      <c r="B21" s="151" t="s">
        <v>44</v>
      </c>
      <c r="C21" s="149"/>
      <c r="D21" s="149"/>
      <c r="E21" s="149"/>
      <c r="F21" s="149"/>
      <c r="G21" s="149"/>
      <c r="H21" s="149"/>
      <c r="I21" s="149"/>
      <c r="J21" s="149"/>
      <c r="K21" s="149"/>
    </row>
    <row r="22" spans="1:12" x14ac:dyDescent="0.25">
      <c r="A22" s="158"/>
      <c r="B22" s="152" t="s">
        <v>68</v>
      </c>
      <c r="C22" s="172">
        <v>1154297</v>
      </c>
      <c r="D22" s="172">
        <v>98412</v>
      </c>
      <c r="E22" s="172">
        <v>786358</v>
      </c>
      <c r="F22" s="172">
        <v>1105557</v>
      </c>
      <c r="G22" s="172">
        <v>1165181</v>
      </c>
      <c r="H22" s="172">
        <v>1119747</v>
      </c>
      <c r="I22" s="173">
        <f>IFERROR(H22/G22-1,"-")</f>
        <v>-3.8993083478017554E-2</v>
      </c>
      <c r="J22" s="172">
        <f>H22-G22</f>
        <v>-45434</v>
      </c>
      <c r="K22" s="173">
        <f>H22/H$8</f>
        <v>0.3708346194045965</v>
      </c>
      <c r="L22" s="79"/>
    </row>
    <row r="23" spans="1:12" x14ac:dyDescent="0.25">
      <c r="A23" s="158" t="s">
        <v>96</v>
      </c>
      <c r="B23" s="155" t="s">
        <v>97</v>
      </c>
      <c r="C23" s="156">
        <v>47398</v>
      </c>
      <c r="D23" s="156">
        <v>19326</v>
      </c>
      <c r="E23" s="156">
        <v>44512</v>
      </c>
      <c r="F23" s="156">
        <v>49718</v>
      </c>
      <c r="G23" s="156">
        <v>41092</v>
      </c>
      <c r="H23" s="156">
        <v>33957</v>
      </c>
      <c r="I23" s="157">
        <f>IFERROR(H23/G23-1,"-")</f>
        <v>-0.17363477075829847</v>
      </c>
      <c r="J23" s="156">
        <f t="shared" ref="J23:J33" si="4">H23-G23</f>
        <v>-7135</v>
      </c>
      <c r="K23" s="157">
        <f>H23/H$8</f>
        <v>1.1245782459003581E-2</v>
      </c>
      <c r="L23" s="79"/>
    </row>
    <row r="24" spans="1:12" x14ac:dyDescent="0.25">
      <c r="A24" s="158" t="s">
        <v>103</v>
      </c>
      <c r="B24" s="159" t="s">
        <v>103</v>
      </c>
      <c r="C24" s="160">
        <v>16631</v>
      </c>
      <c r="D24" s="160">
        <v>9757</v>
      </c>
      <c r="E24" s="160">
        <v>14350</v>
      </c>
      <c r="F24" s="160">
        <v>17448</v>
      </c>
      <c r="G24" s="160">
        <v>9983</v>
      </c>
      <c r="H24" s="160">
        <v>9355</v>
      </c>
      <c r="I24" s="161">
        <f>IFERROR(H24/G24-1,"-")</f>
        <v>-6.2906941801061822E-2</v>
      </c>
      <c r="J24" s="160">
        <f t="shared" si="4"/>
        <v>-628</v>
      </c>
      <c r="K24" s="161">
        <f>H24/H$8</f>
        <v>3.0981622317630677E-3</v>
      </c>
      <c r="L24" s="79"/>
    </row>
    <row r="25" spans="1:12" x14ac:dyDescent="0.25">
      <c r="A25" s="158" t="s">
        <v>100</v>
      </c>
      <c r="B25" s="159" t="s">
        <v>100</v>
      </c>
      <c r="C25" s="160">
        <v>30767</v>
      </c>
      <c r="D25" s="160">
        <v>9569</v>
      </c>
      <c r="E25" s="160">
        <v>30162</v>
      </c>
      <c r="F25" s="160">
        <v>32270</v>
      </c>
      <c r="G25" s="160">
        <v>31109</v>
      </c>
      <c r="H25" s="160">
        <v>24602</v>
      </c>
      <c r="I25" s="161">
        <f>IFERROR(H25/G25-1,"-")</f>
        <v>-0.20916776495547917</v>
      </c>
      <c r="J25" s="160">
        <f t="shared" si="4"/>
        <v>-6507</v>
      </c>
      <c r="K25" s="161">
        <f>H25/H$8</f>
        <v>8.1476202272405124E-3</v>
      </c>
      <c r="L25" s="79"/>
    </row>
    <row r="26" spans="1:12" x14ac:dyDescent="0.25">
      <c r="A26" s="158"/>
      <c r="B26" s="155" t="s">
        <v>107</v>
      </c>
      <c r="C26" s="156">
        <v>1106899</v>
      </c>
      <c r="D26" s="156">
        <v>79086</v>
      </c>
      <c r="E26" s="156">
        <v>741846</v>
      </c>
      <c r="F26" s="156">
        <v>1055839</v>
      </c>
      <c r="G26" s="156">
        <v>1124089</v>
      </c>
      <c r="H26" s="156">
        <v>1085790</v>
      </c>
      <c r="I26" s="157">
        <f>IFERROR(H26/G26-1,"-")</f>
        <v>-3.4071145612135645E-2</v>
      </c>
      <c r="J26" s="156">
        <f t="shared" si="4"/>
        <v>-38299</v>
      </c>
      <c r="K26" s="157">
        <f>H26/H$8</f>
        <v>0.3595888369455929</v>
      </c>
      <c r="L26" s="79"/>
    </row>
    <row r="27" spans="1:12" s="56" customFormat="1" x14ac:dyDescent="0.25">
      <c r="A27" s="158"/>
      <c r="B27" s="159" t="s">
        <v>110</v>
      </c>
      <c r="C27" s="160">
        <v>467841</v>
      </c>
      <c r="D27" s="160">
        <v>9246</v>
      </c>
      <c r="E27" s="160">
        <v>287804</v>
      </c>
      <c r="F27" s="160">
        <v>463889</v>
      </c>
      <c r="G27" s="160">
        <v>507267</v>
      </c>
      <c r="H27" s="160">
        <v>508547</v>
      </c>
      <c r="I27" s="161">
        <f t="shared" ref="I27:I34" si="5">IFERROR(H27/G27-1,"-")</f>
        <v>2.5233259802037722E-3</v>
      </c>
      <c r="J27" s="160">
        <f t="shared" si="4"/>
        <v>1280</v>
      </c>
      <c r="K27" s="161">
        <f t="shared" ref="K27:K34" si="6">H27/H$8</f>
        <v>0.16841914574841399</v>
      </c>
      <c r="L27" s="162"/>
    </row>
    <row r="28" spans="1:12" s="56" customFormat="1" x14ac:dyDescent="0.25">
      <c r="A28" s="158"/>
      <c r="B28" s="159" t="s">
        <v>113</v>
      </c>
      <c r="C28" s="160">
        <v>154087</v>
      </c>
      <c r="D28" s="160">
        <v>11884</v>
      </c>
      <c r="E28" s="160">
        <v>89583</v>
      </c>
      <c r="F28" s="160">
        <v>122293</v>
      </c>
      <c r="G28" s="160">
        <v>126100</v>
      </c>
      <c r="H28" s="160">
        <v>123178</v>
      </c>
      <c r="I28" s="161">
        <f t="shared" si="5"/>
        <v>-2.3172085646312457E-2</v>
      </c>
      <c r="J28" s="160">
        <f t="shared" si="4"/>
        <v>-2922</v>
      </c>
      <c r="K28" s="161">
        <f t="shared" si="6"/>
        <v>4.0793738897286068E-2</v>
      </c>
      <c r="L28" s="162"/>
    </row>
    <row r="29" spans="1:12" x14ac:dyDescent="0.25">
      <c r="A29" s="158"/>
      <c r="B29" s="159" t="s">
        <v>116</v>
      </c>
      <c r="C29" s="160">
        <v>43633</v>
      </c>
      <c r="D29" s="160">
        <v>15076</v>
      </c>
      <c r="E29" s="160">
        <v>32383</v>
      </c>
      <c r="F29" s="160">
        <v>45548</v>
      </c>
      <c r="G29" s="160">
        <v>55570</v>
      </c>
      <c r="H29" s="160">
        <v>36323</v>
      </c>
      <c r="I29" s="161">
        <f t="shared" si="5"/>
        <v>-0.34635594745366205</v>
      </c>
      <c r="J29" s="160">
        <f t="shared" si="4"/>
        <v>-19247</v>
      </c>
      <c r="K29" s="161">
        <f t="shared" si="6"/>
        <v>1.2029347594262952E-2</v>
      </c>
      <c r="L29" s="79"/>
    </row>
    <row r="30" spans="1:12" x14ac:dyDescent="0.25">
      <c r="A30" s="158"/>
      <c r="B30" s="159" t="s">
        <v>123</v>
      </c>
      <c r="C30" s="160">
        <v>38581</v>
      </c>
      <c r="D30" s="160">
        <v>1610</v>
      </c>
      <c r="E30" s="160">
        <v>44879</v>
      </c>
      <c r="F30" s="160">
        <v>42011</v>
      </c>
      <c r="G30" s="160">
        <v>41716</v>
      </c>
      <c r="H30" s="160">
        <v>38188</v>
      </c>
      <c r="I30" s="161">
        <f t="shared" si="5"/>
        <v>-8.4571866909579074E-2</v>
      </c>
      <c r="J30" s="160">
        <f t="shared" si="4"/>
        <v>-3528</v>
      </c>
      <c r="K30" s="161">
        <f t="shared" si="6"/>
        <v>1.2646992977719726E-2</v>
      </c>
      <c r="L30" s="79"/>
    </row>
    <row r="31" spans="1:12" x14ac:dyDescent="0.25">
      <c r="A31" s="158"/>
      <c r="B31" s="159" t="s">
        <v>119</v>
      </c>
      <c r="C31" s="160">
        <v>57040</v>
      </c>
      <c r="D31" s="160">
        <v>7010</v>
      </c>
      <c r="E31" s="160">
        <v>60039</v>
      </c>
      <c r="F31" s="160">
        <v>56539</v>
      </c>
      <c r="G31" s="160">
        <v>54233</v>
      </c>
      <c r="H31" s="160">
        <v>51803</v>
      </c>
      <c r="I31" s="161">
        <f t="shared" si="5"/>
        <v>-4.4806667527151345E-2</v>
      </c>
      <c r="J31" s="160">
        <f t="shared" si="4"/>
        <v>-2430</v>
      </c>
      <c r="K31" s="161">
        <f t="shared" si="6"/>
        <v>1.7155969865528829E-2</v>
      </c>
      <c r="L31" s="79"/>
    </row>
    <row r="32" spans="1:12" x14ac:dyDescent="0.25">
      <c r="A32" s="158"/>
      <c r="B32" s="159" t="s">
        <v>128</v>
      </c>
      <c r="C32" s="160">
        <v>35175</v>
      </c>
      <c r="D32" s="160">
        <v>78</v>
      </c>
      <c r="E32" s="160">
        <v>19961</v>
      </c>
      <c r="F32" s="160">
        <v>28635</v>
      </c>
      <c r="G32" s="160">
        <v>26551</v>
      </c>
      <c r="H32" s="160">
        <v>21975</v>
      </c>
      <c r="I32" s="161">
        <f t="shared" si="5"/>
        <v>-0.17234755753078979</v>
      </c>
      <c r="J32" s="160">
        <f t="shared" si="4"/>
        <v>-4576</v>
      </c>
      <c r="K32" s="161">
        <f t="shared" si="6"/>
        <v>7.2776178560121241E-3</v>
      </c>
      <c r="L32" s="79"/>
    </row>
    <row r="33" spans="1:12" x14ac:dyDescent="0.25">
      <c r="A33" s="158" t="s">
        <v>144</v>
      </c>
      <c r="B33" s="159" t="s">
        <v>131</v>
      </c>
      <c r="C33" s="160">
        <v>45748</v>
      </c>
      <c r="D33" s="160">
        <v>468</v>
      </c>
      <c r="E33" s="160">
        <v>14749</v>
      </c>
      <c r="F33" s="160">
        <v>32549</v>
      </c>
      <c r="G33" s="160">
        <v>31090</v>
      </c>
      <c r="H33" s="160">
        <v>27778</v>
      </c>
      <c r="I33" s="161">
        <f t="shared" si="5"/>
        <v>-0.10652943068510778</v>
      </c>
      <c r="J33" s="160">
        <f t="shared" si="4"/>
        <v>-3312</v>
      </c>
      <c r="K33" s="161">
        <f t="shared" si="6"/>
        <v>9.1994388534382149E-3</v>
      </c>
      <c r="L33" s="79"/>
    </row>
    <row r="34" spans="1:12" x14ac:dyDescent="0.25">
      <c r="A34" s="158" t="s">
        <v>145</v>
      </c>
      <c r="B34" s="164" t="s">
        <v>145</v>
      </c>
      <c r="C34" s="165">
        <f t="shared" ref="C34:H34" si="7">C26-SUM(C27:C33)</f>
        <v>264794</v>
      </c>
      <c r="D34" s="165">
        <f t="shared" si="7"/>
        <v>33714</v>
      </c>
      <c r="E34" s="165">
        <f t="shared" si="7"/>
        <v>192448</v>
      </c>
      <c r="F34" s="165">
        <f t="shared" si="7"/>
        <v>264375</v>
      </c>
      <c r="G34" s="165">
        <f t="shared" si="7"/>
        <v>281562</v>
      </c>
      <c r="H34" s="165">
        <f t="shared" si="7"/>
        <v>277998</v>
      </c>
      <c r="I34" s="166">
        <f t="shared" si="5"/>
        <v>-1.2657958105142031E-2</v>
      </c>
      <c r="J34" s="165">
        <f>H34-G34</f>
        <v>-3564</v>
      </c>
      <c r="K34" s="166">
        <f t="shared" si="6"/>
        <v>9.206658515293098E-2</v>
      </c>
      <c r="L34" s="79"/>
    </row>
    <row r="35" spans="1:12" s="142" customFormat="1" x14ac:dyDescent="0.25">
      <c r="A35" s="158"/>
      <c r="B35" s="151" t="s">
        <v>45</v>
      </c>
      <c r="C35" s="149"/>
      <c r="D35" s="149"/>
      <c r="E35" s="149"/>
      <c r="F35" s="149"/>
      <c r="G35" s="149"/>
      <c r="H35" s="149"/>
      <c r="I35" s="149"/>
      <c r="J35" s="149"/>
      <c r="K35" s="149"/>
    </row>
    <row r="36" spans="1:12" x14ac:dyDescent="0.25">
      <c r="A36" s="158"/>
      <c r="B36" s="152" t="s">
        <v>68</v>
      </c>
      <c r="C36" s="172">
        <v>893934</v>
      </c>
      <c r="D36" s="172">
        <v>51667</v>
      </c>
      <c r="E36" s="172">
        <v>576461</v>
      </c>
      <c r="F36" s="172">
        <v>810733</v>
      </c>
      <c r="G36" s="172">
        <v>836960</v>
      </c>
      <c r="H36" s="172">
        <v>876312</v>
      </c>
      <c r="I36" s="173">
        <f>IFERROR(H36/G36-1,"-")</f>
        <v>4.701777862741352E-2</v>
      </c>
      <c r="J36" s="172">
        <f>H36-G36</f>
        <v>39352</v>
      </c>
      <c r="K36" s="173">
        <f>H36/H$8</f>
        <v>0.29021451006314886</v>
      </c>
      <c r="L36" s="79"/>
    </row>
    <row r="37" spans="1:12" x14ac:dyDescent="0.25">
      <c r="A37" s="158" t="s">
        <v>96</v>
      </c>
      <c r="B37" s="155" t="s">
        <v>97</v>
      </c>
      <c r="C37" s="156">
        <v>37671</v>
      </c>
      <c r="D37" s="156">
        <v>5567</v>
      </c>
      <c r="E37" s="156">
        <v>23050</v>
      </c>
      <c r="F37" s="156">
        <v>31748</v>
      </c>
      <c r="G37" s="156">
        <v>32373</v>
      </c>
      <c r="H37" s="156">
        <v>34050</v>
      </c>
      <c r="I37" s="157">
        <f>IFERROR(H37/G37-1,"-")</f>
        <v>5.1802427949216856E-2</v>
      </c>
      <c r="J37" s="156">
        <f t="shared" ref="J37:J47" si="8">H37-G37</f>
        <v>1677</v>
      </c>
      <c r="K37" s="157">
        <f>H37/H$8</f>
        <v>1.1276581933889094E-2</v>
      </c>
      <c r="L37" s="79"/>
    </row>
    <row r="38" spans="1:12" x14ac:dyDescent="0.25">
      <c r="A38" s="158" t="s">
        <v>103</v>
      </c>
      <c r="B38" s="159" t="s">
        <v>103</v>
      </c>
      <c r="C38" s="160">
        <v>14054</v>
      </c>
      <c r="D38" s="160">
        <v>3729</v>
      </c>
      <c r="E38" s="160">
        <v>6656</v>
      </c>
      <c r="F38" s="160">
        <v>6602</v>
      </c>
      <c r="G38" s="160">
        <v>13726</v>
      </c>
      <c r="H38" s="160">
        <v>12513</v>
      </c>
      <c r="I38" s="161">
        <f>IFERROR(H38/G38-1,"-")</f>
        <v>-8.8372431881101554E-2</v>
      </c>
      <c r="J38" s="160">
        <f t="shared" si="8"/>
        <v>-1213</v>
      </c>
      <c r="K38" s="161">
        <f>H38/H$8</f>
        <v>4.1440196692732519E-3</v>
      </c>
      <c r="L38" s="79"/>
    </row>
    <row r="39" spans="1:12" x14ac:dyDescent="0.25">
      <c r="A39" s="158" t="s">
        <v>100</v>
      </c>
      <c r="B39" s="159" t="s">
        <v>100</v>
      </c>
      <c r="C39" s="160">
        <v>23617</v>
      </c>
      <c r="D39" s="160">
        <v>1838</v>
      </c>
      <c r="E39" s="160">
        <v>16394</v>
      </c>
      <c r="F39" s="160">
        <v>25146</v>
      </c>
      <c r="G39" s="160">
        <v>18647</v>
      </c>
      <c r="H39" s="160">
        <v>21537</v>
      </c>
      <c r="I39" s="161">
        <f>IFERROR(H39/G39-1,"-")</f>
        <v>0.15498471604011366</v>
      </c>
      <c r="J39" s="160">
        <f t="shared" si="8"/>
        <v>2890</v>
      </c>
      <c r="K39" s="161">
        <f>H39/H$8</f>
        <v>7.1325622646158408E-3</v>
      </c>
      <c r="L39" s="79"/>
    </row>
    <row r="40" spans="1:12" x14ac:dyDescent="0.25">
      <c r="A40" s="158"/>
      <c r="B40" s="155" t="s">
        <v>107</v>
      </c>
      <c r="C40" s="156">
        <v>856263</v>
      </c>
      <c r="D40" s="156">
        <v>46100</v>
      </c>
      <c r="E40" s="156">
        <v>553411</v>
      </c>
      <c r="F40" s="156">
        <v>778985</v>
      </c>
      <c r="G40" s="156">
        <v>804587</v>
      </c>
      <c r="H40" s="156">
        <v>842262</v>
      </c>
      <c r="I40" s="157">
        <f>IFERROR(H40/G40-1,"-")</f>
        <v>4.6825265633175794E-2</v>
      </c>
      <c r="J40" s="156">
        <f t="shared" si="8"/>
        <v>37675</v>
      </c>
      <c r="K40" s="157">
        <f>H40/H$8</f>
        <v>0.27893792812925977</v>
      </c>
      <c r="L40" s="79"/>
    </row>
    <row r="41" spans="1:12" s="56" customFormat="1" x14ac:dyDescent="0.25">
      <c r="A41" s="158"/>
      <c r="B41" s="159" t="s">
        <v>110</v>
      </c>
      <c r="C41" s="160">
        <v>371020</v>
      </c>
      <c r="D41" s="160">
        <v>5882</v>
      </c>
      <c r="E41" s="160">
        <v>194152</v>
      </c>
      <c r="F41" s="160">
        <v>305389</v>
      </c>
      <c r="G41" s="160">
        <v>337479</v>
      </c>
      <c r="H41" s="160">
        <v>359614</v>
      </c>
      <c r="I41" s="161">
        <f t="shared" ref="I41:I48" si="9">IFERROR(H41/G41-1,"-")</f>
        <v>6.55892662950881E-2</v>
      </c>
      <c r="J41" s="160">
        <f t="shared" si="8"/>
        <v>22135</v>
      </c>
      <c r="K41" s="161">
        <f t="shared" ref="K41:K48" si="10">H41/H$8</f>
        <v>0.11909593937073693</v>
      </c>
      <c r="L41" s="162"/>
    </row>
    <row r="42" spans="1:12" s="56" customFormat="1" x14ac:dyDescent="0.25">
      <c r="A42" s="158"/>
      <c r="B42" s="159" t="s">
        <v>113</v>
      </c>
      <c r="C42" s="160">
        <v>44550</v>
      </c>
      <c r="D42" s="160">
        <v>3988</v>
      </c>
      <c r="E42" s="160">
        <v>24948</v>
      </c>
      <c r="F42" s="160">
        <v>34751</v>
      </c>
      <c r="G42" s="160">
        <v>33149</v>
      </c>
      <c r="H42" s="160">
        <v>33405</v>
      </c>
      <c r="I42" s="161">
        <f t="shared" si="9"/>
        <v>7.7227065673173279E-3</v>
      </c>
      <c r="J42" s="160">
        <f t="shared" si="8"/>
        <v>256</v>
      </c>
      <c r="K42" s="161">
        <f t="shared" si="10"/>
        <v>1.1062972672586349E-2</v>
      </c>
      <c r="L42" s="162"/>
    </row>
    <row r="43" spans="1:12" x14ac:dyDescent="0.25">
      <c r="A43" s="158"/>
      <c r="B43" s="159" t="s">
        <v>116</v>
      </c>
      <c r="C43" s="160">
        <v>18130</v>
      </c>
      <c r="D43" s="160">
        <v>3849</v>
      </c>
      <c r="E43" s="160">
        <v>13267</v>
      </c>
      <c r="F43" s="160">
        <v>19000</v>
      </c>
      <c r="G43" s="160">
        <v>18969</v>
      </c>
      <c r="H43" s="160">
        <v>20765</v>
      </c>
      <c r="I43" s="161">
        <f t="shared" si="9"/>
        <v>9.4680794981285343E-2</v>
      </c>
      <c r="J43" s="160">
        <f t="shared" si="8"/>
        <v>1796</v>
      </c>
      <c r="K43" s="161">
        <f t="shared" si="10"/>
        <v>6.8768935053511605E-3</v>
      </c>
      <c r="L43" s="79"/>
    </row>
    <row r="44" spans="1:12" x14ac:dyDescent="0.25">
      <c r="A44" s="158"/>
      <c r="B44" s="159" t="s">
        <v>123</v>
      </c>
      <c r="C44" s="160">
        <v>36543</v>
      </c>
      <c r="D44" s="160">
        <v>962</v>
      </c>
      <c r="E44" s="160">
        <v>33158</v>
      </c>
      <c r="F44" s="160">
        <v>37744</v>
      </c>
      <c r="G44" s="160">
        <v>41040</v>
      </c>
      <c r="H44" s="160">
        <v>35525</v>
      </c>
      <c r="I44" s="161">
        <f t="shared" si="9"/>
        <v>-0.13438109161793377</v>
      </c>
      <c r="J44" s="160">
        <f t="shared" si="8"/>
        <v>-5515</v>
      </c>
      <c r="K44" s="161">
        <f t="shared" si="10"/>
        <v>1.1765068229116301E-2</v>
      </c>
      <c r="L44" s="79"/>
    </row>
    <row r="45" spans="1:12" x14ac:dyDescent="0.25">
      <c r="A45" s="158"/>
      <c r="B45" s="159" t="s">
        <v>119</v>
      </c>
      <c r="C45" s="160">
        <v>37400</v>
      </c>
      <c r="D45" s="160">
        <v>2352</v>
      </c>
      <c r="E45" s="160">
        <v>24134</v>
      </c>
      <c r="F45" s="160">
        <v>34084</v>
      </c>
      <c r="G45" s="160">
        <v>36621</v>
      </c>
      <c r="H45" s="160">
        <v>29962</v>
      </c>
      <c r="I45" s="161">
        <f t="shared" si="9"/>
        <v>-0.18183555883236391</v>
      </c>
      <c r="J45" s="160">
        <f t="shared" si="8"/>
        <v>-6659</v>
      </c>
      <c r="K45" s="161">
        <f t="shared" si="10"/>
        <v>9.9227297475237893E-3</v>
      </c>
      <c r="L45" s="79"/>
    </row>
    <row r="46" spans="1:12" x14ac:dyDescent="0.25">
      <c r="A46" s="158"/>
      <c r="B46" s="159" t="s">
        <v>128</v>
      </c>
      <c r="C46" s="160">
        <v>33066</v>
      </c>
      <c r="D46" s="160">
        <v>308</v>
      </c>
      <c r="E46" s="160">
        <v>27584</v>
      </c>
      <c r="F46" s="160">
        <v>28081</v>
      </c>
      <c r="G46" s="160">
        <v>29190</v>
      </c>
      <c r="H46" s="160">
        <v>32181</v>
      </c>
      <c r="I46" s="161">
        <f t="shared" si="9"/>
        <v>0.10246659815005144</v>
      </c>
      <c r="J46" s="160">
        <f t="shared" si="8"/>
        <v>2991</v>
      </c>
      <c r="K46" s="161">
        <f t="shared" si="10"/>
        <v>1.0657611841835092E-2</v>
      </c>
      <c r="L46" s="79"/>
    </row>
    <row r="47" spans="1:12" x14ac:dyDescent="0.25">
      <c r="A47" s="158" t="s">
        <v>144</v>
      </c>
      <c r="B47" s="159" t="s">
        <v>131</v>
      </c>
      <c r="C47" s="160">
        <v>62996</v>
      </c>
      <c r="D47" s="160">
        <v>4585</v>
      </c>
      <c r="E47" s="160">
        <v>32167</v>
      </c>
      <c r="F47" s="160">
        <v>36246</v>
      </c>
      <c r="G47" s="160">
        <v>42817</v>
      </c>
      <c r="H47" s="160">
        <v>40225</v>
      </c>
      <c r="I47" s="161">
        <f t="shared" si="9"/>
        <v>-6.0536702711539769E-2</v>
      </c>
      <c r="J47" s="160">
        <f t="shared" si="8"/>
        <v>-2592</v>
      </c>
      <c r="K47" s="161">
        <f t="shared" si="10"/>
        <v>1.3321600830857231E-2</v>
      </c>
      <c r="L47" s="79"/>
    </row>
    <row r="48" spans="1:12" x14ac:dyDescent="0.25">
      <c r="A48" s="158" t="s">
        <v>145</v>
      </c>
      <c r="B48" s="164" t="s">
        <v>145</v>
      </c>
      <c r="C48" s="165">
        <f t="shared" ref="C48:H48" si="11">C40-SUM(C41:C47)</f>
        <v>252558</v>
      </c>
      <c r="D48" s="165">
        <f t="shared" si="11"/>
        <v>24174</v>
      </c>
      <c r="E48" s="165">
        <f t="shared" si="11"/>
        <v>204001</v>
      </c>
      <c r="F48" s="165">
        <f t="shared" si="11"/>
        <v>283690</v>
      </c>
      <c r="G48" s="165">
        <f t="shared" si="11"/>
        <v>265322</v>
      </c>
      <c r="H48" s="165">
        <f t="shared" si="11"/>
        <v>290585</v>
      </c>
      <c r="I48" s="166">
        <f t="shared" si="9"/>
        <v>9.52163785890352E-2</v>
      </c>
      <c r="J48" s="165">
        <f>H48-G48</f>
        <v>25263</v>
      </c>
      <c r="K48" s="166">
        <f t="shared" si="10"/>
        <v>9.623511193125292E-2</v>
      </c>
      <c r="L48" s="79"/>
    </row>
    <row r="49" spans="1:12" s="142" customFormat="1" x14ac:dyDescent="0.25">
      <c r="A49" s="158"/>
      <c r="B49" s="151" t="s">
        <v>46</v>
      </c>
      <c r="C49" s="149"/>
      <c r="D49" s="149"/>
      <c r="E49" s="149"/>
      <c r="F49" s="149"/>
      <c r="G49" s="149"/>
      <c r="H49" s="149"/>
      <c r="I49" s="149"/>
      <c r="J49" s="149"/>
      <c r="K49" s="149"/>
    </row>
    <row r="50" spans="1:12" x14ac:dyDescent="0.25">
      <c r="A50" s="158"/>
      <c r="B50" s="152" t="s">
        <v>68</v>
      </c>
      <c r="C50" s="172">
        <v>21024</v>
      </c>
      <c r="D50" s="172">
        <v>2960</v>
      </c>
      <c r="E50" s="172">
        <v>13922</v>
      </c>
      <c r="F50" s="172">
        <v>17982</v>
      </c>
      <c r="G50" s="172">
        <v>21297</v>
      </c>
      <c r="H50" s="172">
        <v>21020</v>
      </c>
      <c r="I50" s="173">
        <f>IFERROR(H50/G50-1,"-")</f>
        <v>-1.3006526740855562E-2</v>
      </c>
      <c r="J50" s="172">
        <f>H50-G50</f>
        <v>-277</v>
      </c>
      <c r="K50" s="173">
        <f>H50/H$8</f>
        <v>6.9613436784243385E-3</v>
      </c>
      <c r="L50" s="79"/>
    </row>
    <row r="51" spans="1:12" x14ac:dyDescent="0.25">
      <c r="A51" s="158" t="s">
        <v>96</v>
      </c>
      <c r="B51" s="155" t="s">
        <v>97</v>
      </c>
      <c r="C51" s="156">
        <v>1214</v>
      </c>
      <c r="D51" s="156">
        <v>520</v>
      </c>
      <c r="E51" s="156">
        <v>942</v>
      </c>
      <c r="F51" s="156">
        <v>6722</v>
      </c>
      <c r="G51" s="156">
        <v>1440</v>
      </c>
      <c r="H51" s="156">
        <v>2799</v>
      </c>
      <c r="I51" s="157">
        <f>IFERROR(H51/G51-1,"-")</f>
        <v>0.94375000000000009</v>
      </c>
      <c r="J51" s="156">
        <f t="shared" ref="J51:J61" si="12">H51-G51</f>
        <v>1359</v>
      </c>
      <c r="K51" s="157">
        <f>H51/H$8</f>
        <v>9.2696484090912105E-4</v>
      </c>
      <c r="L51" s="79"/>
    </row>
    <row r="52" spans="1:12" x14ac:dyDescent="0.25">
      <c r="A52" s="158" t="s">
        <v>103</v>
      </c>
      <c r="B52" s="159" t="s">
        <v>103</v>
      </c>
      <c r="C52" s="160">
        <v>651</v>
      </c>
      <c r="D52" s="160">
        <v>262</v>
      </c>
      <c r="E52" s="160">
        <v>99</v>
      </c>
      <c r="F52" s="160">
        <v>4982</v>
      </c>
      <c r="G52" s="160">
        <v>500</v>
      </c>
      <c r="H52" s="160">
        <v>1308</v>
      </c>
      <c r="I52" s="161">
        <f>IFERROR(H52/G52-1,"-")</f>
        <v>1.6160000000000001</v>
      </c>
      <c r="J52" s="160">
        <f t="shared" si="12"/>
        <v>808</v>
      </c>
      <c r="K52" s="161">
        <f>H52/H$8</f>
        <v>4.3317971129300833E-4</v>
      </c>
      <c r="L52" s="79"/>
    </row>
    <row r="53" spans="1:12" x14ac:dyDescent="0.25">
      <c r="A53" s="158" t="s">
        <v>100</v>
      </c>
      <c r="B53" s="159" t="s">
        <v>100</v>
      </c>
      <c r="C53" s="160">
        <v>563</v>
      </c>
      <c r="D53" s="160">
        <v>258</v>
      </c>
      <c r="E53" s="160">
        <v>843</v>
      </c>
      <c r="F53" s="160">
        <v>1740</v>
      </c>
      <c r="G53" s="160">
        <v>940</v>
      </c>
      <c r="H53" s="160">
        <v>1491</v>
      </c>
      <c r="I53" s="161">
        <f>IFERROR(H53/G53-1,"-")</f>
        <v>0.58617021276595738</v>
      </c>
      <c r="J53" s="160">
        <f t="shared" si="12"/>
        <v>551</v>
      </c>
      <c r="K53" s="161">
        <f>H53/H$8</f>
        <v>4.9378512961611271E-4</v>
      </c>
      <c r="L53" s="79"/>
    </row>
    <row r="54" spans="1:12" x14ac:dyDescent="0.25">
      <c r="A54" s="158"/>
      <c r="B54" s="155" t="s">
        <v>107</v>
      </c>
      <c r="C54" s="156">
        <v>19810</v>
      </c>
      <c r="D54" s="156">
        <v>2440</v>
      </c>
      <c r="E54" s="156">
        <v>12980</v>
      </c>
      <c r="F54" s="156">
        <v>11260</v>
      </c>
      <c r="G54" s="156">
        <v>19857</v>
      </c>
      <c r="H54" s="156">
        <v>18221</v>
      </c>
      <c r="I54" s="157">
        <f>IFERROR(H54/G54-1,"-")</f>
        <v>-8.2389081935841268E-2</v>
      </c>
      <c r="J54" s="156">
        <f t="shared" si="12"/>
        <v>-1636</v>
      </c>
      <c r="K54" s="157">
        <f>H54/H$8</f>
        <v>6.0343788375152177E-3</v>
      </c>
      <c r="L54" s="79"/>
    </row>
    <row r="55" spans="1:12" s="56" customFormat="1" x14ac:dyDescent="0.25">
      <c r="A55" s="158"/>
      <c r="B55" s="159" t="s">
        <v>110</v>
      </c>
      <c r="C55" s="160">
        <v>5266</v>
      </c>
      <c r="D55" s="160">
        <v>108</v>
      </c>
      <c r="E55" s="160">
        <v>4195</v>
      </c>
      <c r="F55" s="160">
        <v>4671</v>
      </c>
      <c r="G55" s="160">
        <v>5648</v>
      </c>
      <c r="H55" s="160">
        <v>6773</v>
      </c>
      <c r="I55" s="161">
        <f t="shared" ref="I55:I62" si="13">IFERROR(H55/G55-1,"-")</f>
        <v>0.19918555240793201</v>
      </c>
      <c r="J55" s="160">
        <f t="shared" si="12"/>
        <v>1125</v>
      </c>
      <c r="K55" s="161">
        <f t="shared" ref="K55:K62" si="14">H55/H$8</f>
        <v>2.243062832253475E-3</v>
      </c>
      <c r="L55" s="162"/>
    </row>
    <row r="56" spans="1:12" s="56" customFormat="1" x14ac:dyDescent="0.25">
      <c r="A56" s="158"/>
      <c r="B56" s="159" t="s">
        <v>113</v>
      </c>
      <c r="C56" s="160">
        <v>6545</v>
      </c>
      <c r="D56" s="160">
        <v>999</v>
      </c>
      <c r="E56" s="160">
        <v>4563</v>
      </c>
      <c r="F56" s="160">
        <v>1909</v>
      </c>
      <c r="G56" s="160">
        <v>6720</v>
      </c>
      <c r="H56" s="160">
        <v>4621</v>
      </c>
      <c r="I56" s="161">
        <f t="shared" si="13"/>
        <v>-0.31235119047619042</v>
      </c>
      <c r="J56" s="160">
        <f t="shared" si="12"/>
        <v>-2099</v>
      </c>
      <c r="K56" s="161">
        <f t="shared" si="14"/>
        <v>1.5303696069457122E-3</v>
      </c>
      <c r="L56" s="162"/>
    </row>
    <row r="57" spans="1:12" x14ac:dyDescent="0.25">
      <c r="A57" s="158"/>
      <c r="B57" s="159" t="s">
        <v>116</v>
      </c>
      <c r="C57" s="160">
        <v>416</v>
      </c>
      <c r="D57" s="160">
        <v>107</v>
      </c>
      <c r="E57" s="160">
        <v>274</v>
      </c>
      <c r="F57" s="160">
        <v>617</v>
      </c>
      <c r="G57" s="160">
        <v>747</v>
      </c>
      <c r="H57" s="160">
        <v>468</v>
      </c>
      <c r="I57" s="161">
        <f t="shared" si="13"/>
        <v>-0.37349397590361444</v>
      </c>
      <c r="J57" s="160">
        <f t="shared" si="12"/>
        <v>-279</v>
      </c>
      <c r="K57" s="161">
        <f t="shared" si="14"/>
        <v>1.5499090587548005E-4</v>
      </c>
      <c r="L57" s="79"/>
    </row>
    <row r="58" spans="1:12" x14ac:dyDescent="0.25">
      <c r="A58" s="158"/>
      <c r="B58" s="159" t="s">
        <v>123</v>
      </c>
      <c r="C58" s="160">
        <v>275</v>
      </c>
      <c r="D58" s="160">
        <v>51</v>
      </c>
      <c r="E58" s="160">
        <v>459</v>
      </c>
      <c r="F58" s="160">
        <v>201</v>
      </c>
      <c r="G58" s="160">
        <v>520</v>
      </c>
      <c r="H58" s="160">
        <v>669</v>
      </c>
      <c r="I58" s="161">
        <f t="shared" si="13"/>
        <v>0.28653846153846163</v>
      </c>
      <c r="J58" s="160">
        <f t="shared" si="12"/>
        <v>149</v>
      </c>
      <c r="K58" s="161">
        <f t="shared" si="14"/>
        <v>2.2155751288610288E-4</v>
      </c>
      <c r="L58" s="79"/>
    </row>
    <row r="59" spans="1:12" x14ac:dyDescent="0.25">
      <c r="A59" s="158"/>
      <c r="B59" s="159" t="s">
        <v>119</v>
      </c>
      <c r="C59" s="160">
        <v>270</v>
      </c>
      <c r="D59" s="160">
        <v>74</v>
      </c>
      <c r="E59" s="160">
        <v>358</v>
      </c>
      <c r="F59" s="160">
        <v>248</v>
      </c>
      <c r="G59" s="160">
        <v>659</v>
      </c>
      <c r="H59" s="160">
        <v>368</v>
      </c>
      <c r="I59" s="161">
        <f t="shared" si="13"/>
        <v>-0.44157814871016687</v>
      </c>
      <c r="J59" s="160">
        <f t="shared" si="12"/>
        <v>-291</v>
      </c>
      <c r="K59" s="161">
        <f t="shared" si="14"/>
        <v>1.2187319094482191E-4</v>
      </c>
      <c r="L59" s="79"/>
    </row>
    <row r="60" spans="1:12" x14ac:dyDescent="0.25">
      <c r="A60" s="158"/>
      <c r="B60" s="159" t="s">
        <v>128</v>
      </c>
      <c r="C60" s="160">
        <v>438</v>
      </c>
      <c r="D60" s="160">
        <v>5</v>
      </c>
      <c r="E60" s="160">
        <v>69</v>
      </c>
      <c r="F60" s="160">
        <v>111</v>
      </c>
      <c r="G60" s="160">
        <v>153</v>
      </c>
      <c r="H60" s="160">
        <v>143</v>
      </c>
      <c r="I60" s="161">
        <f t="shared" si="13"/>
        <v>-6.5359477124182996E-2</v>
      </c>
      <c r="J60" s="160">
        <f t="shared" si="12"/>
        <v>-10</v>
      </c>
      <c r="K60" s="161">
        <f t="shared" si="14"/>
        <v>4.7358332350841126E-5</v>
      </c>
      <c r="L60" s="79"/>
    </row>
    <row r="61" spans="1:12" x14ac:dyDescent="0.25">
      <c r="A61" s="158" t="s">
        <v>144</v>
      </c>
      <c r="B61" s="159" t="s">
        <v>131</v>
      </c>
      <c r="C61" s="160">
        <v>1077</v>
      </c>
      <c r="D61" s="160">
        <v>14</v>
      </c>
      <c r="E61" s="160">
        <v>82</v>
      </c>
      <c r="F61" s="160">
        <v>135</v>
      </c>
      <c r="G61" s="160">
        <v>49</v>
      </c>
      <c r="H61" s="160">
        <v>393</v>
      </c>
      <c r="I61" s="161">
        <f t="shared" si="13"/>
        <v>7.0204081632653068</v>
      </c>
      <c r="J61" s="160">
        <f t="shared" si="12"/>
        <v>344</v>
      </c>
      <c r="K61" s="161">
        <f t="shared" si="14"/>
        <v>1.3015261967748646E-4</v>
      </c>
      <c r="L61" s="79"/>
    </row>
    <row r="62" spans="1:12" x14ac:dyDescent="0.25">
      <c r="A62" s="158" t="s">
        <v>145</v>
      </c>
      <c r="B62" s="164" t="s">
        <v>145</v>
      </c>
      <c r="C62" s="165">
        <f t="shared" ref="C62:H62" si="15">C54-SUM(C55:C61)</f>
        <v>5523</v>
      </c>
      <c r="D62" s="165">
        <f t="shared" si="15"/>
        <v>1082</v>
      </c>
      <c r="E62" s="165">
        <f t="shared" si="15"/>
        <v>2980</v>
      </c>
      <c r="F62" s="165">
        <f t="shared" si="15"/>
        <v>3368</v>
      </c>
      <c r="G62" s="165">
        <f t="shared" si="15"/>
        <v>5361</v>
      </c>
      <c r="H62" s="165">
        <f t="shared" si="15"/>
        <v>4786</v>
      </c>
      <c r="I62" s="166">
        <f t="shared" si="13"/>
        <v>-0.10725610893490023</v>
      </c>
      <c r="J62" s="165">
        <f>H62-G62</f>
        <v>-575</v>
      </c>
      <c r="K62" s="166">
        <f t="shared" si="14"/>
        <v>1.5850138365812981E-3</v>
      </c>
      <c r="L62" s="79"/>
    </row>
    <row r="63" spans="1:12" s="142" customFormat="1" x14ac:dyDescent="0.25">
      <c r="A63" s="158"/>
      <c r="B63" s="151" t="s">
        <v>47</v>
      </c>
      <c r="C63" s="149"/>
      <c r="D63" s="149"/>
      <c r="E63" s="149"/>
      <c r="F63" s="149"/>
      <c r="G63" s="149"/>
      <c r="H63" s="149"/>
      <c r="I63" s="149"/>
      <c r="J63" s="149"/>
      <c r="K63" s="149"/>
    </row>
    <row r="64" spans="1:12" x14ac:dyDescent="0.25">
      <c r="A64" s="158"/>
      <c r="B64" s="152" t="s">
        <v>68</v>
      </c>
      <c r="C64" s="172">
        <v>63680</v>
      </c>
      <c r="D64" s="172">
        <v>12913</v>
      </c>
      <c r="E64" s="172">
        <v>70697</v>
      </c>
      <c r="F64" s="172">
        <v>120145</v>
      </c>
      <c r="G64" s="172">
        <v>89491</v>
      </c>
      <c r="H64" s="172">
        <v>90625</v>
      </c>
      <c r="I64" s="173">
        <f>IFERROR(H64/G64-1,"-")</f>
        <v>1.2671665307125934E-2</v>
      </c>
      <c r="J64" s="172">
        <f>H64-G64</f>
        <v>1134</v>
      </c>
      <c r="K64" s="173">
        <f>H64/H$8</f>
        <v>3.0012929155908929E-2</v>
      </c>
      <c r="L64" s="79"/>
    </row>
    <row r="65" spans="1:12" x14ac:dyDescent="0.25">
      <c r="A65" s="158" t="s">
        <v>96</v>
      </c>
      <c r="B65" s="155" t="s">
        <v>97</v>
      </c>
      <c r="C65" s="156">
        <v>11075</v>
      </c>
      <c r="D65" s="156">
        <v>3196</v>
      </c>
      <c r="E65" s="156">
        <v>10407</v>
      </c>
      <c r="F65" s="156">
        <v>12626</v>
      </c>
      <c r="G65" s="156">
        <v>12040</v>
      </c>
      <c r="H65" s="156">
        <v>9498</v>
      </c>
      <c r="I65" s="157">
        <f>IFERROR(H65/G65-1,"-")</f>
        <v>-0.21112956810631234</v>
      </c>
      <c r="J65" s="156">
        <f t="shared" ref="J65:J75" si="16">H65-G65</f>
        <v>-2542</v>
      </c>
      <c r="K65" s="157">
        <f>H65/H$8</f>
        <v>3.145520564113909E-3</v>
      </c>
      <c r="L65" s="79"/>
    </row>
    <row r="66" spans="1:12" x14ac:dyDescent="0.25">
      <c r="A66" s="158" t="s">
        <v>103</v>
      </c>
      <c r="B66" s="159" t="s">
        <v>103</v>
      </c>
      <c r="C66" s="160">
        <v>2499</v>
      </c>
      <c r="D66" s="160">
        <v>3141</v>
      </c>
      <c r="E66" s="160">
        <v>5856</v>
      </c>
      <c r="F66" s="160">
        <v>8826</v>
      </c>
      <c r="G66" s="160">
        <v>6371</v>
      </c>
      <c r="H66" s="160">
        <v>867</v>
      </c>
      <c r="I66" s="161">
        <f>IFERROR(H66/G66-1,"-")</f>
        <v>-0.86391461309056661</v>
      </c>
      <c r="J66" s="160">
        <f t="shared" si="16"/>
        <v>-5504</v>
      </c>
      <c r="K66" s="161">
        <f>H66/H$8</f>
        <v>2.8713058844880598E-4</v>
      </c>
      <c r="L66" s="79"/>
    </row>
    <row r="67" spans="1:12" x14ac:dyDescent="0.25">
      <c r="A67" s="158" t="s">
        <v>100</v>
      </c>
      <c r="B67" s="159" t="s">
        <v>100</v>
      </c>
      <c r="C67" s="160">
        <v>8576</v>
      </c>
      <c r="D67" s="160">
        <v>55</v>
      </c>
      <c r="E67" s="160">
        <v>4551</v>
      </c>
      <c r="F67" s="160">
        <v>3800</v>
      </c>
      <c r="G67" s="160">
        <v>5669</v>
      </c>
      <c r="H67" s="160">
        <v>8631</v>
      </c>
      <c r="I67" s="161">
        <f>IFERROR(H67/G67-1,"-")</f>
        <v>0.52249073910742627</v>
      </c>
      <c r="J67" s="160">
        <f t="shared" si="16"/>
        <v>2962</v>
      </c>
      <c r="K67" s="161">
        <f>H67/H$8</f>
        <v>2.8583899756651032E-3</v>
      </c>
      <c r="L67" s="79"/>
    </row>
    <row r="68" spans="1:12" x14ac:dyDescent="0.25">
      <c r="A68" s="158"/>
      <c r="B68" s="155" t="s">
        <v>107</v>
      </c>
      <c r="C68" s="156">
        <v>52605</v>
      </c>
      <c r="D68" s="156">
        <v>9717</v>
      </c>
      <c r="E68" s="156">
        <v>60290</v>
      </c>
      <c r="F68" s="156">
        <v>107519</v>
      </c>
      <c r="G68" s="156">
        <v>77451</v>
      </c>
      <c r="H68" s="156">
        <v>81127</v>
      </c>
      <c r="I68" s="157">
        <f>IFERROR(H68/G68-1,"-")</f>
        <v>4.7462266465249092E-2</v>
      </c>
      <c r="J68" s="156">
        <f t="shared" si="16"/>
        <v>3676</v>
      </c>
      <c r="K68" s="157">
        <f>H68/H$8</f>
        <v>2.6867408591795022E-2</v>
      </c>
      <c r="L68" s="79"/>
    </row>
    <row r="69" spans="1:12" s="56" customFormat="1" x14ac:dyDescent="0.25">
      <c r="A69" s="158"/>
      <c r="B69" s="159" t="s">
        <v>110</v>
      </c>
      <c r="C69" s="160">
        <v>17460</v>
      </c>
      <c r="D69" s="160">
        <v>147</v>
      </c>
      <c r="E69" s="160">
        <v>14615</v>
      </c>
      <c r="F69" s="160">
        <v>33856</v>
      </c>
      <c r="G69" s="160">
        <v>34817</v>
      </c>
      <c r="H69" s="160">
        <v>30761</v>
      </c>
      <c r="I69" s="161">
        <f t="shared" ref="I69:I76" si="17">IFERROR(H69/G69-1,"-")</f>
        <v>-0.11649481575092624</v>
      </c>
      <c r="J69" s="160">
        <f t="shared" si="16"/>
        <v>-4056</v>
      </c>
      <c r="K69" s="161">
        <f t="shared" ref="K69:K76" si="18">H69/H$8</f>
        <v>1.0187340289819748E-2</v>
      </c>
      <c r="L69" s="162"/>
    </row>
    <row r="70" spans="1:12" s="56" customFormat="1" x14ac:dyDescent="0.25">
      <c r="A70" s="158"/>
      <c r="B70" s="159" t="s">
        <v>113</v>
      </c>
      <c r="C70" s="160">
        <v>6651</v>
      </c>
      <c r="D70" s="160">
        <v>1087</v>
      </c>
      <c r="E70" s="160">
        <v>2969</v>
      </c>
      <c r="F70" s="160">
        <v>7290</v>
      </c>
      <c r="G70" s="160">
        <v>8477</v>
      </c>
      <c r="H70" s="160">
        <v>7639</v>
      </c>
      <c r="I70" s="161">
        <f t="shared" si="17"/>
        <v>-9.885572726200309E-2</v>
      </c>
      <c r="J70" s="160">
        <f t="shared" si="16"/>
        <v>-838</v>
      </c>
      <c r="K70" s="161">
        <f t="shared" si="18"/>
        <v>2.5298622435529746E-3</v>
      </c>
      <c r="L70" s="162"/>
    </row>
    <row r="71" spans="1:12" x14ac:dyDescent="0.25">
      <c r="A71" s="158"/>
      <c r="B71" s="159" t="s">
        <v>116</v>
      </c>
      <c r="C71" s="160">
        <v>7382</v>
      </c>
      <c r="D71" s="160">
        <v>227</v>
      </c>
      <c r="E71" s="160">
        <v>7772</v>
      </c>
      <c r="F71" s="160">
        <v>15720</v>
      </c>
      <c r="G71" s="160">
        <v>3290</v>
      </c>
      <c r="H71" s="160">
        <v>4917</v>
      </c>
      <c r="I71" s="161">
        <f t="shared" si="17"/>
        <v>0.49452887537993928</v>
      </c>
      <c r="J71" s="160">
        <f t="shared" si="16"/>
        <v>1627</v>
      </c>
      <c r="K71" s="161">
        <f t="shared" si="18"/>
        <v>1.6283980431404603E-3</v>
      </c>
      <c r="L71" s="79"/>
    </row>
    <row r="72" spans="1:12" x14ac:dyDescent="0.25">
      <c r="A72" s="158"/>
      <c r="B72" s="159" t="s">
        <v>123</v>
      </c>
      <c r="C72" s="160">
        <v>421</v>
      </c>
      <c r="D72" s="160">
        <v>0</v>
      </c>
      <c r="E72" s="160">
        <v>6840</v>
      </c>
      <c r="F72" s="160">
        <v>2857</v>
      </c>
      <c r="G72" s="160">
        <v>3677</v>
      </c>
      <c r="H72" s="160">
        <v>3422</v>
      </c>
      <c r="I72" s="161">
        <f t="shared" si="17"/>
        <v>-6.9350013598041937E-2</v>
      </c>
      <c r="J72" s="160">
        <f t="shared" si="16"/>
        <v>-255</v>
      </c>
      <c r="K72" s="161">
        <f t="shared" si="18"/>
        <v>1.1332882049271212E-3</v>
      </c>
      <c r="L72" s="79"/>
    </row>
    <row r="73" spans="1:12" x14ac:dyDescent="0.25">
      <c r="A73" s="158"/>
      <c r="B73" s="159" t="s">
        <v>119</v>
      </c>
      <c r="C73" s="160">
        <v>777</v>
      </c>
      <c r="D73" s="160">
        <v>4899</v>
      </c>
      <c r="E73" s="160">
        <v>1397</v>
      </c>
      <c r="F73" s="160">
        <v>2004</v>
      </c>
      <c r="G73" s="160">
        <v>1208</v>
      </c>
      <c r="H73" s="160">
        <v>1731</v>
      </c>
      <c r="I73" s="161">
        <f t="shared" si="17"/>
        <v>0.43294701986754958</v>
      </c>
      <c r="J73" s="160">
        <f t="shared" si="16"/>
        <v>523</v>
      </c>
      <c r="K73" s="161">
        <f t="shared" si="18"/>
        <v>5.732676454496922E-4</v>
      </c>
      <c r="L73" s="79"/>
    </row>
    <row r="74" spans="1:12" x14ac:dyDescent="0.25">
      <c r="A74" s="158"/>
      <c r="B74" s="159" t="s">
        <v>128</v>
      </c>
      <c r="C74" s="160">
        <v>2339</v>
      </c>
      <c r="D74" s="160">
        <v>0</v>
      </c>
      <c r="E74" s="160">
        <v>3569</v>
      </c>
      <c r="F74" s="160">
        <v>7297</v>
      </c>
      <c r="G74" s="160">
        <v>1790</v>
      </c>
      <c r="H74" s="160">
        <v>3190</v>
      </c>
      <c r="I74" s="161">
        <f t="shared" si="17"/>
        <v>0.78212290502793302</v>
      </c>
      <c r="J74" s="160">
        <f t="shared" si="16"/>
        <v>1400</v>
      </c>
      <c r="K74" s="161">
        <f t="shared" si="18"/>
        <v>1.0564551062879942E-3</v>
      </c>
      <c r="L74" s="79"/>
    </row>
    <row r="75" spans="1:12" x14ac:dyDescent="0.25">
      <c r="A75" s="158" t="s">
        <v>144</v>
      </c>
      <c r="B75" s="159" t="s">
        <v>131</v>
      </c>
      <c r="C75" s="160">
        <v>1973</v>
      </c>
      <c r="D75" s="160">
        <v>0</v>
      </c>
      <c r="E75" s="160">
        <v>1402</v>
      </c>
      <c r="F75" s="160">
        <v>2617</v>
      </c>
      <c r="G75" s="160">
        <v>2993</v>
      </c>
      <c r="H75" s="160">
        <v>4942</v>
      </c>
      <c r="I75" s="161">
        <f t="shared" si="17"/>
        <v>0.65118610090210494</v>
      </c>
      <c r="J75" s="160">
        <f t="shared" si="16"/>
        <v>1949</v>
      </c>
      <c r="K75" s="161">
        <f t="shared" si="18"/>
        <v>1.6366774718731248E-3</v>
      </c>
      <c r="L75" s="79"/>
    </row>
    <row r="76" spans="1:12" x14ac:dyDescent="0.25">
      <c r="A76" s="158" t="s">
        <v>145</v>
      </c>
      <c r="B76" s="164" t="s">
        <v>145</v>
      </c>
      <c r="C76" s="165">
        <f t="shared" ref="C76:H76" si="19">C68-SUM(C69:C75)</f>
        <v>15602</v>
      </c>
      <c r="D76" s="165">
        <f t="shared" si="19"/>
        <v>3357</v>
      </c>
      <c r="E76" s="165">
        <f t="shared" si="19"/>
        <v>21726</v>
      </c>
      <c r="F76" s="165">
        <f t="shared" si="19"/>
        <v>35878</v>
      </c>
      <c r="G76" s="165">
        <f t="shared" si="19"/>
        <v>21199</v>
      </c>
      <c r="H76" s="165">
        <f t="shared" si="19"/>
        <v>24525</v>
      </c>
      <c r="I76" s="166">
        <f t="shared" si="17"/>
        <v>0.15689419312231712</v>
      </c>
      <c r="J76" s="165">
        <f>H76-G76</f>
        <v>3326</v>
      </c>
      <c r="K76" s="166">
        <f t="shared" si="18"/>
        <v>8.1221195867439058E-3</v>
      </c>
      <c r="L76" s="79"/>
    </row>
    <row r="77" spans="1:12" s="142" customFormat="1" x14ac:dyDescent="0.25">
      <c r="A77" s="158"/>
      <c r="B77" s="151" t="s">
        <v>48</v>
      </c>
      <c r="C77" s="149"/>
      <c r="D77" s="149"/>
      <c r="E77" s="149"/>
      <c r="F77" s="149"/>
      <c r="G77" s="149"/>
      <c r="H77" s="149"/>
      <c r="I77" s="149"/>
      <c r="J77" s="149"/>
      <c r="K77" s="149"/>
    </row>
    <row r="78" spans="1:12" x14ac:dyDescent="0.25">
      <c r="A78" s="158"/>
      <c r="B78" s="152" t="s">
        <v>68</v>
      </c>
      <c r="C78" s="172">
        <v>493497</v>
      </c>
      <c r="D78" s="172">
        <v>29647</v>
      </c>
      <c r="E78" s="172">
        <v>262511</v>
      </c>
      <c r="F78" s="172">
        <v>459644</v>
      </c>
      <c r="G78" s="172">
        <v>482317</v>
      </c>
      <c r="H78" s="172">
        <v>494946</v>
      </c>
      <c r="I78" s="173">
        <f>IFERROR(H78/G78-1,"-")</f>
        <v>2.6184024199851885E-2</v>
      </c>
      <c r="J78" s="172">
        <f>H78-G78</f>
        <v>12629</v>
      </c>
      <c r="K78" s="173">
        <f>H78/H$8</f>
        <v>0.16391480534069519</v>
      </c>
      <c r="L78" s="79"/>
    </row>
    <row r="79" spans="1:12" x14ac:dyDescent="0.25">
      <c r="A79" s="158" t="s">
        <v>96</v>
      </c>
      <c r="B79" s="155" t="s">
        <v>97</v>
      </c>
      <c r="C79" s="156">
        <v>109435</v>
      </c>
      <c r="D79" s="156">
        <v>7417</v>
      </c>
      <c r="E79" s="156">
        <v>60652</v>
      </c>
      <c r="F79" s="156">
        <v>107373</v>
      </c>
      <c r="G79" s="156">
        <v>84180</v>
      </c>
      <c r="H79" s="156">
        <v>87577</v>
      </c>
      <c r="I79" s="157">
        <f>IFERROR(H79/G79-1,"-")</f>
        <v>4.0354003326205756E-2</v>
      </c>
      <c r="J79" s="156">
        <f t="shared" ref="J79:J89" si="20">H79-G79</f>
        <v>3397</v>
      </c>
      <c r="K79" s="157">
        <f>H79/H$8</f>
        <v>2.9003501204822469E-2</v>
      </c>
      <c r="L79" s="79"/>
    </row>
    <row r="80" spans="1:12" x14ac:dyDescent="0.25">
      <c r="A80" s="158" t="s">
        <v>103</v>
      </c>
      <c r="B80" s="159" t="s">
        <v>103</v>
      </c>
      <c r="C80" s="160">
        <v>8959</v>
      </c>
      <c r="D80" s="160">
        <v>3625</v>
      </c>
      <c r="E80" s="160">
        <v>8346</v>
      </c>
      <c r="F80" s="160">
        <v>12994</v>
      </c>
      <c r="G80" s="160">
        <v>7945</v>
      </c>
      <c r="H80" s="160">
        <v>10553</v>
      </c>
      <c r="I80" s="161">
        <f>IFERROR(H80/G80-1,"-")</f>
        <v>0.32825676526117054</v>
      </c>
      <c r="J80" s="160">
        <f t="shared" si="20"/>
        <v>2608</v>
      </c>
      <c r="K80" s="161">
        <f>H80/H$8</f>
        <v>3.4949124566323523E-3</v>
      </c>
      <c r="L80" s="79"/>
    </row>
    <row r="81" spans="1:12" x14ac:dyDescent="0.25">
      <c r="A81" s="158" t="s">
        <v>100</v>
      </c>
      <c r="B81" s="159" t="s">
        <v>100</v>
      </c>
      <c r="C81" s="160">
        <v>100476</v>
      </c>
      <c r="D81" s="160">
        <v>3792</v>
      </c>
      <c r="E81" s="160">
        <v>52306</v>
      </c>
      <c r="F81" s="160">
        <v>94379</v>
      </c>
      <c r="G81" s="160">
        <v>76235</v>
      </c>
      <c r="H81" s="160">
        <v>77024</v>
      </c>
      <c r="I81" s="161">
        <f>IFERROR(H81/G81-1,"-")</f>
        <v>1.0349576965960505E-2</v>
      </c>
      <c r="J81" s="160">
        <f t="shared" si="20"/>
        <v>789</v>
      </c>
      <c r="K81" s="161">
        <f>H81/H$8</f>
        <v>2.5508588748190116E-2</v>
      </c>
      <c r="L81" s="79"/>
    </row>
    <row r="82" spans="1:12" x14ac:dyDescent="0.25">
      <c r="A82" s="158"/>
      <c r="B82" s="155" t="s">
        <v>107</v>
      </c>
      <c r="C82" s="156">
        <v>384062</v>
      </c>
      <c r="D82" s="156">
        <v>22230</v>
      </c>
      <c r="E82" s="156">
        <v>201859</v>
      </c>
      <c r="F82" s="156">
        <v>352271</v>
      </c>
      <c r="G82" s="156">
        <v>398137</v>
      </c>
      <c r="H82" s="156">
        <v>407369</v>
      </c>
      <c r="I82" s="157">
        <f>IFERROR(H82/G82-1,"-")</f>
        <v>2.3187998101156237E-2</v>
      </c>
      <c r="J82" s="156">
        <f t="shared" si="20"/>
        <v>9232</v>
      </c>
      <c r="K82" s="157">
        <f>H82/H$8</f>
        <v>0.13491130413587271</v>
      </c>
      <c r="L82" s="79"/>
    </row>
    <row r="83" spans="1:12" s="56" customFormat="1" x14ac:dyDescent="0.25">
      <c r="A83" s="158"/>
      <c r="B83" s="159" t="s">
        <v>110</v>
      </c>
      <c r="C83" s="160">
        <v>56783</v>
      </c>
      <c r="D83" s="160">
        <v>3948</v>
      </c>
      <c r="E83" s="160">
        <v>21971</v>
      </c>
      <c r="F83" s="160">
        <v>54058</v>
      </c>
      <c r="G83" s="160">
        <v>70667</v>
      </c>
      <c r="H83" s="160">
        <v>69055</v>
      </c>
      <c r="I83" s="161">
        <f t="shared" ref="I83:I90" si="21">IFERROR(H83/G83-1,"-")</f>
        <v>-2.2811213154654952E-2</v>
      </c>
      <c r="J83" s="160">
        <f t="shared" si="20"/>
        <v>-1612</v>
      </c>
      <c r="K83" s="161">
        <f t="shared" ref="K83:K90" si="22">H83/H$8</f>
        <v>2.286943804536597E-2</v>
      </c>
      <c r="L83" s="162"/>
    </row>
    <row r="84" spans="1:12" s="56" customFormat="1" x14ac:dyDescent="0.25">
      <c r="A84" s="158"/>
      <c r="B84" s="159" t="s">
        <v>113</v>
      </c>
      <c r="C84" s="160">
        <v>164737</v>
      </c>
      <c r="D84" s="160">
        <v>8497</v>
      </c>
      <c r="E84" s="160">
        <v>86286</v>
      </c>
      <c r="F84" s="160">
        <v>147240</v>
      </c>
      <c r="G84" s="160">
        <v>155725</v>
      </c>
      <c r="H84" s="160">
        <v>156499</v>
      </c>
      <c r="I84" s="161">
        <f t="shared" si="21"/>
        <v>4.9703002087011505E-3</v>
      </c>
      <c r="J84" s="160">
        <f t="shared" si="20"/>
        <v>774</v>
      </c>
      <c r="K84" s="161">
        <f t="shared" si="22"/>
        <v>5.1828892689330663E-2</v>
      </c>
      <c r="L84" s="162"/>
    </row>
    <row r="85" spans="1:12" x14ac:dyDescent="0.25">
      <c r="A85" s="158"/>
      <c r="B85" s="159" t="s">
        <v>116</v>
      </c>
      <c r="C85" s="160">
        <v>12838</v>
      </c>
      <c r="D85" s="160">
        <v>2725</v>
      </c>
      <c r="E85" s="160">
        <v>9584</v>
      </c>
      <c r="F85" s="160">
        <v>18854</v>
      </c>
      <c r="G85" s="160">
        <v>25326</v>
      </c>
      <c r="H85" s="160">
        <v>28658</v>
      </c>
      <c r="I85" s="161">
        <f t="shared" si="21"/>
        <v>0.13156440022111671</v>
      </c>
      <c r="J85" s="160">
        <f t="shared" si="20"/>
        <v>3332</v>
      </c>
      <c r="K85" s="161">
        <f t="shared" si="22"/>
        <v>9.4908747448280064E-3</v>
      </c>
      <c r="L85" s="79"/>
    </row>
    <row r="86" spans="1:12" x14ac:dyDescent="0.25">
      <c r="A86" s="158"/>
      <c r="B86" s="159" t="s">
        <v>123</v>
      </c>
      <c r="C86" s="160">
        <v>4444</v>
      </c>
      <c r="D86" s="160">
        <v>228</v>
      </c>
      <c r="E86" s="160">
        <v>6256</v>
      </c>
      <c r="F86" s="160">
        <v>6581</v>
      </c>
      <c r="G86" s="160">
        <v>8748</v>
      </c>
      <c r="H86" s="160">
        <v>10873</v>
      </c>
      <c r="I86" s="161">
        <f t="shared" si="21"/>
        <v>0.24291266575217185</v>
      </c>
      <c r="J86" s="160">
        <f t="shared" si="20"/>
        <v>2125</v>
      </c>
      <c r="K86" s="161">
        <f t="shared" si="22"/>
        <v>3.6008891444104583E-3</v>
      </c>
      <c r="L86" s="79"/>
    </row>
    <row r="87" spans="1:12" x14ac:dyDescent="0.25">
      <c r="A87" s="158"/>
      <c r="B87" s="159" t="s">
        <v>119</v>
      </c>
      <c r="C87" s="160">
        <v>2894</v>
      </c>
      <c r="D87" s="160">
        <v>241</v>
      </c>
      <c r="E87" s="160">
        <v>3071</v>
      </c>
      <c r="F87" s="160">
        <v>3587</v>
      </c>
      <c r="G87" s="160">
        <v>3593</v>
      </c>
      <c r="H87" s="160">
        <v>5043</v>
      </c>
      <c r="I87" s="161">
        <f t="shared" si="21"/>
        <v>0.40356248260506544</v>
      </c>
      <c r="J87" s="160">
        <f t="shared" si="20"/>
        <v>1450</v>
      </c>
      <c r="K87" s="161">
        <f t="shared" si="22"/>
        <v>1.6701263639530893E-3</v>
      </c>
      <c r="L87" s="79"/>
    </row>
    <row r="88" spans="1:12" x14ac:dyDescent="0.25">
      <c r="A88" s="158"/>
      <c r="B88" s="159" t="s">
        <v>128</v>
      </c>
      <c r="C88" s="160">
        <v>12677</v>
      </c>
      <c r="D88" s="160">
        <v>191</v>
      </c>
      <c r="E88" s="160">
        <v>8499</v>
      </c>
      <c r="F88" s="160">
        <v>14185</v>
      </c>
      <c r="G88" s="160">
        <v>11905</v>
      </c>
      <c r="H88" s="160">
        <v>11922</v>
      </c>
      <c r="I88" s="161">
        <f t="shared" si="21"/>
        <v>1.427971440571163E-3</v>
      </c>
      <c r="J88" s="160">
        <f t="shared" si="20"/>
        <v>17</v>
      </c>
      <c r="K88" s="161">
        <f t="shared" si="22"/>
        <v>3.948293974033062E-3</v>
      </c>
      <c r="L88" s="79"/>
    </row>
    <row r="89" spans="1:12" x14ac:dyDescent="0.25">
      <c r="A89" s="158" t="s">
        <v>144</v>
      </c>
      <c r="B89" s="159" t="s">
        <v>131</v>
      </c>
      <c r="C89" s="160">
        <v>22962</v>
      </c>
      <c r="D89" s="160">
        <v>414</v>
      </c>
      <c r="E89" s="160">
        <v>8088</v>
      </c>
      <c r="F89" s="160">
        <v>14056</v>
      </c>
      <c r="G89" s="160">
        <v>15423</v>
      </c>
      <c r="H89" s="160">
        <v>14766</v>
      </c>
      <c r="I89" s="161">
        <f t="shared" si="21"/>
        <v>-4.2598716203073317E-2</v>
      </c>
      <c r="J89" s="160">
        <f t="shared" si="20"/>
        <v>-657</v>
      </c>
      <c r="K89" s="161">
        <f t="shared" si="22"/>
        <v>4.8901617866609791E-3</v>
      </c>
      <c r="L89" s="79"/>
    </row>
    <row r="90" spans="1:12" x14ac:dyDescent="0.25">
      <c r="A90" s="158" t="s">
        <v>145</v>
      </c>
      <c r="B90" s="164" t="s">
        <v>145</v>
      </c>
      <c r="C90" s="165">
        <f t="shared" ref="C90:H90" si="23">C82-SUM(C83:C89)</f>
        <v>106727</v>
      </c>
      <c r="D90" s="165">
        <f t="shared" si="23"/>
        <v>5986</v>
      </c>
      <c r="E90" s="165">
        <f t="shared" si="23"/>
        <v>58104</v>
      </c>
      <c r="F90" s="165">
        <f t="shared" si="23"/>
        <v>93710</v>
      </c>
      <c r="G90" s="165">
        <f t="shared" si="23"/>
        <v>106750</v>
      </c>
      <c r="H90" s="165">
        <f t="shared" si="23"/>
        <v>110553</v>
      </c>
      <c r="I90" s="166">
        <f t="shared" si="21"/>
        <v>3.5625292740046888E-2</v>
      </c>
      <c r="J90" s="165">
        <f>H90-G90</f>
        <v>3803</v>
      </c>
      <c r="K90" s="166">
        <f t="shared" si="22"/>
        <v>3.6612627387290479E-2</v>
      </c>
      <c r="L90" s="79"/>
    </row>
    <row r="91" spans="1:12" s="142" customFormat="1" x14ac:dyDescent="0.25">
      <c r="A91" s="158"/>
      <c r="B91" s="151" t="s">
        <v>49</v>
      </c>
      <c r="C91" s="149"/>
      <c r="D91" s="149"/>
      <c r="E91" s="149"/>
      <c r="F91" s="149"/>
      <c r="G91" s="149"/>
      <c r="H91" s="149"/>
      <c r="I91" s="149"/>
      <c r="J91" s="149"/>
      <c r="K91" s="149"/>
    </row>
    <row r="92" spans="1:12" x14ac:dyDescent="0.25">
      <c r="A92" s="158"/>
      <c r="B92" s="152" t="s">
        <v>68</v>
      </c>
      <c r="C92" s="172">
        <v>13603</v>
      </c>
      <c r="D92" s="172">
        <v>2763</v>
      </c>
      <c r="E92" s="172">
        <v>11400</v>
      </c>
      <c r="F92" s="172">
        <v>14353</v>
      </c>
      <c r="G92" s="172">
        <v>14581</v>
      </c>
      <c r="H92" s="172">
        <v>14255</v>
      </c>
      <c r="I92" s="173">
        <f>IFERROR(H92/G92-1,"-")</f>
        <v>-2.2357862972361309E-2</v>
      </c>
      <c r="J92" s="172">
        <f>H92-G92</f>
        <v>-326</v>
      </c>
      <c r="K92" s="173">
        <f>H92/H$8</f>
        <v>4.7209302633653165E-3</v>
      </c>
      <c r="L92" s="79"/>
    </row>
    <row r="93" spans="1:12" x14ac:dyDescent="0.25">
      <c r="A93" s="158" t="s">
        <v>96</v>
      </c>
      <c r="B93" s="155" t="s">
        <v>97</v>
      </c>
      <c r="C93" s="156">
        <v>5825</v>
      </c>
      <c r="D93" s="156">
        <v>1115</v>
      </c>
      <c r="E93" s="156">
        <v>4881</v>
      </c>
      <c r="F93" s="156">
        <v>5640</v>
      </c>
      <c r="G93" s="156">
        <v>3830</v>
      </c>
      <c r="H93" s="156">
        <v>4817</v>
      </c>
      <c r="I93" s="157">
        <f>IFERROR(H93/G93-1,"-")</f>
        <v>0.25770234986945173</v>
      </c>
      <c r="J93" s="156">
        <f t="shared" ref="J93:J103" si="24">H93-G93</f>
        <v>987</v>
      </c>
      <c r="K93" s="157">
        <f>H93/H$8</f>
        <v>1.5952803282098021E-3</v>
      </c>
      <c r="L93" s="79"/>
    </row>
    <row r="94" spans="1:12" x14ac:dyDescent="0.25">
      <c r="A94" s="158" t="s">
        <v>103</v>
      </c>
      <c r="B94" s="159" t="s">
        <v>103</v>
      </c>
      <c r="C94" s="160">
        <v>2841</v>
      </c>
      <c r="D94" s="160">
        <v>543</v>
      </c>
      <c r="E94" s="160">
        <v>2071</v>
      </c>
      <c r="F94" s="160">
        <v>2249</v>
      </c>
      <c r="G94" s="160">
        <v>1215</v>
      </c>
      <c r="H94" s="160">
        <v>1366</v>
      </c>
      <c r="I94" s="161">
        <f>IFERROR(H94/G94-1,"-")</f>
        <v>0.12427983539094645</v>
      </c>
      <c r="J94" s="160">
        <f t="shared" si="24"/>
        <v>151</v>
      </c>
      <c r="K94" s="161">
        <f>H94/H$8</f>
        <v>4.5238798595279001E-4</v>
      </c>
      <c r="L94" s="79"/>
    </row>
    <row r="95" spans="1:12" x14ac:dyDescent="0.25">
      <c r="A95" s="158" t="s">
        <v>100</v>
      </c>
      <c r="B95" s="159" t="s">
        <v>100</v>
      </c>
      <c r="C95" s="160">
        <v>2984</v>
      </c>
      <c r="D95" s="160">
        <v>572</v>
      </c>
      <c r="E95" s="160">
        <v>2810</v>
      </c>
      <c r="F95" s="160">
        <v>3391</v>
      </c>
      <c r="G95" s="160">
        <v>2615</v>
      </c>
      <c r="H95" s="160">
        <v>3451</v>
      </c>
      <c r="I95" s="161">
        <f>IFERROR(H95/G95-1,"-")</f>
        <v>0.31969407265774374</v>
      </c>
      <c r="J95" s="160">
        <f t="shared" si="24"/>
        <v>836</v>
      </c>
      <c r="K95" s="161">
        <f>H95/H$8</f>
        <v>1.142892342257012E-3</v>
      </c>
      <c r="L95" s="79"/>
    </row>
    <row r="96" spans="1:12" x14ac:dyDescent="0.25">
      <c r="A96" s="158"/>
      <c r="B96" s="155" t="s">
        <v>107</v>
      </c>
      <c r="C96" s="156">
        <v>7778</v>
      </c>
      <c r="D96" s="156">
        <v>1648</v>
      </c>
      <c r="E96" s="156">
        <v>6519</v>
      </c>
      <c r="F96" s="156">
        <v>8713</v>
      </c>
      <c r="G96" s="156">
        <v>10751</v>
      </c>
      <c r="H96" s="156">
        <v>9438</v>
      </c>
      <c r="I96" s="157">
        <f>IFERROR(H96/G96-1,"-")</f>
        <v>-0.12212817412333732</v>
      </c>
      <c r="J96" s="156">
        <f t="shared" si="24"/>
        <v>-1313</v>
      </c>
      <c r="K96" s="157">
        <f>H96/H$8</f>
        <v>3.1256499351555141E-3</v>
      </c>
      <c r="L96" s="79"/>
    </row>
    <row r="97" spans="1:12" s="56" customFormat="1" x14ac:dyDescent="0.25">
      <c r="A97" s="158"/>
      <c r="B97" s="159" t="s">
        <v>110</v>
      </c>
      <c r="C97" s="160">
        <v>1433</v>
      </c>
      <c r="D97" s="160">
        <v>40</v>
      </c>
      <c r="E97" s="160">
        <v>1082</v>
      </c>
      <c r="F97" s="160">
        <v>1714</v>
      </c>
      <c r="G97" s="160">
        <v>1480</v>
      </c>
      <c r="H97" s="160">
        <v>1352</v>
      </c>
      <c r="I97" s="161">
        <f t="shared" ref="I97:I104" si="25">IFERROR(H97/G97-1,"-")</f>
        <v>-8.6486486486486491E-2</v>
      </c>
      <c r="J97" s="160">
        <f t="shared" si="24"/>
        <v>-128</v>
      </c>
      <c r="K97" s="161">
        <f t="shared" ref="K97:K104" si="26">H97/H$8</f>
        <v>4.4775150586249792E-4</v>
      </c>
      <c r="L97" s="162"/>
    </row>
    <row r="98" spans="1:12" s="56" customFormat="1" x14ac:dyDescent="0.25">
      <c r="A98" s="158"/>
      <c r="B98" s="159" t="s">
        <v>113</v>
      </c>
      <c r="C98" s="160">
        <v>2551</v>
      </c>
      <c r="D98" s="160">
        <v>513</v>
      </c>
      <c r="E98" s="160">
        <v>1768</v>
      </c>
      <c r="F98" s="160">
        <v>2687</v>
      </c>
      <c r="G98" s="160">
        <v>3551</v>
      </c>
      <c r="H98" s="160">
        <v>2661</v>
      </c>
      <c r="I98" s="161">
        <f t="shared" si="25"/>
        <v>-0.25063362433117431</v>
      </c>
      <c r="J98" s="160">
        <f t="shared" si="24"/>
        <v>-890</v>
      </c>
      <c r="K98" s="161">
        <f t="shared" si="26"/>
        <v>8.8126239430481282E-4</v>
      </c>
      <c r="L98" s="162"/>
    </row>
    <row r="99" spans="1:12" x14ac:dyDescent="0.25">
      <c r="A99" s="158"/>
      <c r="B99" s="159" t="s">
        <v>116</v>
      </c>
      <c r="C99" s="160">
        <v>944</v>
      </c>
      <c r="D99" s="160">
        <v>372</v>
      </c>
      <c r="E99" s="160">
        <v>771</v>
      </c>
      <c r="F99" s="160">
        <v>1006</v>
      </c>
      <c r="G99" s="160">
        <v>991</v>
      </c>
      <c r="H99" s="160">
        <v>1041</v>
      </c>
      <c r="I99" s="161">
        <f t="shared" si="25"/>
        <v>5.045408678102925E-2</v>
      </c>
      <c r="J99" s="160">
        <f t="shared" si="24"/>
        <v>50</v>
      </c>
      <c r="K99" s="161">
        <f t="shared" si="26"/>
        <v>3.4475541242815112E-4</v>
      </c>
      <c r="L99" s="79"/>
    </row>
    <row r="100" spans="1:12" x14ac:dyDescent="0.25">
      <c r="A100" s="158"/>
      <c r="B100" s="159" t="s">
        <v>123</v>
      </c>
      <c r="C100" s="160">
        <v>207</v>
      </c>
      <c r="D100" s="160">
        <v>8</v>
      </c>
      <c r="E100" s="160">
        <v>500</v>
      </c>
      <c r="F100" s="160">
        <v>587</v>
      </c>
      <c r="G100" s="160">
        <v>618</v>
      </c>
      <c r="H100" s="160">
        <v>486</v>
      </c>
      <c r="I100" s="161">
        <f t="shared" si="25"/>
        <v>-0.21359223300970875</v>
      </c>
      <c r="J100" s="160">
        <f t="shared" si="24"/>
        <v>-132</v>
      </c>
      <c r="K100" s="161">
        <f t="shared" si="26"/>
        <v>1.609520945629985E-4</v>
      </c>
      <c r="L100" s="79"/>
    </row>
    <row r="101" spans="1:12" x14ac:dyDescent="0.25">
      <c r="A101" s="158"/>
      <c r="B101" s="159" t="s">
        <v>119</v>
      </c>
      <c r="C101" s="160">
        <v>171</v>
      </c>
      <c r="D101" s="160">
        <v>81</v>
      </c>
      <c r="E101" s="160">
        <v>235</v>
      </c>
      <c r="F101" s="160">
        <v>204</v>
      </c>
      <c r="G101" s="160">
        <v>391</v>
      </c>
      <c r="H101" s="160">
        <v>363</v>
      </c>
      <c r="I101" s="161">
        <f t="shared" si="25"/>
        <v>-7.1611253196930957E-2</v>
      </c>
      <c r="J101" s="160">
        <f t="shared" si="24"/>
        <v>-28</v>
      </c>
      <c r="K101" s="161">
        <f t="shared" si="26"/>
        <v>1.2021730519828901E-4</v>
      </c>
      <c r="L101" s="79"/>
    </row>
    <row r="102" spans="1:12" x14ac:dyDescent="0.25">
      <c r="A102" s="158"/>
      <c r="B102" s="159" t="s">
        <v>128</v>
      </c>
      <c r="C102" s="160">
        <v>324</v>
      </c>
      <c r="D102" s="160">
        <v>5</v>
      </c>
      <c r="E102" s="160">
        <v>202</v>
      </c>
      <c r="F102" s="160">
        <v>130</v>
      </c>
      <c r="G102" s="160">
        <v>167</v>
      </c>
      <c r="H102" s="160">
        <v>68</v>
      </c>
      <c r="I102" s="161">
        <f t="shared" si="25"/>
        <v>-0.59281437125748504</v>
      </c>
      <c r="J102" s="160">
        <f t="shared" si="24"/>
        <v>-99</v>
      </c>
      <c r="K102" s="161">
        <f t="shared" si="26"/>
        <v>2.2520046152847526E-5</v>
      </c>
      <c r="L102" s="79"/>
    </row>
    <row r="103" spans="1:12" x14ac:dyDescent="0.25">
      <c r="A103" s="158" t="s">
        <v>144</v>
      </c>
      <c r="B103" s="159" t="s">
        <v>131</v>
      </c>
      <c r="C103" s="160">
        <v>93</v>
      </c>
      <c r="D103" s="160">
        <v>23</v>
      </c>
      <c r="E103" s="160">
        <v>107</v>
      </c>
      <c r="F103" s="160">
        <v>236</v>
      </c>
      <c r="G103" s="160">
        <v>448</v>
      </c>
      <c r="H103" s="160">
        <v>203</v>
      </c>
      <c r="I103" s="161">
        <f t="shared" si="25"/>
        <v>-0.546875</v>
      </c>
      <c r="J103" s="160">
        <f t="shared" si="24"/>
        <v>-245</v>
      </c>
      <c r="K103" s="161">
        <f t="shared" si="26"/>
        <v>6.7228961309236004E-5</v>
      </c>
      <c r="L103" s="79"/>
    </row>
    <row r="104" spans="1:12" x14ac:dyDescent="0.25">
      <c r="A104" s="158" t="s">
        <v>145</v>
      </c>
      <c r="B104" s="164" t="s">
        <v>145</v>
      </c>
      <c r="C104" s="165">
        <f t="shared" ref="C104:H104" si="27">C96-SUM(C97:C103)</f>
        <v>2055</v>
      </c>
      <c r="D104" s="165">
        <f t="shared" si="27"/>
        <v>606</v>
      </c>
      <c r="E104" s="165">
        <f t="shared" si="27"/>
        <v>1854</v>
      </c>
      <c r="F104" s="165">
        <f t="shared" si="27"/>
        <v>2149</v>
      </c>
      <c r="G104" s="165">
        <f t="shared" si="27"/>
        <v>3105</v>
      </c>
      <c r="H104" s="165">
        <f t="shared" si="27"/>
        <v>3264</v>
      </c>
      <c r="I104" s="166">
        <f t="shared" si="25"/>
        <v>5.1207729468599084E-2</v>
      </c>
      <c r="J104" s="165">
        <f>H104-G104</f>
        <v>159</v>
      </c>
      <c r="K104" s="166">
        <f t="shared" si="26"/>
        <v>1.0809622153366814E-3</v>
      </c>
      <c r="L104" s="79"/>
    </row>
    <row r="105" spans="1:12" s="142" customFormat="1" x14ac:dyDescent="0.25">
      <c r="A105" s="158"/>
      <c r="B105" s="151" t="s">
        <v>50</v>
      </c>
      <c r="C105" s="149"/>
      <c r="D105" s="149"/>
      <c r="E105" s="149"/>
      <c r="F105" s="149"/>
      <c r="G105" s="149"/>
      <c r="H105" s="149"/>
      <c r="I105" s="149"/>
      <c r="J105" s="149"/>
      <c r="K105" s="149"/>
    </row>
    <row r="106" spans="1:12" x14ac:dyDescent="0.25">
      <c r="A106" s="158"/>
      <c r="B106" s="152" t="s">
        <v>68</v>
      </c>
      <c r="C106" s="172">
        <v>103867</v>
      </c>
      <c r="D106" s="172">
        <v>18472</v>
      </c>
      <c r="E106" s="172">
        <v>95884</v>
      </c>
      <c r="F106" s="172">
        <v>98876</v>
      </c>
      <c r="G106" s="172">
        <v>114993</v>
      </c>
      <c r="H106" s="172">
        <v>115159</v>
      </c>
      <c r="I106" s="173">
        <f>IFERROR(H106/G106-1,"-")</f>
        <v>1.443566130112206E-3</v>
      </c>
      <c r="J106" s="172">
        <f>H106-G106</f>
        <v>166</v>
      </c>
      <c r="K106" s="173">
        <f>H106/H$8</f>
        <v>3.8138029336996594E-2</v>
      </c>
      <c r="L106" s="79"/>
    </row>
    <row r="107" spans="1:12" x14ac:dyDescent="0.25">
      <c r="A107" s="158" t="s">
        <v>96</v>
      </c>
      <c r="B107" s="155" t="s">
        <v>97</v>
      </c>
      <c r="C107" s="156">
        <v>20862</v>
      </c>
      <c r="D107" s="156">
        <v>1702</v>
      </c>
      <c r="E107" s="156">
        <v>11560</v>
      </c>
      <c r="F107" s="156">
        <v>13570</v>
      </c>
      <c r="G107" s="156">
        <v>13404</v>
      </c>
      <c r="H107" s="156">
        <v>13521</v>
      </c>
      <c r="I107" s="157">
        <f>IFERROR(H107/G107-1,"-")</f>
        <v>8.728737690241628E-3</v>
      </c>
      <c r="J107" s="156">
        <f t="shared" ref="J107:J117" si="28">H107-G107</f>
        <v>117</v>
      </c>
      <c r="K107" s="157">
        <f>H107/H$8</f>
        <v>4.4778462357742852E-3</v>
      </c>
      <c r="L107" s="79"/>
    </row>
    <row r="108" spans="1:12" x14ac:dyDescent="0.25">
      <c r="A108" s="158" t="s">
        <v>103</v>
      </c>
      <c r="B108" s="159" t="s">
        <v>103</v>
      </c>
      <c r="C108" s="160">
        <v>1028</v>
      </c>
      <c r="D108" s="160">
        <v>1347</v>
      </c>
      <c r="E108" s="160">
        <v>5530</v>
      </c>
      <c r="F108" s="160">
        <v>3124</v>
      </c>
      <c r="G108" s="160">
        <v>2305</v>
      </c>
      <c r="H108" s="160">
        <v>3931</v>
      </c>
      <c r="I108" s="161">
        <f>IFERROR(H108/G108-1,"-")</f>
        <v>0.70542299349240789</v>
      </c>
      <c r="J108" s="160">
        <f t="shared" si="28"/>
        <v>1626</v>
      </c>
      <c r="K108" s="161">
        <f>H108/H$8</f>
        <v>1.3018573739241709E-3</v>
      </c>
      <c r="L108" s="79"/>
    </row>
    <row r="109" spans="1:12" x14ac:dyDescent="0.25">
      <c r="A109" s="158" t="s">
        <v>100</v>
      </c>
      <c r="B109" s="159" t="s">
        <v>100</v>
      </c>
      <c r="C109" s="160">
        <v>19834</v>
      </c>
      <c r="D109" s="160">
        <v>355</v>
      </c>
      <c r="E109" s="160">
        <v>6030</v>
      </c>
      <c r="F109" s="160">
        <v>10446</v>
      </c>
      <c r="G109" s="160">
        <v>11099</v>
      </c>
      <c r="H109" s="160">
        <v>9590</v>
      </c>
      <c r="I109" s="161">
        <f>IFERROR(H109/G109-1,"-")</f>
        <v>-0.1359581944319308</v>
      </c>
      <c r="J109" s="160">
        <f t="shared" si="28"/>
        <v>-1509</v>
      </c>
      <c r="K109" s="161">
        <f>H109/H$8</f>
        <v>3.1759888618501145E-3</v>
      </c>
      <c r="L109" s="79"/>
    </row>
    <row r="110" spans="1:12" x14ac:dyDescent="0.25">
      <c r="A110" s="158"/>
      <c r="B110" s="155" t="s">
        <v>107</v>
      </c>
      <c r="C110" s="156">
        <v>83005</v>
      </c>
      <c r="D110" s="156">
        <v>16770</v>
      </c>
      <c r="E110" s="156">
        <v>84324</v>
      </c>
      <c r="F110" s="156">
        <v>85306</v>
      </c>
      <c r="G110" s="156">
        <v>101589</v>
      </c>
      <c r="H110" s="156">
        <v>101638</v>
      </c>
      <c r="I110" s="157">
        <f>IFERROR(H110/G110-1,"-")</f>
        <v>4.8233568595024146E-4</v>
      </c>
      <c r="J110" s="156">
        <f t="shared" si="28"/>
        <v>49</v>
      </c>
      <c r="K110" s="157">
        <f>H110/H$8</f>
        <v>3.3660183101222312E-2</v>
      </c>
      <c r="L110" s="79"/>
    </row>
    <row r="111" spans="1:12" s="56" customFormat="1" x14ac:dyDescent="0.25">
      <c r="A111" s="158"/>
      <c r="B111" s="159" t="s">
        <v>110</v>
      </c>
      <c r="C111" s="160">
        <v>42263</v>
      </c>
      <c r="D111" s="160">
        <v>14353</v>
      </c>
      <c r="E111" s="160">
        <v>50977</v>
      </c>
      <c r="F111" s="160">
        <v>48434</v>
      </c>
      <c r="G111" s="160">
        <v>58730</v>
      </c>
      <c r="H111" s="160">
        <v>52009</v>
      </c>
      <c r="I111" s="161">
        <f t="shared" ref="I111:I118" si="29">IFERROR(H111/G111-1,"-")</f>
        <v>-0.11443895794312953</v>
      </c>
      <c r="J111" s="160">
        <f t="shared" si="28"/>
        <v>-6721</v>
      </c>
      <c r="K111" s="161">
        <f t="shared" ref="K111:K118" si="30">H111/H$8</f>
        <v>1.7224192358285987E-2</v>
      </c>
      <c r="L111" s="162"/>
    </row>
    <row r="112" spans="1:12" s="56" customFormat="1" x14ac:dyDescent="0.25">
      <c r="A112" s="158"/>
      <c r="B112" s="159" t="s">
        <v>113</v>
      </c>
      <c r="C112" s="160">
        <v>8543</v>
      </c>
      <c r="D112" s="160">
        <v>1170</v>
      </c>
      <c r="E112" s="160">
        <v>4976</v>
      </c>
      <c r="F112" s="160">
        <v>4993</v>
      </c>
      <c r="G112" s="160">
        <v>5093</v>
      </c>
      <c r="H112" s="160">
        <v>7459</v>
      </c>
      <c r="I112" s="161">
        <f t="shared" si="29"/>
        <v>0.46455919890045161</v>
      </c>
      <c r="J112" s="160">
        <f t="shared" si="28"/>
        <v>2366</v>
      </c>
      <c r="K112" s="161">
        <f t="shared" si="30"/>
        <v>2.47025035667779E-3</v>
      </c>
      <c r="L112" s="162"/>
    </row>
    <row r="113" spans="1:12" x14ac:dyDescent="0.25">
      <c r="A113" s="158"/>
      <c r="B113" s="159" t="s">
        <v>116</v>
      </c>
      <c r="C113" s="160">
        <v>3070</v>
      </c>
      <c r="D113" s="160">
        <v>534</v>
      </c>
      <c r="E113" s="160">
        <v>3457</v>
      </c>
      <c r="F113" s="160">
        <v>4073</v>
      </c>
      <c r="G113" s="160">
        <v>4322</v>
      </c>
      <c r="H113" s="160">
        <v>6767</v>
      </c>
      <c r="I113" s="161">
        <f t="shared" si="29"/>
        <v>0.56571031929662197</v>
      </c>
      <c r="J113" s="160">
        <f t="shared" si="28"/>
        <v>2445</v>
      </c>
      <c r="K113" s="161">
        <f t="shared" si="30"/>
        <v>2.2410757693576357E-3</v>
      </c>
      <c r="L113" s="79"/>
    </row>
    <row r="114" spans="1:12" x14ac:dyDescent="0.25">
      <c r="A114" s="158"/>
      <c r="B114" s="159" t="s">
        <v>123</v>
      </c>
      <c r="C114" s="160">
        <v>2150</v>
      </c>
      <c r="D114" s="160">
        <v>0</v>
      </c>
      <c r="E114" s="160">
        <v>4353</v>
      </c>
      <c r="F114" s="160">
        <v>2835</v>
      </c>
      <c r="G114" s="160">
        <v>3216</v>
      </c>
      <c r="H114" s="160">
        <v>3126</v>
      </c>
      <c r="I114" s="161">
        <f t="shared" si="29"/>
        <v>-2.7985074626865725E-2</v>
      </c>
      <c r="J114" s="160">
        <f t="shared" si="28"/>
        <v>-90</v>
      </c>
      <c r="K114" s="161">
        <f t="shared" si="30"/>
        <v>1.0352597687323731E-3</v>
      </c>
      <c r="L114" s="79"/>
    </row>
    <row r="115" spans="1:12" x14ac:dyDescent="0.25">
      <c r="A115" s="158"/>
      <c r="B115" s="159" t="s">
        <v>119</v>
      </c>
      <c r="C115" s="160">
        <v>2047</v>
      </c>
      <c r="D115" s="160">
        <v>24</v>
      </c>
      <c r="E115" s="160">
        <v>3777</v>
      </c>
      <c r="F115" s="160">
        <v>3304</v>
      </c>
      <c r="G115" s="160">
        <v>3117</v>
      </c>
      <c r="H115" s="160">
        <v>2934</v>
      </c>
      <c r="I115" s="161">
        <f t="shared" si="29"/>
        <v>-5.8710298363811364E-2</v>
      </c>
      <c r="J115" s="160">
        <f t="shared" si="28"/>
        <v>-183</v>
      </c>
      <c r="K115" s="161">
        <f t="shared" si="30"/>
        <v>9.7167375606550951E-4</v>
      </c>
      <c r="L115" s="79"/>
    </row>
    <row r="116" spans="1:12" x14ac:dyDescent="0.25">
      <c r="A116" s="158"/>
      <c r="B116" s="159" t="s">
        <v>128</v>
      </c>
      <c r="C116" s="160">
        <v>854</v>
      </c>
      <c r="D116" s="160">
        <v>0</v>
      </c>
      <c r="E116" s="160">
        <v>804</v>
      </c>
      <c r="F116" s="160">
        <v>1171</v>
      </c>
      <c r="G116" s="160">
        <v>2119</v>
      </c>
      <c r="H116" s="160">
        <v>1241</v>
      </c>
      <c r="I116" s="161">
        <f t="shared" si="29"/>
        <v>-0.41434638980651251</v>
      </c>
      <c r="J116" s="160">
        <f t="shared" si="28"/>
        <v>-878</v>
      </c>
      <c r="K116" s="161">
        <f t="shared" si="30"/>
        <v>4.1099084228946736E-4</v>
      </c>
      <c r="L116" s="79"/>
    </row>
    <row r="117" spans="1:12" x14ac:dyDescent="0.25">
      <c r="A117" s="158" t="s">
        <v>144</v>
      </c>
      <c r="B117" s="159" t="s">
        <v>131</v>
      </c>
      <c r="C117" s="160">
        <v>3077</v>
      </c>
      <c r="D117" s="160">
        <v>0</v>
      </c>
      <c r="E117" s="160">
        <v>1330</v>
      </c>
      <c r="F117" s="160">
        <v>1883</v>
      </c>
      <c r="G117" s="160">
        <v>1931</v>
      </c>
      <c r="H117" s="160">
        <v>1221</v>
      </c>
      <c r="I117" s="161">
        <f t="shared" si="29"/>
        <v>-0.36768513723459351</v>
      </c>
      <c r="J117" s="160">
        <f t="shared" si="28"/>
        <v>-710</v>
      </c>
      <c r="K117" s="161">
        <f t="shared" si="30"/>
        <v>4.0436729930333574E-4</v>
      </c>
      <c r="L117" s="79"/>
    </row>
    <row r="118" spans="1:12" x14ac:dyDescent="0.25">
      <c r="A118" s="158" t="s">
        <v>145</v>
      </c>
      <c r="B118" s="164" t="s">
        <v>145</v>
      </c>
      <c r="C118" s="165">
        <f t="shared" ref="C118:H118" si="31">C110-SUM(C111:C117)</f>
        <v>21001</v>
      </c>
      <c r="D118" s="165">
        <f t="shared" si="31"/>
        <v>689</v>
      </c>
      <c r="E118" s="165">
        <f t="shared" si="31"/>
        <v>14650</v>
      </c>
      <c r="F118" s="165">
        <f t="shared" si="31"/>
        <v>18613</v>
      </c>
      <c r="G118" s="165">
        <f t="shared" si="31"/>
        <v>23061</v>
      </c>
      <c r="H118" s="165">
        <f t="shared" si="31"/>
        <v>26881</v>
      </c>
      <c r="I118" s="166">
        <f t="shared" si="29"/>
        <v>0.16564763019816997</v>
      </c>
      <c r="J118" s="165">
        <f>H118-G118</f>
        <v>3820</v>
      </c>
      <c r="K118" s="166">
        <f t="shared" si="30"/>
        <v>8.9023729505102109E-3</v>
      </c>
      <c r="L118" s="79"/>
    </row>
    <row r="119" spans="1:12" s="142" customFormat="1" x14ac:dyDescent="0.25">
      <c r="A119" s="158"/>
      <c r="B119" s="151" t="s">
        <v>51</v>
      </c>
      <c r="C119" s="149"/>
      <c r="D119" s="149"/>
      <c r="E119" s="149"/>
      <c r="F119" s="149"/>
      <c r="G119" s="149"/>
      <c r="H119" s="149"/>
      <c r="I119" s="149"/>
      <c r="J119" s="149"/>
      <c r="K119" s="149"/>
    </row>
    <row r="120" spans="1:12" x14ac:dyDescent="0.25">
      <c r="A120" s="158"/>
      <c r="B120" s="152" t="s">
        <v>68</v>
      </c>
      <c r="C120" s="172">
        <v>46163</v>
      </c>
      <c r="D120" s="172">
        <v>9068</v>
      </c>
      <c r="E120" s="172">
        <v>40065</v>
      </c>
      <c r="F120" s="172">
        <v>59578</v>
      </c>
      <c r="G120" s="172">
        <v>62651</v>
      </c>
      <c r="H120" s="172">
        <v>57077</v>
      </c>
      <c r="I120" s="173">
        <f>IFERROR(H120/G120-1,"-")</f>
        <v>-8.8969050773331615E-2</v>
      </c>
      <c r="J120" s="172">
        <f>H120-G120</f>
        <v>-5574</v>
      </c>
      <c r="K120" s="173">
        <f>H120/H$8</f>
        <v>1.8902598150971742E-2</v>
      </c>
      <c r="L120" s="79"/>
    </row>
    <row r="121" spans="1:12" x14ac:dyDescent="0.25">
      <c r="A121" s="158" t="s">
        <v>96</v>
      </c>
      <c r="B121" s="155" t="s">
        <v>97</v>
      </c>
      <c r="C121" s="156">
        <v>18094</v>
      </c>
      <c r="D121" s="156">
        <v>4627</v>
      </c>
      <c r="E121" s="156">
        <v>15015</v>
      </c>
      <c r="F121" s="156">
        <v>21636</v>
      </c>
      <c r="G121" s="156">
        <v>25181</v>
      </c>
      <c r="H121" s="156">
        <v>23120</v>
      </c>
      <c r="I121" s="157">
        <f>IFERROR(H121/G121-1,"-")</f>
        <v>-8.1847424645566047E-2</v>
      </c>
      <c r="J121" s="156">
        <f t="shared" ref="J121:J131" si="32">H121-G121</f>
        <v>-2061</v>
      </c>
      <c r="K121" s="157">
        <f>H121/H$8</f>
        <v>7.656815691968159E-3</v>
      </c>
      <c r="L121" s="79"/>
    </row>
    <row r="122" spans="1:12" x14ac:dyDescent="0.25">
      <c r="A122" s="158" t="s">
        <v>103</v>
      </c>
      <c r="B122" s="159" t="s">
        <v>103</v>
      </c>
      <c r="C122" s="160">
        <v>8601</v>
      </c>
      <c r="D122" s="160">
        <v>1706</v>
      </c>
      <c r="E122" s="160">
        <v>5493</v>
      </c>
      <c r="F122" s="160">
        <v>9852</v>
      </c>
      <c r="G122" s="160">
        <v>10259</v>
      </c>
      <c r="H122" s="160">
        <v>8258</v>
      </c>
      <c r="I122" s="161">
        <f>IFERROR(H122/G122-1,"-")</f>
        <v>-0.19504825031679496</v>
      </c>
      <c r="J122" s="160">
        <f t="shared" si="32"/>
        <v>-2001</v>
      </c>
      <c r="K122" s="161">
        <f>H122/H$8</f>
        <v>2.7348608989737483E-3</v>
      </c>
      <c r="L122" s="79"/>
    </row>
    <row r="123" spans="1:12" x14ac:dyDescent="0.25">
      <c r="A123" s="158" t="s">
        <v>100</v>
      </c>
      <c r="B123" s="159" t="s">
        <v>100</v>
      </c>
      <c r="C123" s="160">
        <v>9493</v>
      </c>
      <c r="D123" s="160">
        <v>2921</v>
      </c>
      <c r="E123" s="160">
        <v>9522</v>
      </c>
      <c r="F123" s="160">
        <v>11784</v>
      </c>
      <c r="G123" s="160">
        <v>14922</v>
      </c>
      <c r="H123" s="160">
        <v>14862</v>
      </c>
      <c r="I123" s="161">
        <f>IFERROR(H123/G123-1,"-")</f>
        <v>-4.0209087253719744E-3</v>
      </c>
      <c r="J123" s="160">
        <f t="shared" si="32"/>
        <v>-60</v>
      </c>
      <c r="K123" s="161">
        <f>H123/H$8</f>
        <v>4.9219547929944107E-3</v>
      </c>
      <c r="L123" s="79"/>
    </row>
    <row r="124" spans="1:12" x14ac:dyDescent="0.25">
      <c r="A124" s="158"/>
      <c r="B124" s="155" t="s">
        <v>107</v>
      </c>
      <c r="C124" s="156">
        <v>28069</v>
      </c>
      <c r="D124" s="156">
        <v>4441</v>
      </c>
      <c r="E124" s="156">
        <v>25050</v>
      </c>
      <c r="F124" s="156">
        <v>37942</v>
      </c>
      <c r="G124" s="156">
        <v>37470</v>
      </c>
      <c r="H124" s="156">
        <v>33957</v>
      </c>
      <c r="I124" s="157">
        <f>IFERROR(H124/G124-1,"-")</f>
        <v>-9.375500400320258E-2</v>
      </c>
      <c r="J124" s="156">
        <f t="shared" si="32"/>
        <v>-3513</v>
      </c>
      <c r="K124" s="157">
        <f>H124/H$8</f>
        <v>1.1245782459003581E-2</v>
      </c>
      <c r="L124" s="79"/>
    </row>
    <row r="125" spans="1:12" s="56" customFormat="1" x14ac:dyDescent="0.25">
      <c r="A125" s="158"/>
      <c r="B125" s="159" t="s">
        <v>110</v>
      </c>
      <c r="C125" s="160">
        <v>4037</v>
      </c>
      <c r="D125" s="160">
        <v>105</v>
      </c>
      <c r="E125" s="160">
        <v>3433</v>
      </c>
      <c r="F125" s="160">
        <v>5079</v>
      </c>
      <c r="G125" s="160">
        <v>5741</v>
      </c>
      <c r="H125" s="160">
        <v>5027</v>
      </c>
      <c r="I125" s="161">
        <f t="shared" ref="I125:I132" si="33">IFERROR(H125/G125-1,"-")</f>
        <v>-0.12436857690297853</v>
      </c>
      <c r="J125" s="160">
        <f t="shared" si="32"/>
        <v>-714</v>
      </c>
      <c r="K125" s="161">
        <f t="shared" ref="K125:K132" si="34">H125/H$8</f>
        <v>1.6648275295641842E-3</v>
      </c>
      <c r="L125" s="162"/>
    </row>
    <row r="126" spans="1:12" s="56" customFormat="1" x14ac:dyDescent="0.25">
      <c r="A126" s="158"/>
      <c r="B126" s="159" t="s">
        <v>113</v>
      </c>
      <c r="C126" s="160">
        <v>4131</v>
      </c>
      <c r="D126" s="160">
        <v>492</v>
      </c>
      <c r="E126" s="160">
        <v>3311</v>
      </c>
      <c r="F126" s="160">
        <v>6542</v>
      </c>
      <c r="G126" s="160">
        <v>6067</v>
      </c>
      <c r="H126" s="160">
        <v>6090</v>
      </c>
      <c r="I126" s="161">
        <f t="shared" si="33"/>
        <v>3.791000494478336E-3</v>
      </c>
      <c r="J126" s="160">
        <f t="shared" si="32"/>
        <v>23</v>
      </c>
      <c r="K126" s="161">
        <f t="shared" si="34"/>
        <v>2.0168688392770799E-3</v>
      </c>
      <c r="L126" s="162"/>
    </row>
    <row r="127" spans="1:12" x14ac:dyDescent="0.25">
      <c r="A127" s="158"/>
      <c r="B127" s="159" t="s">
        <v>116</v>
      </c>
      <c r="C127" s="160">
        <v>1856</v>
      </c>
      <c r="D127" s="160">
        <v>580</v>
      </c>
      <c r="E127" s="160">
        <v>1697</v>
      </c>
      <c r="F127" s="160">
        <v>3344</v>
      </c>
      <c r="G127" s="160">
        <v>2895</v>
      </c>
      <c r="H127" s="160">
        <v>2278</v>
      </c>
      <c r="I127" s="161">
        <f t="shared" si="33"/>
        <v>-0.21312607944732298</v>
      </c>
      <c r="J127" s="160">
        <f t="shared" si="32"/>
        <v>-617</v>
      </c>
      <c r="K127" s="161">
        <f t="shared" si="34"/>
        <v>7.544215461203922E-4</v>
      </c>
      <c r="L127" s="79"/>
    </row>
    <row r="128" spans="1:12" x14ac:dyDescent="0.25">
      <c r="A128" s="158"/>
      <c r="B128" s="159" t="s">
        <v>123</v>
      </c>
      <c r="C128" s="160">
        <v>661</v>
      </c>
      <c r="D128" s="160">
        <v>80</v>
      </c>
      <c r="E128" s="160">
        <v>841</v>
      </c>
      <c r="F128" s="160">
        <v>839</v>
      </c>
      <c r="G128" s="160">
        <v>913</v>
      </c>
      <c r="H128" s="160">
        <v>1114</v>
      </c>
      <c r="I128" s="161">
        <f t="shared" si="33"/>
        <v>0.22015334063526826</v>
      </c>
      <c r="J128" s="160">
        <f t="shared" si="32"/>
        <v>201</v>
      </c>
      <c r="K128" s="161">
        <f t="shared" si="34"/>
        <v>3.6893134432753157E-4</v>
      </c>
      <c r="L128" s="79"/>
    </row>
    <row r="129" spans="1:12" x14ac:dyDescent="0.25">
      <c r="A129" s="158"/>
      <c r="B129" s="159" t="s">
        <v>119</v>
      </c>
      <c r="C129" s="160">
        <v>529</v>
      </c>
      <c r="D129" s="160">
        <v>69</v>
      </c>
      <c r="E129" s="160">
        <v>413</v>
      </c>
      <c r="F129" s="160">
        <v>618</v>
      </c>
      <c r="G129" s="160">
        <v>796</v>
      </c>
      <c r="H129" s="160">
        <v>915</v>
      </c>
      <c r="I129" s="161">
        <f t="shared" si="33"/>
        <v>0.14949748743718594</v>
      </c>
      <c r="J129" s="160">
        <f t="shared" si="32"/>
        <v>119</v>
      </c>
      <c r="K129" s="161">
        <f t="shared" si="34"/>
        <v>3.030270916155219E-4</v>
      </c>
      <c r="L129" s="79"/>
    </row>
    <row r="130" spans="1:12" x14ac:dyDescent="0.25">
      <c r="A130" s="158"/>
      <c r="B130" s="159" t="s">
        <v>128</v>
      </c>
      <c r="C130" s="160">
        <v>738</v>
      </c>
      <c r="D130" s="160">
        <v>4</v>
      </c>
      <c r="E130" s="160">
        <v>507</v>
      </c>
      <c r="F130" s="160">
        <v>531</v>
      </c>
      <c r="G130" s="160">
        <v>839</v>
      </c>
      <c r="H130" s="160">
        <v>555</v>
      </c>
      <c r="I130" s="161">
        <f t="shared" si="33"/>
        <v>-0.33849821215733011</v>
      </c>
      <c r="J130" s="160">
        <f t="shared" si="32"/>
        <v>-284</v>
      </c>
      <c r="K130" s="161">
        <f t="shared" si="34"/>
        <v>1.8380331786515262E-4</v>
      </c>
      <c r="L130" s="79"/>
    </row>
    <row r="131" spans="1:12" x14ac:dyDescent="0.25">
      <c r="A131" s="158" t="s">
        <v>144</v>
      </c>
      <c r="B131" s="159" t="s">
        <v>131</v>
      </c>
      <c r="C131" s="160">
        <v>814</v>
      </c>
      <c r="D131" s="160">
        <v>32</v>
      </c>
      <c r="E131" s="160">
        <v>571</v>
      </c>
      <c r="F131" s="160">
        <v>1003</v>
      </c>
      <c r="G131" s="160">
        <v>905</v>
      </c>
      <c r="H131" s="160">
        <v>985</v>
      </c>
      <c r="I131" s="161">
        <f t="shared" si="33"/>
        <v>8.8397790055248615E-2</v>
      </c>
      <c r="J131" s="160">
        <f t="shared" si="32"/>
        <v>80</v>
      </c>
      <c r="K131" s="161">
        <f t="shared" si="34"/>
        <v>3.2620949206698259E-4</v>
      </c>
      <c r="L131" s="79"/>
    </row>
    <row r="132" spans="1:12" x14ac:dyDescent="0.25">
      <c r="A132" s="158" t="s">
        <v>145</v>
      </c>
      <c r="B132" s="164" t="s">
        <v>145</v>
      </c>
      <c r="C132" s="165">
        <f t="shared" ref="C132:H132" si="35">C124-SUM(C125:C131)</f>
        <v>15303</v>
      </c>
      <c r="D132" s="165">
        <f t="shared" si="35"/>
        <v>3079</v>
      </c>
      <c r="E132" s="165">
        <f t="shared" si="35"/>
        <v>14277</v>
      </c>
      <c r="F132" s="165">
        <f t="shared" si="35"/>
        <v>19986</v>
      </c>
      <c r="G132" s="165">
        <f t="shared" si="35"/>
        <v>19314</v>
      </c>
      <c r="H132" s="165">
        <f t="shared" si="35"/>
        <v>16993</v>
      </c>
      <c r="I132" s="166">
        <f t="shared" si="33"/>
        <v>-0.12017189603396505</v>
      </c>
      <c r="J132" s="165">
        <f>H132-G132</f>
        <v>-2321</v>
      </c>
      <c r="K132" s="166">
        <f t="shared" si="34"/>
        <v>5.6276932981667357E-3</v>
      </c>
      <c r="L132" s="79"/>
    </row>
    <row r="133" spans="1:12" s="142" customFormat="1" x14ac:dyDescent="0.25">
      <c r="A133" s="158"/>
      <c r="B133" s="151" t="s">
        <v>52</v>
      </c>
      <c r="C133" s="149"/>
      <c r="D133" s="149"/>
      <c r="E133" s="149"/>
      <c r="F133" s="149"/>
      <c r="G133" s="149"/>
      <c r="H133" s="149"/>
      <c r="I133" s="149"/>
      <c r="J133" s="149"/>
      <c r="K133" s="149"/>
    </row>
    <row r="134" spans="1:12" x14ac:dyDescent="0.25">
      <c r="A134" s="158"/>
      <c r="B134" s="152" t="s">
        <v>68</v>
      </c>
      <c r="C134" s="172">
        <v>157800</v>
      </c>
      <c r="D134" s="172">
        <v>26469</v>
      </c>
      <c r="E134" s="172">
        <v>114870</v>
      </c>
      <c r="F134" s="172">
        <v>163920</v>
      </c>
      <c r="G134" s="172">
        <v>173408</v>
      </c>
      <c r="H134" s="172">
        <v>169944</v>
      </c>
      <c r="I134" s="173">
        <f>IFERROR(H134/G134-1,"-")</f>
        <v>-1.9976010334009975E-2</v>
      </c>
      <c r="J134" s="172">
        <f>H134-G134</f>
        <v>-3464</v>
      </c>
      <c r="K134" s="173">
        <f>H134/H$8</f>
        <v>5.628156946175765E-2</v>
      </c>
      <c r="L134" s="79"/>
    </row>
    <row r="135" spans="1:12" x14ac:dyDescent="0.25">
      <c r="A135" s="158" t="s">
        <v>96</v>
      </c>
      <c r="B135" s="155" t="s">
        <v>97</v>
      </c>
      <c r="C135" s="156">
        <v>2810</v>
      </c>
      <c r="D135" s="156">
        <v>7933</v>
      </c>
      <c r="E135" s="156">
        <v>4259</v>
      </c>
      <c r="F135" s="156">
        <v>7684</v>
      </c>
      <c r="G135" s="156">
        <v>4643</v>
      </c>
      <c r="H135" s="156">
        <v>4190</v>
      </c>
      <c r="I135" s="157">
        <f>IFERROR(H135/G135-1,"-")</f>
        <v>-9.7566228731423621E-2</v>
      </c>
      <c r="J135" s="156">
        <f t="shared" ref="J135:J145" si="36">H135-G135</f>
        <v>-453</v>
      </c>
      <c r="K135" s="157">
        <f>H135/H$8</f>
        <v>1.3876322555945756E-3</v>
      </c>
      <c r="L135" s="79"/>
    </row>
    <row r="136" spans="1:12" x14ac:dyDescent="0.25">
      <c r="A136" s="158" t="s">
        <v>103</v>
      </c>
      <c r="B136" s="159" t="s">
        <v>103</v>
      </c>
      <c r="C136" s="160">
        <v>1208</v>
      </c>
      <c r="D136" s="160">
        <v>5465</v>
      </c>
      <c r="E136" s="160">
        <v>1306</v>
      </c>
      <c r="F136" s="160">
        <v>4043</v>
      </c>
      <c r="G136" s="160">
        <v>1967</v>
      </c>
      <c r="H136" s="160">
        <v>605</v>
      </c>
      <c r="I136" s="161">
        <f>IFERROR(H136/G136-1,"-")</f>
        <v>-0.69242501270971024</v>
      </c>
      <c r="J136" s="160">
        <f t="shared" si="36"/>
        <v>-1362</v>
      </c>
      <c r="K136" s="161">
        <f>H136/H$8</f>
        <v>2.0036217533048168E-4</v>
      </c>
      <c r="L136" s="79"/>
    </row>
    <row r="137" spans="1:12" x14ac:dyDescent="0.25">
      <c r="A137" s="158" t="s">
        <v>100</v>
      </c>
      <c r="B137" s="159" t="s">
        <v>100</v>
      </c>
      <c r="C137" s="160">
        <v>1602</v>
      </c>
      <c r="D137" s="160">
        <v>2468</v>
      </c>
      <c r="E137" s="160">
        <v>2953</v>
      </c>
      <c r="F137" s="160">
        <v>3641</v>
      </c>
      <c r="G137" s="160">
        <v>2676</v>
      </c>
      <c r="H137" s="160">
        <v>3585</v>
      </c>
      <c r="I137" s="161">
        <f>IFERROR(H137/G137-1,"-")</f>
        <v>0.33968609865470856</v>
      </c>
      <c r="J137" s="160">
        <f t="shared" si="36"/>
        <v>909</v>
      </c>
      <c r="K137" s="161">
        <f>H137/H$8</f>
        <v>1.1872700802640938E-3</v>
      </c>
      <c r="L137" s="79"/>
    </row>
    <row r="138" spans="1:12" x14ac:dyDescent="0.25">
      <c r="A138" s="158"/>
      <c r="B138" s="155" t="s">
        <v>107</v>
      </c>
      <c r="C138" s="156">
        <v>154990</v>
      </c>
      <c r="D138" s="156">
        <v>18536</v>
      </c>
      <c r="E138" s="156">
        <v>110611</v>
      </c>
      <c r="F138" s="156">
        <v>156236</v>
      </c>
      <c r="G138" s="156">
        <v>168765</v>
      </c>
      <c r="H138" s="156">
        <v>165754</v>
      </c>
      <c r="I138" s="157">
        <f>IFERROR(H138/G138-1,"-")</f>
        <v>-1.7841377062779551E-2</v>
      </c>
      <c r="J138" s="156">
        <f t="shared" si="36"/>
        <v>-3011</v>
      </c>
      <c r="K138" s="157">
        <f>H138/H$8</f>
        <v>5.4893937206163076E-2</v>
      </c>
      <c r="L138" s="79"/>
    </row>
    <row r="139" spans="1:12" s="56" customFormat="1" x14ac:dyDescent="0.25">
      <c r="A139" s="158"/>
      <c r="B139" s="159" t="s">
        <v>110</v>
      </c>
      <c r="C139" s="160">
        <v>75091</v>
      </c>
      <c r="D139" s="160">
        <v>774</v>
      </c>
      <c r="E139" s="160">
        <v>36008</v>
      </c>
      <c r="F139" s="160">
        <v>59113</v>
      </c>
      <c r="G139" s="160">
        <v>66871</v>
      </c>
      <c r="H139" s="160">
        <v>72901</v>
      </c>
      <c r="I139" s="161">
        <f t="shared" ref="I139:I146" si="37">IFERROR(H139/G139-1,"-")</f>
        <v>9.0173617861255329E-2</v>
      </c>
      <c r="J139" s="160">
        <f t="shared" si="36"/>
        <v>6030</v>
      </c>
      <c r="K139" s="161">
        <f t="shared" ref="K139:K146" si="38">H139/H$8</f>
        <v>2.4143145361599082E-2</v>
      </c>
      <c r="L139" s="162"/>
    </row>
    <row r="140" spans="1:12" s="56" customFormat="1" x14ac:dyDescent="0.25">
      <c r="A140" s="158"/>
      <c r="B140" s="159" t="s">
        <v>113</v>
      </c>
      <c r="C140" s="160">
        <v>10425</v>
      </c>
      <c r="D140" s="160">
        <v>1811</v>
      </c>
      <c r="E140" s="160">
        <v>10166</v>
      </c>
      <c r="F140" s="160">
        <v>13510</v>
      </c>
      <c r="G140" s="160">
        <v>15426</v>
      </c>
      <c r="H140" s="160">
        <v>14398</v>
      </c>
      <c r="I140" s="161">
        <f t="shared" si="37"/>
        <v>-6.6640736419032787E-2</v>
      </c>
      <c r="J140" s="160">
        <f t="shared" si="36"/>
        <v>-1028</v>
      </c>
      <c r="K140" s="161">
        <f t="shared" si="38"/>
        <v>4.7682885957161577E-3</v>
      </c>
      <c r="L140" s="162"/>
    </row>
    <row r="141" spans="1:12" x14ac:dyDescent="0.25">
      <c r="A141" s="158"/>
      <c r="B141" s="159" t="s">
        <v>116</v>
      </c>
      <c r="C141" s="160">
        <v>7789</v>
      </c>
      <c r="D141" s="160">
        <v>6021</v>
      </c>
      <c r="E141" s="160">
        <v>8832</v>
      </c>
      <c r="F141" s="160">
        <v>11164</v>
      </c>
      <c r="G141" s="160">
        <v>11995</v>
      </c>
      <c r="H141" s="160">
        <v>11295</v>
      </c>
      <c r="I141" s="161">
        <f t="shared" si="37"/>
        <v>-5.8357649020425173E-2</v>
      </c>
      <c r="J141" s="160">
        <f t="shared" si="36"/>
        <v>-700</v>
      </c>
      <c r="K141" s="161">
        <f t="shared" si="38"/>
        <v>3.7406459014178357E-3</v>
      </c>
      <c r="L141" s="79"/>
    </row>
    <row r="142" spans="1:12" x14ac:dyDescent="0.25">
      <c r="A142" s="158"/>
      <c r="B142" s="159" t="s">
        <v>123</v>
      </c>
      <c r="C142" s="160">
        <v>2259</v>
      </c>
      <c r="D142" s="160">
        <v>192</v>
      </c>
      <c r="E142" s="160">
        <v>5030</v>
      </c>
      <c r="F142" s="160">
        <v>5017</v>
      </c>
      <c r="G142" s="160">
        <v>5560</v>
      </c>
      <c r="H142" s="160">
        <v>4517</v>
      </c>
      <c r="I142" s="161">
        <f t="shared" si="37"/>
        <v>-0.18758992805755392</v>
      </c>
      <c r="J142" s="160">
        <f t="shared" si="36"/>
        <v>-1043</v>
      </c>
      <c r="K142" s="161">
        <f t="shared" si="38"/>
        <v>1.4959271834178276E-3</v>
      </c>
      <c r="L142" s="79"/>
    </row>
    <row r="143" spans="1:12" x14ac:dyDescent="0.25">
      <c r="A143" s="158"/>
      <c r="B143" s="159" t="s">
        <v>119</v>
      </c>
      <c r="C143" s="160">
        <v>2917</v>
      </c>
      <c r="D143" s="160">
        <v>1104</v>
      </c>
      <c r="E143" s="160">
        <v>3577</v>
      </c>
      <c r="F143" s="160">
        <v>3157</v>
      </c>
      <c r="G143" s="160">
        <v>3301</v>
      </c>
      <c r="H143" s="160">
        <v>2559</v>
      </c>
      <c r="I143" s="161">
        <f t="shared" si="37"/>
        <v>-0.22478036958497427</v>
      </c>
      <c r="J143" s="160">
        <f t="shared" si="36"/>
        <v>-742</v>
      </c>
      <c r="K143" s="161">
        <f t="shared" si="38"/>
        <v>8.4748232507554156E-4</v>
      </c>
      <c r="L143" s="79"/>
    </row>
    <row r="144" spans="1:12" x14ac:dyDescent="0.25">
      <c r="A144" s="158"/>
      <c r="B144" s="159" t="s">
        <v>128</v>
      </c>
      <c r="C144" s="160">
        <v>4664</v>
      </c>
      <c r="D144" s="160">
        <v>95</v>
      </c>
      <c r="E144" s="160">
        <v>3368</v>
      </c>
      <c r="F144" s="160">
        <v>6826</v>
      </c>
      <c r="G144" s="160">
        <v>5393</v>
      </c>
      <c r="H144" s="160">
        <v>5194</v>
      </c>
      <c r="I144" s="161">
        <f t="shared" si="37"/>
        <v>-3.6899684776562247E-2</v>
      </c>
      <c r="J144" s="160">
        <f t="shared" si="36"/>
        <v>-199</v>
      </c>
      <c r="K144" s="161">
        <f t="shared" si="38"/>
        <v>1.7201341134983831E-3</v>
      </c>
      <c r="L144" s="79"/>
    </row>
    <row r="145" spans="1:12" x14ac:dyDescent="0.25">
      <c r="A145" s="158" t="s">
        <v>144</v>
      </c>
      <c r="B145" s="159" t="s">
        <v>131</v>
      </c>
      <c r="C145" s="160">
        <v>9860</v>
      </c>
      <c r="D145" s="160">
        <v>61</v>
      </c>
      <c r="E145" s="160">
        <v>1650</v>
      </c>
      <c r="F145" s="160">
        <v>4002</v>
      </c>
      <c r="G145" s="160">
        <v>3362</v>
      </c>
      <c r="H145" s="160">
        <v>2656</v>
      </c>
      <c r="I145" s="161">
        <f t="shared" si="37"/>
        <v>-0.20999405116002379</v>
      </c>
      <c r="J145" s="160">
        <f t="shared" si="36"/>
        <v>-706</v>
      </c>
      <c r="K145" s="161">
        <f t="shared" si="38"/>
        <v>8.7960650855827991E-4</v>
      </c>
      <c r="L145" s="79"/>
    </row>
    <row r="146" spans="1:12" x14ac:dyDescent="0.25">
      <c r="A146" s="158" t="s">
        <v>145</v>
      </c>
      <c r="B146" s="164" t="s">
        <v>145</v>
      </c>
      <c r="C146" s="165">
        <f t="shared" ref="C146:H146" si="39">C138-SUM(C139:C145)</f>
        <v>41985</v>
      </c>
      <c r="D146" s="165">
        <f t="shared" si="39"/>
        <v>8478</v>
      </c>
      <c r="E146" s="165">
        <f t="shared" si="39"/>
        <v>41980</v>
      </c>
      <c r="F146" s="165">
        <f t="shared" si="39"/>
        <v>53447</v>
      </c>
      <c r="G146" s="165">
        <f t="shared" si="39"/>
        <v>56857</v>
      </c>
      <c r="H146" s="165">
        <f t="shared" si="39"/>
        <v>52234</v>
      </c>
      <c r="I146" s="166">
        <f t="shared" si="37"/>
        <v>-8.1309249520727489E-2</v>
      </c>
      <c r="J146" s="165">
        <f>H146-G146</f>
        <v>-4623</v>
      </c>
      <c r="K146" s="166">
        <f t="shared" si="38"/>
        <v>1.7298707216879965E-2</v>
      </c>
      <c r="L146" s="79"/>
    </row>
    <row r="147" spans="1:12" s="142" customFormat="1" x14ac:dyDescent="0.25">
      <c r="A147" s="158"/>
      <c r="B147" s="151" t="s">
        <v>53</v>
      </c>
      <c r="C147" s="149"/>
      <c r="D147" s="149"/>
      <c r="E147" s="149"/>
      <c r="F147" s="149"/>
      <c r="G147" s="149"/>
      <c r="H147" s="149"/>
      <c r="I147" s="149"/>
      <c r="J147" s="149"/>
      <c r="K147" s="149"/>
    </row>
    <row r="148" spans="1:12" x14ac:dyDescent="0.25">
      <c r="A148" s="158"/>
      <c r="B148" s="152" t="s">
        <v>68</v>
      </c>
      <c r="C148" s="172">
        <v>62600</v>
      </c>
      <c r="D148" s="172">
        <v>7790</v>
      </c>
      <c r="E148" s="172">
        <v>45434</v>
      </c>
      <c r="F148" s="172">
        <v>79875</v>
      </c>
      <c r="G148" s="172">
        <v>68091</v>
      </c>
      <c r="H148" s="172">
        <v>60447</v>
      </c>
      <c r="I148" s="173">
        <f>IFERROR(H148/G148-1,"-")</f>
        <v>-0.11226153236110503</v>
      </c>
      <c r="J148" s="172">
        <f>H148-G148</f>
        <v>-7644</v>
      </c>
      <c r="K148" s="173">
        <f>H148/H$8</f>
        <v>2.0018665144134917E-2</v>
      </c>
      <c r="L148" s="79"/>
    </row>
    <row r="149" spans="1:12" x14ac:dyDescent="0.25">
      <c r="A149" s="158" t="s">
        <v>96</v>
      </c>
      <c r="B149" s="155" t="s">
        <v>97</v>
      </c>
      <c r="C149" s="156">
        <v>14965</v>
      </c>
      <c r="D149" s="156">
        <v>3646</v>
      </c>
      <c r="E149" s="156">
        <v>14003</v>
      </c>
      <c r="F149" s="156">
        <v>25128</v>
      </c>
      <c r="G149" s="156">
        <v>21216</v>
      </c>
      <c r="H149" s="156">
        <v>16236</v>
      </c>
      <c r="I149" s="157">
        <f>IFERROR(H149/G149-1,"-")</f>
        <v>-0.23472850678733037</v>
      </c>
      <c r="J149" s="156">
        <f t="shared" ref="J149:J159" si="40">H149-G149</f>
        <v>-4980</v>
      </c>
      <c r="K149" s="157">
        <f>H149/H$8</f>
        <v>5.3769921961416538E-3</v>
      </c>
      <c r="L149" s="79"/>
    </row>
    <row r="150" spans="1:12" x14ac:dyDescent="0.25">
      <c r="A150" s="158" t="s">
        <v>103</v>
      </c>
      <c r="B150" s="159" t="s">
        <v>103</v>
      </c>
      <c r="C150" s="160">
        <v>1558</v>
      </c>
      <c r="D150" s="160">
        <v>2871</v>
      </c>
      <c r="E150" s="160">
        <v>10012</v>
      </c>
      <c r="F150" s="160">
        <v>17566</v>
      </c>
      <c r="G150" s="160">
        <v>16396</v>
      </c>
      <c r="H150" s="160">
        <v>10823</v>
      </c>
      <c r="I150" s="161">
        <f>IFERROR(H150/G150-1,"-")</f>
        <v>-0.3398999756038058</v>
      </c>
      <c r="J150" s="160">
        <f t="shared" si="40"/>
        <v>-5573</v>
      </c>
      <c r="K150" s="161">
        <f>H150/H$8</f>
        <v>3.5843302869451293E-3</v>
      </c>
      <c r="L150" s="79"/>
    </row>
    <row r="151" spans="1:12" x14ac:dyDescent="0.25">
      <c r="A151" s="158" t="s">
        <v>100</v>
      </c>
      <c r="B151" s="159" t="s">
        <v>100</v>
      </c>
      <c r="C151" s="160">
        <v>13407</v>
      </c>
      <c r="D151" s="160">
        <v>775</v>
      </c>
      <c r="E151" s="160">
        <v>3991</v>
      </c>
      <c r="F151" s="160">
        <v>7562</v>
      </c>
      <c r="G151" s="160">
        <v>4820</v>
      </c>
      <c r="H151" s="160">
        <v>5413</v>
      </c>
      <c r="I151" s="161">
        <f>IFERROR(H151/G151-1,"-")</f>
        <v>0.12302904564315353</v>
      </c>
      <c r="J151" s="160">
        <f t="shared" si="40"/>
        <v>593</v>
      </c>
      <c r="K151" s="161">
        <f>H151/H$8</f>
        <v>1.7926619091965246E-3</v>
      </c>
      <c r="L151" s="79"/>
    </row>
    <row r="152" spans="1:12" x14ac:dyDescent="0.25">
      <c r="A152" s="158"/>
      <c r="B152" s="155" t="s">
        <v>107</v>
      </c>
      <c r="C152" s="156">
        <v>47635</v>
      </c>
      <c r="D152" s="156">
        <v>4144</v>
      </c>
      <c r="E152" s="156">
        <v>31431</v>
      </c>
      <c r="F152" s="156">
        <v>54747</v>
      </c>
      <c r="G152" s="156">
        <v>46875</v>
      </c>
      <c r="H152" s="156">
        <v>44211</v>
      </c>
      <c r="I152" s="157">
        <f>IFERROR(H152/G152-1,"-")</f>
        <v>-5.6831999999999994E-2</v>
      </c>
      <c r="J152" s="156">
        <f t="shared" si="40"/>
        <v>-2664</v>
      </c>
      <c r="K152" s="157">
        <f>H152/H$8</f>
        <v>1.4641672947993265E-2</v>
      </c>
      <c r="L152" s="79"/>
    </row>
    <row r="153" spans="1:12" s="56" customFormat="1" x14ac:dyDescent="0.25">
      <c r="A153" s="158"/>
      <c r="B153" s="159" t="s">
        <v>110</v>
      </c>
      <c r="C153" s="160">
        <v>11705</v>
      </c>
      <c r="D153" s="160">
        <v>138</v>
      </c>
      <c r="E153" s="160">
        <v>10023</v>
      </c>
      <c r="F153" s="160">
        <v>20541</v>
      </c>
      <c r="G153" s="160">
        <v>15095</v>
      </c>
      <c r="H153" s="160">
        <v>5691</v>
      </c>
      <c r="I153" s="161">
        <f t="shared" ref="I153:I160" si="41">IFERROR(H153/G153-1,"-")</f>
        <v>-0.62298774428618753</v>
      </c>
      <c r="J153" s="160">
        <f t="shared" si="40"/>
        <v>-9404</v>
      </c>
      <c r="K153" s="161">
        <f t="shared" ref="K153:K160" si="42">H153/H$8</f>
        <v>1.8847291567037541E-3</v>
      </c>
      <c r="L153" s="162"/>
    </row>
    <row r="154" spans="1:12" s="56" customFormat="1" x14ac:dyDescent="0.25">
      <c r="A154" s="158"/>
      <c r="B154" s="159" t="s">
        <v>113</v>
      </c>
      <c r="C154" s="160">
        <v>17869</v>
      </c>
      <c r="D154" s="160">
        <v>1893</v>
      </c>
      <c r="E154" s="160">
        <v>10354</v>
      </c>
      <c r="F154" s="160">
        <v>13068</v>
      </c>
      <c r="G154" s="160">
        <v>12467</v>
      </c>
      <c r="H154" s="160">
        <v>12678</v>
      </c>
      <c r="I154" s="161">
        <f t="shared" si="41"/>
        <v>1.6924681158257737E-2</v>
      </c>
      <c r="J154" s="160">
        <f t="shared" si="40"/>
        <v>211</v>
      </c>
      <c r="K154" s="161">
        <f t="shared" si="42"/>
        <v>4.1986638989088372E-3</v>
      </c>
      <c r="L154" s="162"/>
    </row>
    <row r="155" spans="1:12" x14ac:dyDescent="0.25">
      <c r="A155" s="158"/>
      <c r="B155" s="159" t="s">
        <v>116</v>
      </c>
      <c r="C155" s="160">
        <v>5355</v>
      </c>
      <c r="D155" s="160">
        <v>804</v>
      </c>
      <c r="E155" s="160">
        <v>2357</v>
      </c>
      <c r="F155" s="160">
        <v>6715</v>
      </c>
      <c r="G155" s="160">
        <v>3883</v>
      </c>
      <c r="H155" s="160">
        <v>10673</v>
      </c>
      <c r="I155" s="161">
        <f t="shared" si="41"/>
        <v>1.7486479526139584</v>
      </c>
      <c r="J155" s="160">
        <f t="shared" si="40"/>
        <v>6790</v>
      </c>
      <c r="K155" s="161">
        <f t="shared" si="42"/>
        <v>3.5346537145491421E-3</v>
      </c>
      <c r="L155" s="79"/>
    </row>
    <row r="156" spans="1:12" x14ac:dyDescent="0.25">
      <c r="A156" s="158"/>
      <c r="B156" s="159" t="s">
        <v>123</v>
      </c>
      <c r="C156" s="160">
        <v>729</v>
      </c>
      <c r="D156" s="160">
        <v>47</v>
      </c>
      <c r="E156" s="160">
        <v>495</v>
      </c>
      <c r="F156" s="160">
        <v>1313</v>
      </c>
      <c r="G156" s="160">
        <v>1427</v>
      </c>
      <c r="H156" s="160">
        <v>1551</v>
      </c>
      <c r="I156" s="161">
        <f t="shared" si="41"/>
        <v>8.6895585143657916E-2</v>
      </c>
      <c r="J156" s="160">
        <f t="shared" si="40"/>
        <v>124</v>
      </c>
      <c r="K156" s="161">
        <f t="shared" si="42"/>
        <v>5.1365575857450759E-4</v>
      </c>
      <c r="L156" s="79"/>
    </row>
    <row r="157" spans="1:12" x14ac:dyDescent="0.25">
      <c r="A157" s="158"/>
      <c r="B157" s="159" t="s">
        <v>119</v>
      </c>
      <c r="C157" s="160">
        <v>2441</v>
      </c>
      <c r="D157" s="160">
        <v>81</v>
      </c>
      <c r="E157" s="160">
        <v>2129</v>
      </c>
      <c r="F157" s="160">
        <v>2859</v>
      </c>
      <c r="G157" s="160">
        <v>1767</v>
      </c>
      <c r="H157" s="160">
        <v>2198</v>
      </c>
      <c r="I157" s="161">
        <f t="shared" si="41"/>
        <v>0.24391624221844932</v>
      </c>
      <c r="J157" s="160">
        <f t="shared" si="40"/>
        <v>431</v>
      </c>
      <c r="K157" s="161">
        <f t="shared" si="42"/>
        <v>7.2792737417586571E-4</v>
      </c>
      <c r="L157" s="79"/>
    </row>
    <row r="158" spans="1:12" x14ac:dyDescent="0.25">
      <c r="A158" s="158"/>
      <c r="B158" s="159" t="s">
        <v>128</v>
      </c>
      <c r="C158" s="160">
        <v>1381</v>
      </c>
      <c r="D158" s="160">
        <v>14</v>
      </c>
      <c r="E158" s="160">
        <v>464</v>
      </c>
      <c r="F158" s="160">
        <v>765</v>
      </c>
      <c r="G158" s="160">
        <v>1130</v>
      </c>
      <c r="H158" s="160">
        <v>510</v>
      </c>
      <c r="I158" s="161">
        <f t="shared" si="41"/>
        <v>-0.54867256637168138</v>
      </c>
      <c r="J158" s="160">
        <f t="shared" si="40"/>
        <v>-620</v>
      </c>
      <c r="K158" s="161">
        <f t="shared" si="42"/>
        <v>1.6890034614635646E-4</v>
      </c>
      <c r="L158" s="79"/>
    </row>
    <row r="159" spans="1:12" x14ac:dyDescent="0.25">
      <c r="A159" s="158" t="s">
        <v>144</v>
      </c>
      <c r="B159" s="159" t="s">
        <v>131</v>
      </c>
      <c r="C159" s="160">
        <v>1139</v>
      </c>
      <c r="D159" s="160">
        <v>20</v>
      </c>
      <c r="E159" s="160">
        <v>840</v>
      </c>
      <c r="F159" s="160">
        <v>1408</v>
      </c>
      <c r="G159" s="160">
        <v>1483</v>
      </c>
      <c r="H159" s="160">
        <v>1046</v>
      </c>
      <c r="I159" s="161">
        <f t="shared" si="41"/>
        <v>-0.29467296021577882</v>
      </c>
      <c r="J159" s="160">
        <f t="shared" si="40"/>
        <v>-437</v>
      </c>
      <c r="K159" s="161">
        <f t="shared" si="42"/>
        <v>3.4641129817468403E-4</v>
      </c>
      <c r="L159" s="79"/>
    </row>
    <row r="160" spans="1:12" x14ac:dyDescent="0.25">
      <c r="A160" s="158" t="s">
        <v>145</v>
      </c>
      <c r="B160" s="164" t="s">
        <v>145</v>
      </c>
      <c r="C160" s="165">
        <f t="shared" ref="C160:H160" si="43">C152-SUM(C153:C159)</f>
        <v>7016</v>
      </c>
      <c r="D160" s="165">
        <f t="shared" si="43"/>
        <v>1147</v>
      </c>
      <c r="E160" s="165">
        <f t="shared" si="43"/>
        <v>4769</v>
      </c>
      <c r="F160" s="165">
        <f t="shared" si="43"/>
        <v>8078</v>
      </c>
      <c r="G160" s="165">
        <f t="shared" si="43"/>
        <v>9623</v>
      </c>
      <c r="H160" s="165">
        <f t="shared" si="43"/>
        <v>9864</v>
      </c>
      <c r="I160" s="166">
        <f t="shared" si="41"/>
        <v>2.5044165021303133E-2</v>
      </c>
      <c r="J160" s="165">
        <f>H160-G160</f>
        <v>241</v>
      </c>
      <c r="K160" s="166">
        <f t="shared" si="42"/>
        <v>3.2667314007601179E-3</v>
      </c>
      <c r="L160" s="79"/>
    </row>
    <row r="161" spans="1:14" ht="6" customHeight="1" x14ac:dyDescent="0.25">
      <c r="A161" s="158"/>
      <c r="B161" s="167"/>
      <c r="C161" s="167"/>
      <c r="D161" s="167"/>
      <c r="E161" s="167"/>
      <c r="F161" s="167"/>
      <c r="G161" s="167"/>
      <c r="H161" s="167"/>
      <c r="I161" s="167"/>
      <c r="J161" s="167"/>
      <c r="K161" s="167"/>
      <c r="L161" s="167"/>
      <c r="M161" s="167"/>
      <c r="N161" s="167"/>
    </row>
    <row r="162" spans="1:14" x14ac:dyDescent="0.25">
      <c r="B162" s="105" t="s">
        <v>55</v>
      </c>
      <c r="C162" s="105"/>
      <c r="D162" s="105"/>
      <c r="E162" s="105"/>
      <c r="F162" s="105"/>
      <c r="G162" s="105"/>
      <c r="H162" s="105"/>
      <c r="I162" s="105"/>
      <c r="J162" s="105"/>
      <c r="K162" s="105"/>
      <c r="L162" s="105"/>
      <c r="M162" s="105"/>
      <c r="N162" s="105"/>
    </row>
  </sheetData>
  <mergeCells count="1">
    <mergeCell ref="B4:K4"/>
  </mergeCells>
  <pageMargins left="0.25" right="0.25" top="0.75" bottom="0.75" header="0.3" footer="0.3"/>
  <pageSetup paperSize="9" scale="20" orientation="landscape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1835F3-2000-478F-A3A1-F3DF6C87A7CE}">
  <sheetPr codeName="Hoja28">
    <tabColor rgb="FFF29140"/>
    <pageSetUpPr fitToPage="1"/>
  </sheetPr>
  <dimension ref="A1:P162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</cols>
  <sheetData>
    <row r="1" spans="1:14" ht="42.75" customHeight="1" x14ac:dyDescent="0.25"/>
    <row r="4" spans="1:14" ht="42" customHeight="1" thickBot="1" x14ac:dyDescent="0.3">
      <c r="B4" s="265" t="str">
        <f>CONCATENATE("Pernoctaciones en los establecimientos alojativos de Tenerife según lugar de residencia y municipio de alojamiento (hotel + apartamento)")</f>
        <v>Pernoctaciones en los establecimientos alojativos de Tenerife según lugar de residencia y municipio de alojamiento (hotel + apartamento)</v>
      </c>
      <c r="C4" s="265"/>
      <c r="D4" s="265"/>
      <c r="E4" s="265"/>
      <c r="F4" s="265"/>
      <c r="G4" s="265"/>
      <c r="H4" s="265"/>
      <c r="I4" s="265"/>
      <c r="J4" s="265"/>
      <c r="K4" s="265"/>
      <c r="L4" s="265"/>
      <c r="M4" s="265"/>
    </row>
    <row r="5" spans="1:14" ht="6" customHeight="1" x14ac:dyDescent="0.25"/>
    <row r="6" spans="1:14" s="142" customFormat="1" ht="72" customHeight="1" x14ac:dyDescent="0.25">
      <c r="B6" s="143"/>
      <c r="C6" s="181">
        <v>2019</v>
      </c>
      <c r="D6" s="181">
        <v>2020</v>
      </c>
      <c r="E6" s="181">
        <v>2021</v>
      </c>
      <c r="F6" s="181">
        <v>2022</v>
      </c>
      <c r="G6" s="181">
        <v>2023</v>
      </c>
      <c r="H6" s="181">
        <v>2024</v>
      </c>
      <c r="I6" s="169" t="str">
        <f>CONCATENATE("var. ",RIGHT(H6,2),"/",RIGHT(G6,2))</f>
        <v>var. 24/23</v>
      </c>
      <c r="J6" s="169" t="str">
        <f>CONCATENATE("var. ",RIGHT(H6,2),"/",RIGHT(E6,2))</f>
        <v>var. 24/21</v>
      </c>
      <c r="K6" s="168" t="str">
        <f>CONCATENATE("dif. ",RIGHT(H6,2),"/",RIGHT(G6,2))</f>
        <v>dif. 24/23</v>
      </c>
      <c r="L6" s="168" t="str">
        <f>CONCATENATE("dif. ",RIGHT(H6,2),"/",RIGHT(E6,2))</f>
        <v>dif. 24/21</v>
      </c>
      <c r="M6" s="169" t="str">
        <f>CONCATENATE("Cuota s/ total lugares de residencia ",RIGHT(H6,4))</f>
        <v>Cuota s/ total lugares de residencia 2024</v>
      </c>
    </row>
    <row r="7" spans="1:14" s="142" customFormat="1" x14ac:dyDescent="0.25">
      <c r="B7" s="148" t="s">
        <v>43</v>
      </c>
      <c r="C7" s="149"/>
      <c r="D7" s="149"/>
      <c r="E7" s="149"/>
      <c r="F7" s="149"/>
      <c r="G7" s="149"/>
      <c r="H7" s="149"/>
      <c r="I7" s="149"/>
      <c r="J7" s="149"/>
      <c r="K7" s="149"/>
      <c r="L7" s="149"/>
      <c r="M7" s="149"/>
    </row>
    <row r="8" spans="1:14" x14ac:dyDescent="0.25">
      <c r="A8" s="1">
        <v>3</v>
      </c>
      <c r="B8" s="152" t="s">
        <v>68</v>
      </c>
      <c r="C8" s="172">
        <v>34034766</v>
      </c>
      <c r="D8" s="172">
        <v>10243785</v>
      </c>
      <c r="E8" s="172">
        <v>13903380</v>
      </c>
      <c r="F8" s="172">
        <v>31405937</v>
      </c>
      <c r="G8" s="172">
        <v>34509923</v>
      </c>
      <c r="H8" s="172">
        <v>36076748</v>
      </c>
      <c r="I8" s="173">
        <f>IFERROR(H8/G8-1,"-")</f>
        <v>4.540215867766495E-2</v>
      </c>
      <c r="J8" s="173">
        <f>IFERROR(H8/E8-1,"-")</f>
        <v>1.5948185261425638</v>
      </c>
      <c r="K8" s="172">
        <f>H8-G8</f>
        <v>1566825</v>
      </c>
      <c r="L8" s="172">
        <f>H8-E8</f>
        <v>22173368</v>
      </c>
      <c r="M8" s="173">
        <f>H8/H$8</f>
        <v>1</v>
      </c>
      <c r="N8" s="79"/>
    </row>
    <row r="9" spans="1:14" x14ac:dyDescent="0.25">
      <c r="A9" s="1" t="s">
        <v>96</v>
      </c>
      <c r="B9" s="155" t="s">
        <v>97</v>
      </c>
      <c r="C9" s="156">
        <v>4613933</v>
      </c>
      <c r="D9" s="156">
        <v>1666329</v>
      </c>
      <c r="E9" s="156">
        <v>2851484</v>
      </c>
      <c r="F9" s="156">
        <v>4154268</v>
      </c>
      <c r="G9" s="156">
        <v>4256196</v>
      </c>
      <c r="H9" s="156">
        <v>4222474</v>
      </c>
      <c r="I9" s="157">
        <f>IFERROR(H9/G9-1,"-")</f>
        <v>-7.9230373789177522E-3</v>
      </c>
      <c r="J9" s="174">
        <f t="shared" ref="J9:J20" si="0">IFERROR(H9/E9-1,"-")</f>
        <v>0.48079877004394911</v>
      </c>
      <c r="K9" s="156">
        <f t="shared" ref="K9:K19" si="1">H9-G9</f>
        <v>-33722</v>
      </c>
      <c r="L9" s="156">
        <f t="shared" ref="L9:L20" si="2">H9-E9</f>
        <v>1370990</v>
      </c>
      <c r="M9" s="157">
        <f>H9/H$8</f>
        <v>0.11704142513066865</v>
      </c>
      <c r="N9" s="79"/>
    </row>
    <row r="10" spans="1:14" x14ac:dyDescent="0.25">
      <c r="A10" s="158" t="s">
        <v>103</v>
      </c>
      <c r="B10" s="159" t="s">
        <v>103</v>
      </c>
      <c r="C10" s="160">
        <v>1301233</v>
      </c>
      <c r="D10" s="160">
        <v>564792</v>
      </c>
      <c r="E10" s="160">
        <v>1116779</v>
      </c>
      <c r="F10" s="160">
        <v>1214668</v>
      </c>
      <c r="G10" s="160">
        <v>1317693</v>
      </c>
      <c r="H10" s="160">
        <v>1326202</v>
      </c>
      <c r="I10" s="161">
        <f>IFERROR(H10/G10-1,"-")</f>
        <v>6.4574980666969317E-3</v>
      </c>
      <c r="J10" s="175">
        <f t="shared" si="0"/>
        <v>0.18752412070785707</v>
      </c>
      <c r="K10" s="160">
        <f t="shared" si="1"/>
        <v>8509</v>
      </c>
      <c r="L10" s="160">
        <f t="shared" si="2"/>
        <v>209423</v>
      </c>
      <c r="M10" s="161">
        <f>H10/H$8</f>
        <v>3.676057498308883E-2</v>
      </c>
      <c r="N10" s="79"/>
    </row>
    <row r="11" spans="1:14" x14ac:dyDescent="0.25">
      <c r="A11" s="158" t="s">
        <v>100</v>
      </c>
      <c r="B11" s="159" t="s">
        <v>100</v>
      </c>
      <c r="C11" s="160">
        <v>3312700</v>
      </c>
      <c r="D11" s="160">
        <v>1101537</v>
      </c>
      <c r="E11" s="160">
        <v>1734705</v>
      </c>
      <c r="F11" s="160">
        <v>2939600</v>
      </c>
      <c r="G11" s="160">
        <v>2938503</v>
      </c>
      <c r="H11" s="160">
        <v>2896272</v>
      </c>
      <c r="I11" s="161">
        <f>IFERROR(H11/G11-1,"-")</f>
        <v>-1.4371603500149543E-2</v>
      </c>
      <c r="J11" s="175">
        <f t="shared" si="0"/>
        <v>0.66960491841552305</v>
      </c>
      <c r="K11" s="160">
        <f t="shared" si="1"/>
        <v>-42231</v>
      </c>
      <c r="L11" s="160">
        <f t="shared" si="2"/>
        <v>1161567</v>
      </c>
      <c r="M11" s="161">
        <f>H11/H$8</f>
        <v>8.0280850147579824E-2</v>
      </c>
      <c r="N11" s="79"/>
    </row>
    <row r="12" spans="1:14" x14ac:dyDescent="0.25">
      <c r="A12" s="1"/>
      <c r="B12" s="155" t="s">
        <v>107</v>
      </c>
      <c r="C12" s="156">
        <v>29420833</v>
      </c>
      <c r="D12" s="156">
        <v>8577456</v>
      </c>
      <c r="E12" s="156">
        <v>11051896</v>
      </c>
      <c r="F12" s="156">
        <v>27251669</v>
      </c>
      <c r="G12" s="156">
        <v>30253727</v>
      </c>
      <c r="H12" s="156">
        <v>31854274</v>
      </c>
      <c r="I12" s="157">
        <f>IFERROR(H12/G12-1,"-")</f>
        <v>5.2904126489936365E-2</v>
      </c>
      <c r="J12" s="174">
        <f t="shared" si="0"/>
        <v>1.8822451821841248</v>
      </c>
      <c r="K12" s="156">
        <f t="shared" si="1"/>
        <v>1600547</v>
      </c>
      <c r="L12" s="156">
        <f t="shared" si="2"/>
        <v>20802378</v>
      </c>
      <c r="M12" s="157">
        <f>H12/H$8</f>
        <v>0.88295857486933138</v>
      </c>
      <c r="N12" s="79"/>
    </row>
    <row r="13" spans="1:14" s="56" customFormat="1" x14ac:dyDescent="0.25">
      <c r="B13" s="159" t="s">
        <v>110</v>
      </c>
      <c r="C13" s="160">
        <v>13160030</v>
      </c>
      <c r="D13" s="160">
        <v>3390819</v>
      </c>
      <c r="E13" s="160">
        <v>3350798</v>
      </c>
      <c r="F13" s="160">
        <v>12657617</v>
      </c>
      <c r="G13" s="160">
        <v>13883101</v>
      </c>
      <c r="H13" s="160">
        <v>14673664</v>
      </c>
      <c r="I13" s="161">
        <f t="shared" ref="I13:I20" si="3">IFERROR(H13/G13-1,"-")</f>
        <v>5.6944266270194221E-2</v>
      </c>
      <c r="J13" s="175">
        <f t="shared" si="0"/>
        <v>3.3791550550048077</v>
      </c>
      <c r="K13" s="160">
        <f t="shared" si="1"/>
        <v>790563</v>
      </c>
      <c r="L13" s="160">
        <f t="shared" si="2"/>
        <v>11322866</v>
      </c>
      <c r="M13" s="161">
        <f t="shared" ref="M13:M20" si="4">H13/H$8</f>
        <v>0.40673466466545155</v>
      </c>
      <c r="N13" s="162"/>
    </row>
    <row r="14" spans="1:14" s="56" customFormat="1" x14ac:dyDescent="0.25">
      <c r="B14" s="159" t="s">
        <v>113</v>
      </c>
      <c r="C14" s="160">
        <v>4424103</v>
      </c>
      <c r="D14" s="160">
        <v>1278654</v>
      </c>
      <c r="E14" s="160">
        <v>1806937</v>
      </c>
      <c r="F14" s="160">
        <v>3169256</v>
      </c>
      <c r="G14" s="160">
        <v>3598054</v>
      </c>
      <c r="H14" s="160">
        <v>3756774</v>
      </c>
      <c r="I14" s="161">
        <f t="shared" si="3"/>
        <v>4.4112734272470533E-2</v>
      </c>
      <c r="J14" s="175">
        <f t="shared" si="0"/>
        <v>1.0790841075256083</v>
      </c>
      <c r="K14" s="160">
        <f t="shared" si="1"/>
        <v>158720</v>
      </c>
      <c r="L14" s="160">
        <f t="shared" si="2"/>
        <v>1949837</v>
      </c>
      <c r="M14" s="161">
        <f t="shared" si="4"/>
        <v>0.10413283370219512</v>
      </c>
      <c r="N14" s="162"/>
    </row>
    <row r="15" spans="1:14" x14ac:dyDescent="0.25">
      <c r="A15" s="1"/>
      <c r="B15" s="159" t="s">
        <v>116</v>
      </c>
      <c r="C15" s="160">
        <v>1180822</v>
      </c>
      <c r="D15" s="160">
        <v>395218</v>
      </c>
      <c r="E15" s="160">
        <v>815902</v>
      </c>
      <c r="F15" s="160">
        <v>1288352</v>
      </c>
      <c r="G15" s="160">
        <v>1520450</v>
      </c>
      <c r="H15" s="160">
        <v>1590542</v>
      </c>
      <c r="I15" s="161">
        <f t="shared" si="3"/>
        <v>4.6099510013482892E-2</v>
      </c>
      <c r="J15" s="175">
        <f t="shared" si="0"/>
        <v>0.94942774990133616</v>
      </c>
      <c r="K15" s="160">
        <f t="shared" si="1"/>
        <v>70092</v>
      </c>
      <c r="L15" s="160">
        <f t="shared" si="2"/>
        <v>774640</v>
      </c>
      <c r="M15" s="161">
        <f t="shared" si="4"/>
        <v>4.408773207607293E-2</v>
      </c>
      <c r="N15" s="79"/>
    </row>
    <row r="16" spans="1:14" x14ac:dyDescent="0.25">
      <c r="A16" s="1"/>
      <c r="B16" s="159" t="s">
        <v>123</v>
      </c>
      <c r="C16" s="160">
        <v>1116998</v>
      </c>
      <c r="D16" s="160">
        <v>302698</v>
      </c>
      <c r="E16" s="160">
        <v>691981</v>
      </c>
      <c r="F16" s="160">
        <v>1287744</v>
      </c>
      <c r="G16" s="160">
        <v>1318357</v>
      </c>
      <c r="H16" s="160">
        <v>1375692</v>
      </c>
      <c r="I16" s="161">
        <f t="shared" si="3"/>
        <v>4.3489737605216128E-2</v>
      </c>
      <c r="J16" s="175">
        <f t="shared" si="0"/>
        <v>0.98804880480822455</v>
      </c>
      <c r="K16" s="160">
        <f t="shared" si="1"/>
        <v>57335</v>
      </c>
      <c r="L16" s="160">
        <f t="shared" si="2"/>
        <v>683711</v>
      </c>
      <c r="M16" s="161">
        <f t="shared" si="4"/>
        <v>3.8132372685032473E-2</v>
      </c>
      <c r="N16" s="79"/>
    </row>
    <row r="17" spans="1:14" x14ac:dyDescent="0.25">
      <c r="A17" s="1"/>
      <c r="B17" s="159" t="s">
        <v>119</v>
      </c>
      <c r="C17" s="160">
        <v>1084813</v>
      </c>
      <c r="D17" s="160">
        <v>443857</v>
      </c>
      <c r="E17" s="160">
        <v>726467</v>
      </c>
      <c r="F17" s="160">
        <v>1124652</v>
      </c>
      <c r="G17" s="160">
        <v>1172687</v>
      </c>
      <c r="H17" s="160">
        <v>1202962</v>
      </c>
      <c r="I17" s="161">
        <f t="shared" si="3"/>
        <v>2.5816778049044586E-2</v>
      </c>
      <c r="J17" s="175">
        <f t="shared" si="0"/>
        <v>0.65590728828701095</v>
      </c>
      <c r="K17" s="160">
        <f t="shared" si="1"/>
        <v>30275</v>
      </c>
      <c r="L17" s="160">
        <f t="shared" si="2"/>
        <v>476495</v>
      </c>
      <c r="M17" s="161">
        <f t="shared" si="4"/>
        <v>3.3344524290271398E-2</v>
      </c>
      <c r="N17" s="79"/>
    </row>
    <row r="18" spans="1:14" x14ac:dyDescent="0.25">
      <c r="A18" s="1"/>
      <c r="B18" s="159" t="s">
        <v>128</v>
      </c>
      <c r="C18" s="160">
        <v>594834</v>
      </c>
      <c r="D18" s="160">
        <v>241432</v>
      </c>
      <c r="E18" s="160">
        <v>191434</v>
      </c>
      <c r="F18" s="160">
        <v>491173</v>
      </c>
      <c r="G18" s="160">
        <v>523681</v>
      </c>
      <c r="H18" s="160">
        <v>511763</v>
      </c>
      <c r="I18" s="161">
        <f t="shared" si="3"/>
        <v>-2.2758129471949551E-2</v>
      </c>
      <c r="J18" s="175">
        <f t="shared" si="0"/>
        <v>1.6733129956016173</v>
      </c>
      <c r="K18" s="160">
        <f t="shared" si="1"/>
        <v>-11918</v>
      </c>
      <c r="L18" s="160">
        <f t="shared" si="2"/>
        <v>320329</v>
      </c>
      <c r="M18" s="161">
        <f t="shared" si="4"/>
        <v>1.4185397198217533E-2</v>
      </c>
      <c r="N18" s="79"/>
    </row>
    <row r="19" spans="1:14" x14ac:dyDescent="0.25">
      <c r="A19" s="158" t="s">
        <v>144</v>
      </c>
      <c r="B19" s="159" t="s">
        <v>131</v>
      </c>
      <c r="C19" s="160">
        <v>847396</v>
      </c>
      <c r="D19" s="160">
        <v>356220</v>
      </c>
      <c r="E19" s="160">
        <v>171613</v>
      </c>
      <c r="F19" s="160">
        <v>432862</v>
      </c>
      <c r="G19" s="160">
        <v>543249</v>
      </c>
      <c r="H19" s="160">
        <v>528059</v>
      </c>
      <c r="I19" s="161">
        <f t="shared" si="3"/>
        <v>-2.796139523496588E-2</v>
      </c>
      <c r="J19" s="175">
        <f t="shared" si="0"/>
        <v>2.0770337911463583</v>
      </c>
      <c r="K19" s="160">
        <f t="shared" si="1"/>
        <v>-15190</v>
      </c>
      <c r="L19" s="160">
        <f t="shared" si="2"/>
        <v>356446</v>
      </c>
      <c r="M19" s="161">
        <f t="shared" si="4"/>
        <v>1.463710088281793E-2</v>
      </c>
      <c r="N19" s="79"/>
    </row>
    <row r="20" spans="1:14" x14ac:dyDescent="0.25">
      <c r="A20" s="163" t="s">
        <v>145</v>
      </c>
      <c r="B20" s="164" t="s">
        <v>145</v>
      </c>
      <c r="C20" s="165">
        <f t="shared" ref="C20" si="5">C12-SUM(C13:C19)</f>
        <v>7011837</v>
      </c>
      <c r="D20" s="165">
        <f t="shared" ref="D20:H20" si="6">D12-SUM(D13:D19)</f>
        <v>2168558</v>
      </c>
      <c r="E20" s="165">
        <f t="shared" si="6"/>
        <v>3296764</v>
      </c>
      <c r="F20" s="165">
        <f t="shared" si="6"/>
        <v>6800013</v>
      </c>
      <c r="G20" s="165">
        <f t="shared" si="6"/>
        <v>7694148</v>
      </c>
      <c r="H20" s="165">
        <f t="shared" si="6"/>
        <v>8214818</v>
      </c>
      <c r="I20" s="166">
        <f t="shared" si="3"/>
        <v>6.7670910411393281E-2</v>
      </c>
      <c r="J20" s="176">
        <f t="shared" si="0"/>
        <v>1.4917822446496021</v>
      </c>
      <c r="K20" s="165">
        <f>H20-G20</f>
        <v>520670</v>
      </c>
      <c r="L20" s="165">
        <f t="shared" si="2"/>
        <v>4918054</v>
      </c>
      <c r="M20" s="166">
        <f t="shared" si="4"/>
        <v>0.22770394936927241</v>
      </c>
      <c r="N20" s="79"/>
    </row>
    <row r="21" spans="1:14" s="142" customFormat="1" x14ac:dyDescent="0.25">
      <c r="B21" s="151" t="s">
        <v>44</v>
      </c>
      <c r="C21" s="149"/>
      <c r="D21" s="149"/>
      <c r="E21" s="149"/>
      <c r="F21" s="149"/>
      <c r="G21" s="149"/>
      <c r="H21" s="149"/>
      <c r="I21" s="149"/>
      <c r="J21" s="149"/>
      <c r="K21" s="149"/>
      <c r="L21" s="149"/>
      <c r="M21" s="149"/>
    </row>
    <row r="22" spans="1:14" x14ac:dyDescent="0.25">
      <c r="A22" s="1">
        <v>3</v>
      </c>
      <c r="B22" s="152" t="s">
        <v>68</v>
      </c>
      <c r="C22" s="172">
        <v>13105945</v>
      </c>
      <c r="D22" s="172">
        <v>3913809</v>
      </c>
      <c r="E22" s="172">
        <v>5763674</v>
      </c>
      <c r="F22" s="172">
        <v>12632387</v>
      </c>
      <c r="G22" s="172">
        <v>13590517</v>
      </c>
      <c r="H22" s="172">
        <v>13839613</v>
      </c>
      <c r="I22" s="173">
        <f>IFERROR(H22/G22-1,"-")</f>
        <v>1.8328662551983843E-2</v>
      </c>
      <c r="J22" s="173">
        <f>IFERROR(H22/E22-1,"-")</f>
        <v>1.4011790049194315</v>
      </c>
      <c r="K22" s="172">
        <f>H22-G22</f>
        <v>249096</v>
      </c>
      <c r="L22" s="172">
        <f>H22-E22</f>
        <v>8075939</v>
      </c>
      <c r="M22" s="173">
        <f>H22/H$8</f>
        <v>0.38361586803777326</v>
      </c>
      <c r="N22" s="79"/>
    </row>
    <row r="23" spans="1:14" x14ac:dyDescent="0.25">
      <c r="A23" s="1" t="s">
        <v>96</v>
      </c>
      <c r="B23" s="155" t="s">
        <v>97</v>
      </c>
      <c r="C23" s="156">
        <v>1013579</v>
      </c>
      <c r="D23" s="156">
        <v>419753</v>
      </c>
      <c r="E23" s="156">
        <v>926094</v>
      </c>
      <c r="F23" s="156">
        <v>924124</v>
      </c>
      <c r="G23" s="156">
        <v>817242</v>
      </c>
      <c r="H23" s="156">
        <v>742610</v>
      </c>
      <c r="I23" s="157">
        <f>IFERROR(H23/G23-1,"-")</f>
        <v>-9.132178718176498E-2</v>
      </c>
      <c r="J23" s="174">
        <f t="shared" ref="J23:J34" si="7">IFERROR(H23/E23-1,"-")</f>
        <v>-0.19812675603124519</v>
      </c>
      <c r="K23" s="156">
        <f t="shared" ref="K23:K33" si="8">H23-G23</f>
        <v>-74632</v>
      </c>
      <c r="L23" s="156">
        <f t="shared" ref="L23:L34" si="9">H23-E23</f>
        <v>-183484</v>
      </c>
      <c r="M23" s="157">
        <f>H23/H$8</f>
        <v>2.0584172387156402E-2</v>
      </c>
      <c r="N23" s="79"/>
    </row>
    <row r="24" spans="1:14" x14ac:dyDescent="0.25">
      <c r="A24" s="158" t="s">
        <v>103</v>
      </c>
      <c r="B24" s="159" t="s">
        <v>103</v>
      </c>
      <c r="C24" s="160">
        <v>409352</v>
      </c>
      <c r="D24" s="160">
        <v>197437</v>
      </c>
      <c r="E24" s="160">
        <v>341894</v>
      </c>
      <c r="F24" s="160">
        <v>286571</v>
      </c>
      <c r="G24" s="160">
        <v>256506</v>
      </c>
      <c r="H24" s="160">
        <v>219209</v>
      </c>
      <c r="I24" s="161">
        <f>IFERROR(H24/G24-1,"-")</f>
        <v>-0.14540400614410576</v>
      </c>
      <c r="J24" s="175">
        <f t="shared" si="7"/>
        <v>-0.35883928937038967</v>
      </c>
      <c r="K24" s="160">
        <f t="shared" si="8"/>
        <v>-37297</v>
      </c>
      <c r="L24" s="160">
        <f t="shared" si="9"/>
        <v>-122685</v>
      </c>
      <c r="M24" s="161">
        <f>H24/H$8</f>
        <v>6.0761851373078305E-3</v>
      </c>
      <c r="N24" s="79"/>
    </row>
    <row r="25" spans="1:14" x14ac:dyDescent="0.25">
      <c r="A25" s="158" t="s">
        <v>100</v>
      </c>
      <c r="B25" s="159" t="s">
        <v>100</v>
      </c>
      <c r="C25" s="160">
        <v>604227</v>
      </c>
      <c r="D25" s="160">
        <v>222316</v>
      </c>
      <c r="E25" s="160">
        <v>584200</v>
      </c>
      <c r="F25" s="160">
        <v>637553</v>
      </c>
      <c r="G25" s="160">
        <v>560736</v>
      </c>
      <c r="H25" s="160">
        <v>523401</v>
      </c>
      <c r="I25" s="161">
        <f>IFERROR(H25/G25-1,"-")</f>
        <v>-6.6582134908406143E-2</v>
      </c>
      <c r="J25" s="175">
        <f t="shared" si="7"/>
        <v>-0.10407223553577538</v>
      </c>
      <c r="K25" s="160">
        <f t="shared" si="8"/>
        <v>-37335</v>
      </c>
      <c r="L25" s="160">
        <f t="shared" si="9"/>
        <v>-60799</v>
      </c>
      <c r="M25" s="161">
        <f>H25/H$8</f>
        <v>1.4507987249848572E-2</v>
      </c>
      <c r="N25" s="79"/>
    </row>
    <row r="26" spans="1:14" x14ac:dyDescent="0.25">
      <c r="A26" s="1"/>
      <c r="B26" s="155" t="s">
        <v>107</v>
      </c>
      <c r="C26" s="156">
        <v>12092366</v>
      </c>
      <c r="D26" s="156">
        <v>3494056</v>
      </c>
      <c r="E26" s="156">
        <v>4837580</v>
      </c>
      <c r="F26" s="156">
        <v>11708263</v>
      </c>
      <c r="G26" s="156">
        <v>12773275</v>
      </c>
      <c r="H26" s="156">
        <v>13097003</v>
      </c>
      <c r="I26" s="157">
        <f>IFERROR(H26/G26-1,"-")</f>
        <v>2.5344165846268973E-2</v>
      </c>
      <c r="J26" s="174">
        <f t="shared" si="7"/>
        <v>1.7073460283860937</v>
      </c>
      <c r="K26" s="156">
        <f t="shared" si="8"/>
        <v>323728</v>
      </c>
      <c r="L26" s="156">
        <f t="shared" si="9"/>
        <v>8259423</v>
      </c>
      <c r="M26" s="157">
        <f>H26/H$8</f>
        <v>0.36303169565061683</v>
      </c>
      <c r="N26" s="79"/>
    </row>
    <row r="27" spans="1:14" s="56" customFormat="1" x14ac:dyDescent="0.25">
      <c r="B27" s="159" t="s">
        <v>110</v>
      </c>
      <c r="C27" s="160">
        <v>5650065</v>
      </c>
      <c r="D27" s="160">
        <v>1483938</v>
      </c>
      <c r="E27" s="160">
        <v>1575483</v>
      </c>
      <c r="F27" s="160">
        <v>5839663</v>
      </c>
      <c r="G27" s="160">
        <v>6456134</v>
      </c>
      <c r="H27" s="160">
        <v>6689570</v>
      </c>
      <c r="I27" s="161">
        <f t="shared" ref="I27:I34" si="10">IFERROR(H27/G27-1,"-")</f>
        <v>3.6157242089460917E-2</v>
      </c>
      <c r="J27" s="175">
        <f t="shared" si="7"/>
        <v>3.2460439116131372</v>
      </c>
      <c r="K27" s="160">
        <f t="shared" si="8"/>
        <v>233436</v>
      </c>
      <c r="L27" s="160">
        <f t="shared" si="9"/>
        <v>5114087</v>
      </c>
      <c r="M27" s="161">
        <f t="shared" ref="M27:M34" si="11">H27/H$8</f>
        <v>0.1854260810869095</v>
      </c>
      <c r="N27" s="162"/>
    </row>
    <row r="28" spans="1:14" s="56" customFormat="1" x14ac:dyDescent="0.25">
      <c r="B28" s="159" t="s">
        <v>113</v>
      </c>
      <c r="C28" s="160">
        <v>1813831</v>
      </c>
      <c r="D28" s="160">
        <v>510569</v>
      </c>
      <c r="E28" s="160">
        <v>851193</v>
      </c>
      <c r="F28" s="160">
        <v>1420539</v>
      </c>
      <c r="G28" s="160">
        <v>1496214</v>
      </c>
      <c r="H28" s="160">
        <v>1483358</v>
      </c>
      <c r="I28" s="161">
        <f t="shared" si="10"/>
        <v>-8.5923537675760553E-3</v>
      </c>
      <c r="J28" s="175">
        <f t="shared" si="7"/>
        <v>0.7426811545677654</v>
      </c>
      <c r="K28" s="160">
        <f t="shared" si="8"/>
        <v>-12856</v>
      </c>
      <c r="L28" s="160">
        <f t="shared" si="9"/>
        <v>632165</v>
      </c>
      <c r="M28" s="161">
        <f t="shared" si="11"/>
        <v>4.111673258354661E-2</v>
      </c>
      <c r="N28" s="162"/>
    </row>
    <row r="29" spans="1:14" x14ac:dyDescent="0.25">
      <c r="A29" s="1"/>
      <c r="B29" s="159" t="s">
        <v>116</v>
      </c>
      <c r="C29" s="160">
        <v>428540</v>
      </c>
      <c r="D29" s="160">
        <v>173273</v>
      </c>
      <c r="E29" s="160">
        <v>321437</v>
      </c>
      <c r="F29" s="160">
        <v>466813</v>
      </c>
      <c r="G29" s="160">
        <v>535409</v>
      </c>
      <c r="H29" s="160">
        <v>462244</v>
      </c>
      <c r="I29" s="161">
        <f t="shared" si="10"/>
        <v>-0.13665254039435271</v>
      </c>
      <c r="J29" s="175">
        <f t="shared" si="7"/>
        <v>0.43805473545360374</v>
      </c>
      <c r="K29" s="160">
        <f t="shared" si="8"/>
        <v>-73165</v>
      </c>
      <c r="L29" s="160">
        <f t="shared" si="9"/>
        <v>140807</v>
      </c>
      <c r="M29" s="161">
        <f t="shared" si="11"/>
        <v>1.281279565441985E-2</v>
      </c>
      <c r="N29" s="79"/>
    </row>
    <row r="30" spans="1:14" x14ac:dyDescent="0.25">
      <c r="A30" s="1"/>
      <c r="B30" s="159" t="s">
        <v>123</v>
      </c>
      <c r="C30" s="160">
        <v>502164</v>
      </c>
      <c r="D30" s="160">
        <v>134940</v>
      </c>
      <c r="E30" s="160">
        <v>321774</v>
      </c>
      <c r="F30" s="160">
        <v>583899</v>
      </c>
      <c r="G30" s="160">
        <v>553235</v>
      </c>
      <c r="H30" s="160">
        <v>562616</v>
      </c>
      <c r="I30" s="161">
        <f t="shared" si="10"/>
        <v>1.695662783446461E-2</v>
      </c>
      <c r="J30" s="175">
        <f t="shared" si="7"/>
        <v>0.7484818537234208</v>
      </c>
      <c r="K30" s="160">
        <f t="shared" si="8"/>
        <v>9381</v>
      </c>
      <c r="L30" s="160">
        <f t="shared" si="9"/>
        <v>240842</v>
      </c>
      <c r="M30" s="161">
        <f t="shared" si="11"/>
        <v>1.5594975467300988E-2</v>
      </c>
      <c r="N30" s="79"/>
    </row>
    <row r="31" spans="1:14" x14ac:dyDescent="0.25">
      <c r="A31" s="1"/>
      <c r="B31" s="159" t="s">
        <v>119</v>
      </c>
      <c r="C31" s="160">
        <v>566275</v>
      </c>
      <c r="D31" s="160">
        <v>241515</v>
      </c>
      <c r="E31" s="160">
        <v>414396</v>
      </c>
      <c r="F31" s="160">
        <v>639629</v>
      </c>
      <c r="G31" s="160">
        <v>619738</v>
      </c>
      <c r="H31" s="160">
        <v>632422</v>
      </c>
      <c r="I31" s="161">
        <f t="shared" si="10"/>
        <v>2.0466713353062049E-2</v>
      </c>
      <c r="J31" s="175">
        <f t="shared" si="7"/>
        <v>0.52612959584551966</v>
      </c>
      <c r="K31" s="160">
        <f t="shared" si="8"/>
        <v>12684</v>
      </c>
      <c r="L31" s="160">
        <f t="shared" si="9"/>
        <v>218026</v>
      </c>
      <c r="M31" s="161">
        <f t="shared" si="11"/>
        <v>1.7529905966025539E-2</v>
      </c>
      <c r="N31" s="79"/>
    </row>
    <row r="32" spans="1:14" x14ac:dyDescent="0.25">
      <c r="A32" s="1"/>
      <c r="B32" s="159" t="s">
        <v>128</v>
      </c>
      <c r="C32" s="160">
        <v>242464</v>
      </c>
      <c r="D32" s="160">
        <v>95128</v>
      </c>
      <c r="E32" s="160">
        <v>58069</v>
      </c>
      <c r="F32" s="160">
        <v>177706</v>
      </c>
      <c r="G32" s="160">
        <v>184473</v>
      </c>
      <c r="H32" s="160">
        <v>184792</v>
      </c>
      <c r="I32" s="161">
        <f t="shared" si="10"/>
        <v>1.7292503509998003E-3</v>
      </c>
      <c r="J32" s="175">
        <f t="shared" si="7"/>
        <v>2.1822831459126211</v>
      </c>
      <c r="K32" s="160">
        <f t="shared" si="8"/>
        <v>319</v>
      </c>
      <c r="L32" s="160">
        <f t="shared" si="9"/>
        <v>126723</v>
      </c>
      <c r="M32" s="161">
        <f t="shared" si="11"/>
        <v>5.122191168671855E-3</v>
      </c>
      <c r="N32" s="79"/>
    </row>
    <row r="33" spans="1:14" x14ac:dyDescent="0.25">
      <c r="A33" s="158" t="s">
        <v>144</v>
      </c>
      <c r="B33" s="159" t="s">
        <v>131</v>
      </c>
      <c r="C33" s="160">
        <v>276453</v>
      </c>
      <c r="D33" s="160">
        <v>106598</v>
      </c>
      <c r="E33" s="160">
        <v>43884</v>
      </c>
      <c r="F33" s="160">
        <v>147837</v>
      </c>
      <c r="G33" s="160">
        <v>187545</v>
      </c>
      <c r="H33" s="160">
        <v>166807</v>
      </c>
      <c r="I33" s="161">
        <f t="shared" si="10"/>
        <v>-0.11057612839585163</v>
      </c>
      <c r="J33" s="175">
        <f t="shared" si="7"/>
        <v>2.8010892352565855</v>
      </c>
      <c r="K33" s="160">
        <f t="shared" si="8"/>
        <v>-20738</v>
      </c>
      <c r="L33" s="160">
        <f t="shared" si="9"/>
        <v>122923</v>
      </c>
      <c r="M33" s="161">
        <f t="shared" si="11"/>
        <v>4.6236706257448707E-3</v>
      </c>
      <c r="N33" s="79"/>
    </row>
    <row r="34" spans="1:14" x14ac:dyDescent="0.25">
      <c r="A34" s="163" t="s">
        <v>145</v>
      </c>
      <c r="B34" s="164" t="s">
        <v>145</v>
      </c>
      <c r="C34" s="165">
        <f t="shared" ref="C34" si="12">C26-SUM(C27:C33)</f>
        <v>2612574</v>
      </c>
      <c r="D34" s="165">
        <f t="shared" ref="D34:H34" si="13">D26-SUM(D27:D33)</f>
        <v>748095</v>
      </c>
      <c r="E34" s="165">
        <f t="shared" si="13"/>
        <v>1251344</v>
      </c>
      <c r="F34" s="165">
        <f t="shared" si="13"/>
        <v>2432177</v>
      </c>
      <c r="G34" s="165">
        <f t="shared" si="13"/>
        <v>2740527</v>
      </c>
      <c r="H34" s="165">
        <f t="shared" si="13"/>
        <v>2915194</v>
      </c>
      <c r="I34" s="166">
        <f t="shared" si="10"/>
        <v>6.3734821806170849E-2</v>
      </c>
      <c r="J34" s="176">
        <f t="shared" si="7"/>
        <v>1.3296503599329998</v>
      </c>
      <c r="K34" s="165">
        <f>H34-G34</f>
        <v>174667</v>
      </c>
      <c r="L34" s="165">
        <f t="shared" si="9"/>
        <v>1663850</v>
      </c>
      <c r="M34" s="166">
        <f t="shared" si="11"/>
        <v>8.0805343097997639E-2</v>
      </c>
      <c r="N34" s="79"/>
    </row>
    <row r="35" spans="1:14" s="142" customFormat="1" x14ac:dyDescent="0.25">
      <c r="B35" s="151" t="s">
        <v>45</v>
      </c>
      <c r="C35" s="149"/>
      <c r="D35" s="149"/>
      <c r="E35" s="149"/>
      <c r="F35" s="149"/>
      <c r="G35" s="149"/>
      <c r="H35" s="149"/>
      <c r="I35" s="149"/>
      <c r="J35" s="149"/>
      <c r="K35" s="149"/>
      <c r="L35" s="149"/>
      <c r="M35" s="149"/>
    </row>
    <row r="36" spans="1:14" x14ac:dyDescent="0.25">
      <c r="A36" s="1">
        <v>3</v>
      </c>
      <c r="B36" s="152" t="s">
        <v>68</v>
      </c>
      <c r="C36" s="172">
        <v>10093577</v>
      </c>
      <c r="D36" s="172">
        <v>2858440</v>
      </c>
      <c r="E36" s="172">
        <v>3367162</v>
      </c>
      <c r="F36" s="172">
        <v>8865243</v>
      </c>
      <c r="G36" s="172">
        <v>9739308</v>
      </c>
      <c r="H36" s="172">
        <v>10014981</v>
      </c>
      <c r="I36" s="173">
        <f>IFERROR(H36/G36-1,"-")</f>
        <v>2.8305193757092395E-2</v>
      </c>
      <c r="J36" s="173">
        <f>IFERROR(H36/E36-1,"-")</f>
        <v>1.9743092253951549</v>
      </c>
      <c r="K36" s="172">
        <f>H36-G36</f>
        <v>275673</v>
      </c>
      <c r="L36" s="172">
        <f>H36-E36</f>
        <v>6647819</v>
      </c>
      <c r="M36" s="173">
        <f>H36/H$8</f>
        <v>0.2776020998344973</v>
      </c>
      <c r="N36" s="79"/>
    </row>
    <row r="37" spans="1:14" x14ac:dyDescent="0.25">
      <c r="A37" s="1" t="s">
        <v>96</v>
      </c>
      <c r="B37" s="155" t="s">
        <v>97</v>
      </c>
      <c r="C37" s="156">
        <v>614530</v>
      </c>
      <c r="D37" s="156">
        <v>241430</v>
      </c>
      <c r="E37" s="156">
        <v>350874</v>
      </c>
      <c r="F37" s="156">
        <v>513218</v>
      </c>
      <c r="G37" s="156">
        <v>576863</v>
      </c>
      <c r="H37" s="156">
        <v>551747</v>
      </c>
      <c r="I37" s="157">
        <f>IFERROR(H37/G37-1,"-")</f>
        <v>-4.3538933854312067E-2</v>
      </c>
      <c r="J37" s="174">
        <f t="shared" ref="J37:J48" si="14">IFERROR(H37/E37-1,"-")</f>
        <v>0.57249325968866316</v>
      </c>
      <c r="K37" s="156">
        <f t="shared" ref="K37:K47" si="15">H37-G37</f>
        <v>-25116</v>
      </c>
      <c r="L37" s="156">
        <f t="shared" ref="L37:L48" si="16">H37-E37</f>
        <v>200873</v>
      </c>
      <c r="M37" s="157">
        <f>H37/H$8</f>
        <v>1.529370108414428E-2</v>
      </c>
      <c r="N37" s="79"/>
    </row>
    <row r="38" spans="1:14" x14ac:dyDescent="0.25">
      <c r="A38" s="158" t="s">
        <v>103</v>
      </c>
      <c r="B38" s="159" t="s">
        <v>103</v>
      </c>
      <c r="C38" s="160">
        <v>210543</v>
      </c>
      <c r="D38" s="160">
        <v>92534</v>
      </c>
      <c r="E38" s="160">
        <v>131066</v>
      </c>
      <c r="F38" s="160">
        <v>155108</v>
      </c>
      <c r="G38" s="160">
        <v>218201</v>
      </c>
      <c r="H38" s="160">
        <v>239030</v>
      </c>
      <c r="I38" s="161">
        <f>IFERROR(H38/G38-1,"-")</f>
        <v>9.5457857663347134E-2</v>
      </c>
      <c r="J38" s="175">
        <f t="shared" si="14"/>
        <v>0.82373765888941453</v>
      </c>
      <c r="K38" s="160">
        <f t="shared" si="15"/>
        <v>20829</v>
      </c>
      <c r="L38" s="160">
        <f t="shared" si="16"/>
        <v>107964</v>
      </c>
      <c r="M38" s="161">
        <f>H38/H$8</f>
        <v>6.6255971852008395E-3</v>
      </c>
      <c r="N38" s="79"/>
    </row>
    <row r="39" spans="1:14" x14ac:dyDescent="0.25">
      <c r="A39" s="158" t="s">
        <v>100</v>
      </c>
      <c r="B39" s="159" t="s">
        <v>100</v>
      </c>
      <c r="C39" s="160">
        <v>403987</v>
      </c>
      <c r="D39" s="160">
        <v>148896</v>
      </c>
      <c r="E39" s="160">
        <v>219808</v>
      </c>
      <c r="F39" s="160">
        <v>358110</v>
      </c>
      <c r="G39" s="160">
        <v>358662</v>
      </c>
      <c r="H39" s="160">
        <v>312717</v>
      </c>
      <c r="I39" s="161">
        <f>IFERROR(H39/G39-1,"-")</f>
        <v>-0.1281011091222376</v>
      </c>
      <c r="J39" s="175">
        <f t="shared" si="14"/>
        <v>0.4226825229291018</v>
      </c>
      <c r="K39" s="160">
        <f t="shared" si="15"/>
        <v>-45945</v>
      </c>
      <c r="L39" s="160">
        <f t="shared" si="16"/>
        <v>92909</v>
      </c>
      <c r="M39" s="161">
        <f>H39/H$8</f>
        <v>8.6681038989434422E-3</v>
      </c>
      <c r="N39" s="79"/>
    </row>
    <row r="40" spans="1:14" x14ac:dyDescent="0.25">
      <c r="A40" s="1"/>
      <c r="B40" s="155" t="s">
        <v>107</v>
      </c>
      <c r="C40" s="156">
        <v>9479047</v>
      </c>
      <c r="D40" s="156">
        <v>2617010</v>
      </c>
      <c r="E40" s="156">
        <v>3016288</v>
      </c>
      <c r="F40" s="156">
        <v>8352025</v>
      </c>
      <c r="G40" s="156">
        <v>9162445</v>
      </c>
      <c r="H40" s="156">
        <v>9463234</v>
      </c>
      <c r="I40" s="157">
        <f>IFERROR(H40/G40-1,"-")</f>
        <v>3.2828464454629724E-2</v>
      </c>
      <c r="J40" s="174">
        <f t="shared" si="14"/>
        <v>2.1373774652818298</v>
      </c>
      <c r="K40" s="156">
        <f t="shared" si="15"/>
        <v>300789</v>
      </c>
      <c r="L40" s="156">
        <f t="shared" si="16"/>
        <v>6446946</v>
      </c>
      <c r="M40" s="157">
        <f>H40/H$8</f>
        <v>0.262308398750353</v>
      </c>
      <c r="N40" s="79"/>
    </row>
    <row r="41" spans="1:14" s="56" customFormat="1" x14ac:dyDescent="0.25">
      <c r="B41" s="159" t="s">
        <v>110</v>
      </c>
      <c r="C41" s="160">
        <v>5094935</v>
      </c>
      <c r="D41" s="160">
        <v>1173619</v>
      </c>
      <c r="E41" s="160">
        <v>1066343</v>
      </c>
      <c r="F41" s="160">
        <v>4256430</v>
      </c>
      <c r="G41" s="160">
        <v>4628153</v>
      </c>
      <c r="H41" s="160">
        <v>4858902</v>
      </c>
      <c r="I41" s="161">
        <f t="shared" ref="I41:I48" si="17">IFERROR(H41/G41-1,"-")</f>
        <v>4.9857686208731655E-2</v>
      </c>
      <c r="J41" s="175">
        <f t="shared" si="14"/>
        <v>3.5566032693045297</v>
      </c>
      <c r="K41" s="160">
        <f t="shared" si="15"/>
        <v>230749</v>
      </c>
      <c r="L41" s="160">
        <f t="shared" si="16"/>
        <v>3792559</v>
      </c>
      <c r="M41" s="161">
        <f t="shared" ref="M41:M48" si="18">H41/H$8</f>
        <v>0.13468237214728998</v>
      </c>
      <c r="N41" s="162"/>
    </row>
    <row r="42" spans="1:14" s="56" customFormat="1" x14ac:dyDescent="0.25">
      <c r="B42" s="159" t="s">
        <v>113</v>
      </c>
      <c r="C42" s="160">
        <v>470924</v>
      </c>
      <c r="D42" s="160">
        <v>139836</v>
      </c>
      <c r="E42" s="160">
        <v>174981</v>
      </c>
      <c r="F42" s="160">
        <v>311196</v>
      </c>
      <c r="G42" s="160">
        <v>358380</v>
      </c>
      <c r="H42" s="160">
        <v>358116</v>
      </c>
      <c r="I42" s="161">
        <f t="shared" si="17"/>
        <v>-7.3664825046038107E-4</v>
      </c>
      <c r="J42" s="175">
        <f t="shared" si="14"/>
        <v>1.0465993450717508</v>
      </c>
      <c r="K42" s="160">
        <f t="shared" si="15"/>
        <v>-264</v>
      </c>
      <c r="L42" s="160">
        <f t="shared" si="16"/>
        <v>183135</v>
      </c>
      <c r="M42" s="161">
        <f t="shared" si="18"/>
        <v>9.9265044620984125E-3</v>
      </c>
      <c r="N42" s="162"/>
    </row>
    <row r="43" spans="1:14" x14ac:dyDescent="0.25">
      <c r="A43" s="1"/>
      <c r="B43" s="159" t="s">
        <v>116</v>
      </c>
      <c r="C43" s="160">
        <v>178407</v>
      </c>
      <c r="D43" s="160">
        <v>67848</v>
      </c>
      <c r="E43" s="160">
        <v>127385</v>
      </c>
      <c r="F43" s="160">
        <v>198903</v>
      </c>
      <c r="G43" s="160">
        <v>247793</v>
      </c>
      <c r="H43" s="160">
        <v>245648</v>
      </c>
      <c r="I43" s="161">
        <f t="shared" si="17"/>
        <v>-8.6564188657468621E-3</v>
      </c>
      <c r="J43" s="175">
        <f t="shared" si="14"/>
        <v>0.92839031283118101</v>
      </c>
      <c r="K43" s="160">
        <f t="shared" si="15"/>
        <v>-2145</v>
      </c>
      <c r="L43" s="160">
        <f t="shared" si="16"/>
        <v>118263</v>
      </c>
      <c r="M43" s="161">
        <f t="shared" si="18"/>
        <v>6.8090394400293509E-3</v>
      </c>
      <c r="N43" s="79"/>
    </row>
    <row r="44" spans="1:14" x14ac:dyDescent="0.25">
      <c r="A44" s="1"/>
      <c r="B44" s="159" t="s">
        <v>123</v>
      </c>
      <c r="C44" s="160">
        <v>451476</v>
      </c>
      <c r="D44" s="160">
        <v>124287</v>
      </c>
      <c r="E44" s="160">
        <v>239923</v>
      </c>
      <c r="F44" s="160">
        <v>477050</v>
      </c>
      <c r="G44" s="160">
        <v>501096</v>
      </c>
      <c r="H44" s="160">
        <v>499671</v>
      </c>
      <c r="I44" s="161">
        <f t="shared" si="17"/>
        <v>-2.8437664639111571E-3</v>
      </c>
      <c r="J44" s="175">
        <f t="shared" si="14"/>
        <v>1.0826306773423138</v>
      </c>
      <c r="K44" s="160">
        <f t="shared" si="15"/>
        <v>-1425</v>
      </c>
      <c r="L44" s="160">
        <f t="shared" si="16"/>
        <v>259748</v>
      </c>
      <c r="M44" s="161">
        <f t="shared" si="18"/>
        <v>1.3850222863768098E-2</v>
      </c>
      <c r="N44" s="79"/>
    </row>
    <row r="45" spans="1:14" x14ac:dyDescent="0.25">
      <c r="A45" s="1"/>
      <c r="B45" s="159" t="s">
        <v>119</v>
      </c>
      <c r="C45" s="160">
        <v>353625</v>
      </c>
      <c r="D45" s="160">
        <v>131712</v>
      </c>
      <c r="E45" s="160">
        <v>184201</v>
      </c>
      <c r="F45" s="160">
        <v>318686</v>
      </c>
      <c r="G45" s="160">
        <v>374932</v>
      </c>
      <c r="H45" s="160">
        <v>372782</v>
      </c>
      <c r="I45" s="161">
        <f t="shared" si="17"/>
        <v>-5.7343731663341835E-3</v>
      </c>
      <c r="J45" s="175">
        <f t="shared" si="14"/>
        <v>1.0237783725386942</v>
      </c>
      <c r="K45" s="160">
        <f t="shared" si="15"/>
        <v>-2150</v>
      </c>
      <c r="L45" s="160">
        <f t="shared" si="16"/>
        <v>188581</v>
      </c>
      <c r="M45" s="161">
        <f t="shared" si="18"/>
        <v>1.0333026690764921E-2</v>
      </c>
      <c r="N45" s="79"/>
    </row>
    <row r="46" spans="1:14" x14ac:dyDescent="0.25">
      <c r="A46" s="1"/>
      <c r="B46" s="159" t="s">
        <v>128</v>
      </c>
      <c r="C46" s="160">
        <v>227686</v>
      </c>
      <c r="D46" s="160">
        <v>86739</v>
      </c>
      <c r="E46" s="160">
        <v>81833</v>
      </c>
      <c r="F46" s="160">
        <v>185692</v>
      </c>
      <c r="G46" s="160">
        <v>188339</v>
      </c>
      <c r="H46" s="160">
        <v>187108</v>
      </c>
      <c r="I46" s="161">
        <f t="shared" si="17"/>
        <v>-6.5360865248301758E-3</v>
      </c>
      <c r="J46" s="175">
        <f t="shared" si="14"/>
        <v>1.2864614519814745</v>
      </c>
      <c r="K46" s="160">
        <f t="shared" si="15"/>
        <v>-1231</v>
      </c>
      <c r="L46" s="160">
        <f t="shared" si="16"/>
        <v>105275</v>
      </c>
      <c r="M46" s="161">
        <f t="shared" si="18"/>
        <v>5.1863876422564474E-3</v>
      </c>
      <c r="N46" s="79"/>
    </row>
    <row r="47" spans="1:14" x14ac:dyDescent="0.25">
      <c r="A47" s="158" t="s">
        <v>144</v>
      </c>
      <c r="B47" s="159" t="s">
        <v>131</v>
      </c>
      <c r="C47" s="160">
        <v>366669</v>
      </c>
      <c r="D47" s="160">
        <v>150036</v>
      </c>
      <c r="E47" s="160">
        <v>88248</v>
      </c>
      <c r="F47" s="160">
        <v>188228</v>
      </c>
      <c r="G47" s="160">
        <v>224522</v>
      </c>
      <c r="H47" s="160">
        <v>217369</v>
      </c>
      <c r="I47" s="161">
        <f t="shared" si="17"/>
        <v>-3.1858793347645187E-2</v>
      </c>
      <c r="J47" s="175">
        <f t="shared" si="14"/>
        <v>1.4631606382014324</v>
      </c>
      <c r="K47" s="160">
        <f t="shared" si="15"/>
        <v>-7153</v>
      </c>
      <c r="L47" s="160">
        <f t="shared" si="16"/>
        <v>129121</v>
      </c>
      <c r="M47" s="161">
        <f t="shared" si="18"/>
        <v>6.0251827576033182E-3</v>
      </c>
      <c r="N47" s="79"/>
    </row>
    <row r="48" spans="1:14" x14ac:dyDescent="0.25">
      <c r="A48" s="163" t="s">
        <v>145</v>
      </c>
      <c r="B48" s="164" t="s">
        <v>145</v>
      </c>
      <c r="C48" s="165">
        <f t="shared" ref="C48:H48" si="19">C40-SUM(C41:C47)</f>
        <v>2335325</v>
      </c>
      <c r="D48" s="165">
        <f t="shared" si="19"/>
        <v>742933</v>
      </c>
      <c r="E48" s="165">
        <f t="shared" si="19"/>
        <v>1053374</v>
      </c>
      <c r="F48" s="165">
        <f t="shared" si="19"/>
        <v>2415840</v>
      </c>
      <c r="G48" s="165">
        <f t="shared" si="19"/>
        <v>2639230</v>
      </c>
      <c r="H48" s="165">
        <f t="shared" si="19"/>
        <v>2723638</v>
      </c>
      <c r="I48" s="166">
        <f t="shared" si="17"/>
        <v>3.1982055372210771E-2</v>
      </c>
      <c r="J48" s="176">
        <f t="shared" si="14"/>
        <v>1.5856324534305952</v>
      </c>
      <c r="K48" s="165">
        <f>H48-G48</f>
        <v>84408</v>
      </c>
      <c r="L48" s="165">
        <f t="shared" si="16"/>
        <v>1670264</v>
      </c>
      <c r="M48" s="166">
        <f t="shared" si="18"/>
        <v>7.5495662746542458E-2</v>
      </c>
      <c r="N48" s="79"/>
    </row>
    <row r="49" spans="1:14" s="142" customFormat="1" x14ac:dyDescent="0.25">
      <c r="B49" s="151" t="s">
        <v>46</v>
      </c>
      <c r="C49" s="149"/>
      <c r="D49" s="149"/>
      <c r="E49" s="149"/>
      <c r="F49" s="149"/>
      <c r="G49" s="149"/>
      <c r="H49" s="149"/>
      <c r="I49" s="149"/>
      <c r="J49" s="149"/>
      <c r="K49" s="149"/>
      <c r="L49" s="149"/>
      <c r="M49" s="149"/>
    </row>
    <row r="50" spans="1:14" x14ac:dyDescent="0.25">
      <c r="A50" s="1">
        <v>3</v>
      </c>
      <c r="B50" s="152" t="s">
        <v>68</v>
      </c>
      <c r="C50" s="172">
        <v>234787</v>
      </c>
      <c r="D50" s="172">
        <v>65275</v>
      </c>
      <c r="E50" s="172">
        <v>98762</v>
      </c>
      <c r="F50" s="172">
        <v>168339</v>
      </c>
      <c r="G50" s="172">
        <v>182035</v>
      </c>
      <c r="H50" s="172">
        <v>194642</v>
      </c>
      <c r="I50" s="173">
        <f>IFERROR(H50/G50-1,"-")</f>
        <v>6.925591232455286E-2</v>
      </c>
      <c r="J50" s="173">
        <f>IFERROR(H50/E50-1,"-")</f>
        <v>0.97081873595107426</v>
      </c>
      <c r="K50" s="172">
        <f>H50-G50</f>
        <v>12607</v>
      </c>
      <c r="L50" s="172">
        <f>H50-E50</f>
        <v>95880</v>
      </c>
      <c r="M50" s="173">
        <f>H50/H$8</f>
        <v>5.3952202121987274E-3</v>
      </c>
      <c r="N50" s="79"/>
    </row>
    <row r="51" spans="1:14" x14ac:dyDescent="0.25">
      <c r="A51" s="1" t="s">
        <v>96</v>
      </c>
      <c r="B51" s="155" t="s">
        <v>97</v>
      </c>
      <c r="C51" s="156">
        <v>30969</v>
      </c>
      <c r="D51" s="156">
        <v>6950</v>
      </c>
      <c r="E51" s="156">
        <v>17286</v>
      </c>
      <c r="F51" s="156">
        <v>21218</v>
      </c>
      <c r="G51" s="156">
        <v>40235</v>
      </c>
      <c r="H51" s="156">
        <v>25819</v>
      </c>
      <c r="I51" s="157">
        <f>IFERROR(H51/G51-1,"-")</f>
        <v>-0.35829501677643838</v>
      </c>
      <c r="J51" s="174">
        <f t="shared" ref="J51:J62" si="20">IFERROR(H51/E51-1,"-")</f>
        <v>0.49363646881869716</v>
      </c>
      <c r="K51" s="156">
        <f t="shared" ref="K51:K61" si="21">H51-G51</f>
        <v>-14416</v>
      </c>
      <c r="L51" s="156">
        <f t="shared" ref="L51:L62" si="22">H51-E51</f>
        <v>8533</v>
      </c>
      <c r="M51" s="157">
        <f>H51/H$8</f>
        <v>7.1566871825586942E-4</v>
      </c>
      <c r="N51" s="79"/>
    </row>
    <row r="52" spans="1:14" x14ac:dyDescent="0.25">
      <c r="A52" s="158" t="s">
        <v>103</v>
      </c>
      <c r="B52" s="159" t="s">
        <v>103</v>
      </c>
      <c r="C52" s="160">
        <v>12961</v>
      </c>
      <c r="D52" s="160">
        <v>5003</v>
      </c>
      <c r="E52" s="160">
        <v>6990</v>
      </c>
      <c r="F52" s="160">
        <v>6990</v>
      </c>
      <c r="G52" s="160">
        <v>25164</v>
      </c>
      <c r="H52" s="160">
        <v>14324</v>
      </c>
      <c r="I52" s="161">
        <f>IFERROR(H52/G52-1,"-")</f>
        <v>-0.43077412176124619</v>
      </c>
      <c r="J52" s="175">
        <f t="shared" si="20"/>
        <v>1.0492131616595137</v>
      </c>
      <c r="K52" s="160">
        <f t="shared" si="21"/>
        <v>-10840</v>
      </c>
      <c r="L52" s="160">
        <f t="shared" si="22"/>
        <v>7334</v>
      </c>
      <c r="M52" s="161">
        <f>H52/H$8</f>
        <v>3.9704243852577842E-4</v>
      </c>
      <c r="N52" s="79"/>
    </row>
    <row r="53" spans="1:14" x14ac:dyDescent="0.25">
      <c r="A53" s="158" t="s">
        <v>100</v>
      </c>
      <c r="B53" s="159" t="s">
        <v>100</v>
      </c>
      <c r="C53" s="160">
        <v>18008</v>
      </c>
      <c r="D53" s="160">
        <v>1947</v>
      </c>
      <c r="E53" s="160">
        <v>10296</v>
      </c>
      <c r="F53" s="160">
        <v>14228</v>
      </c>
      <c r="G53" s="160">
        <v>15071</v>
      </c>
      <c r="H53" s="160">
        <v>11495</v>
      </c>
      <c r="I53" s="161">
        <f>IFERROR(H53/G53-1,"-")</f>
        <v>-0.23727688939021963</v>
      </c>
      <c r="J53" s="175">
        <f t="shared" si="20"/>
        <v>0.11645299145299148</v>
      </c>
      <c r="K53" s="160">
        <f t="shared" si="21"/>
        <v>-3576</v>
      </c>
      <c r="L53" s="160">
        <f t="shared" si="22"/>
        <v>1199</v>
      </c>
      <c r="M53" s="161">
        <f>H53/H$8</f>
        <v>3.1862627973009095E-4</v>
      </c>
      <c r="N53" s="79"/>
    </row>
    <row r="54" spans="1:14" x14ac:dyDescent="0.25">
      <c r="A54" s="1"/>
      <c r="B54" s="155" t="s">
        <v>107</v>
      </c>
      <c r="C54" s="156">
        <v>203818</v>
      </c>
      <c r="D54" s="156">
        <v>58325</v>
      </c>
      <c r="E54" s="156">
        <v>81476</v>
      </c>
      <c r="F54" s="156">
        <v>147121</v>
      </c>
      <c r="G54" s="156">
        <v>141800</v>
      </c>
      <c r="H54" s="156">
        <v>168823</v>
      </c>
      <c r="I54" s="157">
        <f>IFERROR(H54/G54-1,"-")</f>
        <v>0.19057122708039498</v>
      </c>
      <c r="J54" s="174">
        <f t="shared" si="20"/>
        <v>1.0720580293583386</v>
      </c>
      <c r="K54" s="156">
        <f t="shared" si="21"/>
        <v>27023</v>
      </c>
      <c r="L54" s="156">
        <f t="shared" si="22"/>
        <v>87347</v>
      </c>
      <c r="M54" s="157">
        <f>H54/H$8</f>
        <v>4.6795514939428576E-3</v>
      </c>
      <c r="N54" s="79"/>
    </row>
    <row r="55" spans="1:14" s="56" customFormat="1" x14ac:dyDescent="0.25">
      <c r="B55" s="159" t="s">
        <v>110</v>
      </c>
      <c r="C55" s="160">
        <v>67733</v>
      </c>
      <c r="D55" s="160">
        <v>19771</v>
      </c>
      <c r="E55" s="160">
        <v>20693</v>
      </c>
      <c r="F55" s="160">
        <v>65122</v>
      </c>
      <c r="G55" s="160">
        <v>55484</v>
      </c>
      <c r="H55" s="160">
        <v>69733</v>
      </c>
      <c r="I55" s="161">
        <f t="shared" ref="I55:I62" si="23">IFERROR(H55/G55-1,"-")</f>
        <v>0.25681277485401188</v>
      </c>
      <c r="J55" s="175">
        <f t="shared" si="20"/>
        <v>2.3698835354950951</v>
      </c>
      <c r="K55" s="160">
        <f t="shared" si="21"/>
        <v>14249</v>
      </c>
      <c r="L55" s="160">
        <f t="shared" si="22"/>
        <v>49040</v>
      </c>
      <c r="M55" s="161">
        <f t="shared" ref="M55:M62" si="24">H55/H$8</f>
        <v>1.9329070347471452E-3</v>
      </c>
      <c r="N55" s="162"/>
    </row>
    <row r="56" spans="1:14" s="56" customFormat="1" x14ac:dyDescent="0.25">
      <c r="B56" s="159" t="s">
        <v>113</v>
      </c>
      <c r="C56" s="160">
        <v>69940</v>
      </c>
      <c r="D56" s="160">
        <v>18669</v>
      </c>
      <c r="E56" s="160">
        <v>31230</v>
      </c>
      <c r="F56" s="160">
        <v>34084</v>
      </c>
      <c r="G56" s="160">
        <v>34465</v>
      </c>
      <c r="H56" s="160">
        <v>39071</v>
      </c>
      <c r="I56" s="161">
        <f t="shared" si="23"/>
        <v>0.13364282605541855</v>
      </c>
      <c r="J56" s="175">
        <f t="shared" si="20"/>
        <v>0.25107268651937242</v>
      </c>
      <c r="K56" s="160">
        <f t="shared" si="21"/>
        <v>4606</v>
      </c>
      <c r="L56" s="160">
        <f t="shared" si="22"/>
        <v>7841</v>
      </c>
      <c r="M56" s="161">
        <f t="shared" si="24"/>
        <v>1.0829967268668451E-3</v>
      </c>
      <c r="N56" s="162"/>
    </row>
    <row r="57" spans="1:14" x14ac:dyDescent="0.25">
      <c r="A57" s="1"/>
      <c r="B57" s="159" t="s">
        <v>116</v>
      </c>
      <c r="C57" s="160">
        <v>6792</v>
      </c>
      <c r="D57" s="160">
        <v>1519</v>
      </c>
      <c r="E57" s="160">
        <v>3873</v>
      </c>
      <c r="F57" s="160">
        <v>6397</v>
      </c>
      <c r="G57" s="160">
        <v>6784</v>
      </c>
      <c r="H57" s="160">
        <v>6674</v>
      </c>
      <c r="I57" s="161">
        <f t="shared" si="23"/>
        <v>-1.6214622641509413E-2</v>
      </c>
      <c r="J57" s="175">
        <f t="shared" si="20"/>
        <v>0.72321198037696877</v>
      </c>
      <c r="K57" s="160">
        <f t="shared" si="21"/>
        <v>-110</v>
      </c>
      <c r="L57" s="160">
        <f t="shared" si="22"/>
        <v>2801</v>
      </c>
      <c r="M57" s="161">
        <f t="shared" si="24"/>
        <v>1.849945011673447E-4</v>
      </c>
      <c r="N57" s="79"/>
    </row>
    <row r="58" spans="1:14" x14ac:dyDescent="0.25">
      <c r="A58" s="1"/>
      <c r="B58" s="159" t="s">
        <v>123</v>
      </c>
      <c r="C58" s="160">
        <v>3713</v>
      </c>
      <c r="D58" s="160">
        <v>1082</v>
      </c>
      <c r="E58" s="160">
        <v>2191</v>
      </c>
      <c r="F58" s="160">
        <v>3053</v>
      </c>
      <c r="G58" s="160">
        <v>2811</v>
      </c>
      <c r="H58" s="160">
        <v>4837</v>
      </c>
      <c r="I58" s="161">
        <f t="shared" si="23"/>
        <v>0.72073995019565995</v>
      </c>
      <c r="J58" s="175">
        <f t="shared" si="20"/>
        <v>1.2076677316293929</v>
      </c>
      <c r="K58" s="160">
        <f t="shared" si="21"/>
        <v>2026</v>
      </c>
      <c r="L58" s="160">
        <f t="shared" si="22"/>
        <v>2646</v>
      </c>
      <c r="M58" s="161">
        <f t="shared" si="24"/>
        <v>1.3407527751669858E-4</v>
      </c>
      <c r="N58" s="79"/>
    </row>
    <row r="59" spans="1:14" x14ac:dyDescent="0.25">
      <c r="A59" s="1"/>
      <c r="B59" s="159" t="s">
        <v>119</v>
      </c>
      <c r="C59" s="160">
        <v>4285</v>
      </c>
      <c r="D59" s="160">
        <v>1095</v>
      </c>
      <c r="E59" s="160">
        <v>1459</v>
      </c>
      <c r="F59" s="160">
        <v>2254</v>
      </c>
      <c r="G59" s="160">
        <v>2628</v>
      </c>
      <c r="H59" s="160">
        <v>3308</v>
      </c>
      <c r="I59" s="161">
        <f t="shared" si="23"/>
        <v>0.25875190258751912</v>
      </c>
      <c r="J59" s="175">
        <f t="shared" si="20"/>
        <v>1.2673063742289239</v>
      </c>
      <c r="K59" s="160">
        <f t="shared" si="21"/>
        <v>680</v>
      </c>
      <c r="L59" s="160">
        <f t="shared" si="22"/>
        <v>1849</v>
      </c>
      <c r="M59" s="161">
        <f t="shared" si="24"/>
        <v>9.1693408729633829E-5</v>
      </c>
      <c r="N59" s="79"/>
    </row>
    <row r="60" spans="1:14" x14ac:dyDescent="0.25">
      <c r="A60" s="1"/>
      <c r="B60" s="159" t="s">
        <v>128</v>
      </c>
      <c r="C60" s="160">
        <v>1783</v>
      </c>
      <c r="D60" s="160">
        <v>713</v>
      </c>
      <c r="E60" s="160">
        <v>445</v>
      </c>
      <c r="F60" s="160">
        <v>554</v>
      </c>
      <c r="G60" s="160">
        <v>804</v>
      </c>
      <c r="H60" s="160">
        <v>636</v>
      </c>
      <c r="I60" s="161">
        <f t="shared" si="23"/>
        <v>-0.20895522388059706</v>
      </c>
      <c r="J60" s="175">
        <f t="shared" si="20"/>
        <v>0.42921348314606744</v>
      </c>
      <c r="K60" s="160">
        <f t="shared" si="21"/>
        <v>-168</v>
      </c>
      <c r="L60" s="160">
        <f t="shared" si="22"/>
        <v>191</v>
      </c>
      <c r="M60" s="161">
        <f t="shared" si="24"/>
        <v>1.7629083419603121E-5</v>
      </c>
      <c r="N60" s="79"/>
    </row>
    <row r="61" spans="1:14" x14ac:dyDescent="0.25">
      <c r="A61" s="158" t="s">
        <v>144</v>
      </c>
      <c r="B61" s="159" t="s">
        <v>131</v>
      </c>
      <c r="C61" s="160">
        <v>3475</v>
      </c>
      <c r="D61" s="160">
        <v>1531</v>
      </c>
      <c r="E61" s="160">
        <v>432</v>
      </c>
      <c r="F61" s="160">
        <v>418</v>
      </c>
      <c r="G61" s="160">
        <v>635</v>
      </c>
      <c r="H61" s="160">
        <v>633</v>
      </c>
      <c r="I61" s="161">
        <f t="shared" si="23"/>
        <v>-3.1496062992125706E-3</v>
      </c>
      <c r="J61" s="175">
        <f t="shared" si="20"/>
        <v>0.46527777777777768</v>
      </c>
      <c r="K61" s="160">
        <f t="shared" si="21"/>
        <v>-2</v>
      </c>
      <c r="L61" s="160">
        <f t="shared" si="22"/>
        <v>201</v>
      </c>
      <c r="M61" s="161">
        <f t="shared" si="24"/>
        <v>1.7545927365737068E-5</v>
      </c>
      <c r="N61" s="79"/>
    </row>
    <row r="62" spans="1:14" x14ac:dyDescent="0.25">
      <c r="A62" s="163" t="s">
        <v>145</v>
      </c>
      <c r="B62" s="164" t="s">
        <v>145</v>
      </c>
      <c r="C62" s="165">
        <f t="shared" ref="C62:H62" si="25">C54-SUM(C55:C61)</f>
        <v>46097</v>
      </c>
      <c r="D62" s="165">
        <f t="shared" si="25"/>
        <v>13945</v>
      </c>
      <c r="E62" s="165">
        <f t="shared" si="25"/>
        <v>21153</v>
      </c>
      <c r="F62" s="165">
        <f t="shared" si="25"/>
        <v>35239</v>
      </c>
      <c r="G62" s="165">
        <f t="shared" si="25"/>
        <v>38189</v>
      </c>
      <c r="H62" s="165">
        <f t="shared" si="25"/>
        <v>43931</v>
      </c>
      <c r="I62" s="166">
        <f t="shared" si="23"/>
        <v>0.15035743276859836</v>
      </c>
      <c r="J62" s="176">
        <f t="shared" si="20"/>
        <v>1.0768212546683684</v>
      </c>
      <c r="K62" s="165">
        <f>H62-G62</f>
        <v>5742</v>
      </c>
      <c r="L62" s="165">
        <f t="shared" si="22"/>
        <v>22778</v>
      </c>
      <c r="M62" s="166">
        <f t="shared" si="24"/>
        <v>1.2177095341298501E-3</v>
      </c>
      <c r="N62" s="79"/>
    </row>
    <row r="63" spans="1:14" s="142" customFormat="1" x14ac:dyDescent="0.25">
      <c r="B63" s="151" t="s">
        <v>47</v>
      </c>
      <c r="C63" s="149"/>
      <c r="D63" s="149"/>
      <c r="E63" s="149"/>
      <c r="F63" s="149"/>
      <c r="G63" s="149"/>
      <c r="H63" s="149"/>
      <c r="I63" s="149"/>
      <c r="J63" s="149"/>
      <c r="K63" s="149"/>
      <c r="L63" s="149"/>
      <c r="M63" s="149"/>
    </row>
    <row r="64" spans="1:14" x14ac:dyDescent="0.25">
      <c r="A64" s="1">
        <v>3</v>
      </c>
      <c r="B64" s="152" t="s">
        <v>68</v>
      </c>
      <c r="C64" s="172">
        <v>834528</v>
      </c>
      <c r="D64" s="172">
        <v>295880</v>
      </c>
      <c r="E64" s="172">
        <v>419370</v>
      </c>
      <c r="F64" s="172">
        <v>1014697</v>
      </c>
      <c r="G64" s="172">
        <v>1034949</v>
      </c>
      <c r="H64" s="172">
        <v>1361415</v>
      </c>
      <c r="I64" s="173">
        <f>IFERROR(H64/G64-1,"-")</f>
        <v>0.31544163045715301</v>
      </c>
      <c r="J64" s="173">
        <f>IFERROR(H64/E64-1,"-")</f>
        <v>2.2463337863938766</v>
      </c>
      <c r="K64" s="172">
        <f>H64-G64</f>
        <v>326466</v>
      </c>
      <c r="L64" s="172">
        <f>H64-E64</f>
        <v>942045</v>
      </c>
      <c r="M64" s="173">
        <f>H64/H$8</f>
        <v>3.7736633024683934E-2</v>
      </c>
      <c r="N64" s="79"/>
    </row>
    <row r="65" spans="1:14" x14ac:dyDescent="0.25">
      <c r="A65" s="1" t="s">
        <v>96</v>
      </c>
      <c r="B65" s="155" t="s">
        <v>97</v>
      </c>
      <c r="C65" s="156">
        <v>158439</v>
      </c>
      <c r="D65" s="156">
        <v>84704</v>
      </c>
      <c r="E65" s="156">
        <v>83752</v>
      </c>
      <c r="F65" s="156">
        <v>119256</v>
      </c>
      <c r="G65" s="156">
        <v>173467</v>
      </c>
      <c r="H65" s="156">
        <v>256345</v>
      </c>
      <c r="I65" s="157">
        <f>IFERROR(H65/G65-1,"-")</f>
        <v>0.47777387053445319</v>
      </c>
      <c r="J65" s="174">
        <f t="shared" ref="J65:J76" si="26">IFERROR(H65/E65-1,"-")</f>
        <v>2.0607627280542555</v>
      </c>
      <c r="K65" s="156">
        <f t="shared" ref="K65:K75" si="27">H65-G65</f>
        <v>82878</v>
      </c>
      <c r="L65" s="156">
        <f t="shared" ref="L65:L76" si="28">H65-E65</f>
        <v>172593</v>
      </c>
      <c r="M65" s="157">
        <f>H65/H$8</f>
        <v>7.1055462094310714E-3</v>
      </c>
      <c r="N65" s="79"/>
    </row>
    <row r="66" spans="1:14" x14ac:dyDescent="0.25">
      <c r="A66" s="158" t="s">
        <v>103</v>
      </c>
      <c r="B66" s="159" t="s">
        <v>103</v>
      </c>
      <c r="C66" s="160">
        <v>67992</v>
      </c>
      <c r="D66" s="160">
        <v>23458</v>
      </c>
      <c r="E66" s="160">
        <v>59324</v>
      </c>
      <c r="F66" s="160">
        <v>72718</v>
      </c>
      <c r="G66" s="160">
        <v>91538</v>
      </c>
      <c r="H66" s="160">
        <v>124261</v>
      </c>
      <c r="I66" s="161">
        <f>IFERROR(H66/G66-1,"-")</f>
        <v>0.35747995368043872</v>
      </c>
      <c r="J66" s="175">
        <f t="shared" si="26"/>
        <v>1.094616007012339</v>
      </c>
      <c r="K66" s="160">
        <f t="shared" si="27"/>
        <v>32723</v>
      </c>
      <c r="L66" s="160">
        <f t="shared" si="28"/>
        <v>64937</v>
      </c>
      <c r="M66" s="161">
        <f>H66/H$8</f>
        <v>3.4443514698165147E-3</v>
      </c>
      <c r="N66" s="79"/>
    </row>
    <row r="67" spans="1:14" x14ac:dyDescent="0.25">
      <c r="A67" s="158" t="s">
        <v>100</v>
      </c>
      <c r="B67" s="159" t="s">
        <v>100</v>
      </c>
      <c r="C67" s="160">
        <v>90447</v>
      </c>
      <c r="D67" s="160">
        <v>61246</v>
      </c>
      <c r="E67" s="160">
        <v>24428</v>
      </c>
      <c r="F67" s="160">
        <v>46538</v>
      </c>
      <c r="G67" s="160">
        <v>81929</v>
      </c>
      <c r="H67" s="160">
        <v>132084</v>
      </c>
      <c r="I67" s="161">
        <f>IFERROR(H67/G67-1,"-")</f>
        <v>0.61217639663611179</v>
      </c>
      <c r="J67" s="175">
        <f t="shared" si="26"/>
        <v>4.4070738496806943</v>
      </c>
      <c r="K67" s="160">
        <f t="shared" si="27"/>
        <v>50155</v>
      </c>
      <c r="L67" s="160">
        <f t="shared" si="28"/>
        <v>107656</v>
      </c>
      <c r="M67" s="161">
        <f>H67/H$8</f>
        <v>3.6611947396145571E-3</v>
      </c>
      <c r="N67" s="79"/>
    </row>
    <row r="68" spans="1:14" x14ac:dyDescent="0.25">
      <c r="A68" s="1"/>
      <c r="B68" s="155" t="s">
        <v>107</v>
      </c>
      <c r="C68" s="156">
        <v>676089</v>
      </c>
      <c r="D68" s="156">
        <v>211176</v>
      </c>
      <c r="E68" s="156">
        <v>335618</v>
      </c>
      <c r="F68" s="156">
        <v>895441</v>
      </c>
      <c r="G68" s="156">
        <v>861482</v>
      </c>
      <c r="H68" s="156">
        <v>1105070</v>
      </c>
      <c r="I68" s="157">
        <f>IFERROR(H68/G68-1,"-")</f>
        <v>0.28275460195337798</v>
      </c>
      <c r="J68" s="174">
        <f t="shared" si="26"/>
        <v>2.2926422301545211</v>
      </c>
      <c r="K68" s="156">
        <f t="shared" si="27"/>
        <v>243588</v>
      </c>
      <c r="L68" s="156">
        <f t="shared" si="28"/>
        <v>769452</v>
      </c>
      <c r="M68" s="157">
        <f>H68/H$8</f>
        <v>3.063108681525286E-2</v>
      </c>
      <c r="N68" s="79"/>
    </row>
    <row r="69" spans="1:14" s="56" customFormat="1" x14ac:dyDescent="0.25">
      <c r="B69" s="159" t="s">
        <v>110</v>
      </c>
      <c r="C69" s="160">
        <v>286315</v>
      </c>
      <c r="D69" s="160">
        <v>94120</v>
      </c>
      <c r="E69" s="160">
        <v>85414</v>
      </c>
      <c r="F69" s="160">
        <v>399420</v>
      </c>
      <c r="G69" s="160">
        <v>324780</v>
      </c>
      <c r="H69" s="160">
        <v>454766</v>
      </c>
      <c r="I69" s="161">
        <f t="shared" ref="I69:I76" si="29">IFERROR(H69/G69-1,"-")</f>
        <v>0.40022784654227483</v>
      </c>
      <c r="J69" s="175">
        <f t="shared" si="26"/>
        <v>4.3242559767719575</v>
      </c>
      <c r="K69" s="160">
        <f t="shared" si="27"/>
        <v>129986</v>
      </c>
      <c r="L69" s="160">
        <f t="shared" si="28"/>
        <v>369352</v>
      </c>
      <c r="M69" s="161">
        <f t="shared" ref="M69:M76" si="30">H69/H$8</f>
        <v>1.2605515330816403E-2</v>
      </c>
      <c r="N69" s="162"/>
    </row>
    <row r="70" spans="1:14" s="56" customFormat="1" x14ac:dyDescent="0.25">
      <c r="B70" s="159" t="s">
        <v>113</v>
      </c>
      <c r="C70" s="160">
        <v>94492</v>
      </c>
      <c r="D70" s="160">
        <v>27344</v>
      </c>
      <c r="E70" s="160">
        <v>36140</v>
      </c>
      <c r="F70" s="160">
        <v>56705</v>
      </c>
      <c r="G70" s="160">
        <v>85292</v>
      </c>
      <c r="H70" s="160">
        <v>78559</v>
      </c>
      <c r="I70" s="161">
        <f t="shared" si="29"/>
        <v>-7.8940580593725107E-2</v>
      </c>
      <c r="J70" s="175">
        <f t="shared" si="26"/>
        <v>1.1737410071942445</v>
      </c>
      <c r="K70" s="160">
        <f t="shared" si="27"/>
        <v>-6733</v>
      </c>
      <c r="L70" s="160">
        <f t="shared" si="28"/>
        <v>42419</v>
      </c>
      <c r="M70" s="161">
        <f t="shared" si="30"/>
        <v>2.1775521452210714E-3</v>
      </c>
      <c r="N70" s="162"/>
    </row>
    <row r="71" spans="1:14" x14ac:dyDescent="0.25">
      <c r="A71" s="1"/>
      <c r="B71" s="159" t="s">
        <v>116</v>
      </c>
      <c r="C71" s="160">
        <v>75234</v>
      </c>
      <c r="D71" s="160">
        <v>21566</v>
      </c>
      <c r="E71" s="160">
        <v>44372</v>
      </c>
      <c r="F71" s="160">
        <v>126795</v>
      </c>
      <c r="G71" s="160">
        <v>108706</v>
      </c>
      <c r="H71" s="160">
        <v>131979</v>
      </c>
      <c r="I71" s="161">
        <f t="shared" si="29"/>
        <v>0.21409121851599733</v>
      </c>
      <c r="J71" s="175">
        <f t="shared" si="26"/>
        <v>1.9743757324438835</v>
      </c>
      <c r="K71" s="160">
        <f t="shared" si="27"/>
        <v>23273</v>
      </c>
      <c r="L71" s="160">
        <f t="shared" si="28"/>
        <v>87607</v>
      </c>
      <c r="M71" s="161">
        <f t="shared" si="30"/>
        <v>3.6582842777292453E-3</v>
      </c>
      <c r="N71" s="79"/>
    </row>
    <row r="72" spans="1:14" x14ac:dyDescent="0.25">
      <c r="A72" s="1"/>
      <c r="B72" s="159" t="s">
        <v>123</v>
      </c>
      <c r="C72" s="160">
        <v>11792</v>
      </c>
      <c r="D72" s="160">
        <v>3914</v>
      </c>
      <c r="E72" s="160">
        <v>28426</v>
      </c>
      <c r="F72" s="160">
        <v>25157</v>
      </c>
      <c r="G72" s="160">
        <v>26613</v>
      </c>
      <c r="H72" s="160">
        <v>47499</v>
      </c>
      <c r="I72" s="161">
        <f t="shared" si="29"/>
        <v>0.7848044188930221</v>
      </c>
      <c r="J72" s="175">
        <f t="shared" si="26"/>
        <v>0.67097023851403637</v>
      </c>
      <c r="K72" s="160">
        <f t="shared" si="27"/>
        <v>20886</v>
      </c>
      <c r="L72" s="160">
        <f t="shared" si="28"/>
        <v>19073</v>
      </c>
      <c r="M72" s="161">
        <f t="shared" si="30"/>
        <v>1.3166098008612083E-3</v>
      </c>
      <c r="N72" s="79"/>
    </row>
    <row r="73" spans="1:14" x14ac:dyDescent="0.25">
      <c r="A73" s="1"/>
      <c r="B73" s="159" t="s">
        <v>119</v>
      </c>
      <c r="C73" s="160">
        <v>17507</v>
      </c>
      <c r="D73" s="160">
        <v>8571</v>
      </c>
      <c r="E73" s="160">
        <v>16869</v>
      </c>
      <c r="F73" s="160">
        <v>22926</v>
      </c>
      <c r="G73" s="160">
        <v>17467</v>
      </c>
      <c r="H73" s="160">
        <v>27574</v>
      </c>
      <c r="I73" s="161">
        <f t="shared" si="29"/>
        <v>0.5786339955344364</v>
      </c>
      <c r="J73" s="175">
        <f t="shared" si="26"/>
        <v>0.63459600450530562</v>
      </c>
      <c r="K73" s="160">
        <f t="shared" si="27"/>
        <v>10107</v>
      </c>
      <c r="L73" s="160">
        <f t="shared" si="28"/>
        <v>10705</v>
      </c>
      <c r="M73" s="161">
        <f t="shared" si="30"/>
        <v>7.6431500976751005E-4</v>
      </c>
      <c r="N73" s="79"/>
    </row>
    <row r="74" spans="1:14" x14ac:dyDescent="0.25">
      <c r="A74" s="1"/>
      <c r="B74" s="159" t="s">
        <v>128</v>
      </c>
      <c r="C74" s="160">
        <v>15819</v>
      </c>
      <c r="D74" s="160">
        <v>5541</v>
      </c>
      <c r="E74" s="160">
        <v>14404</v>
      </c>
      <c r="F74" s="160">
        <v>20957</v>
      </c>
      <c r="G74" s="160">
        <v>26801</v>
      </c>
      <c r="H74" s="160">
        <v>24320</v>
      </c>
      <c r="I74" s="161">
        <f t="shared" si="29"/>
        <v>-9.2571172717435868E-2</v>
      </c>
      <c r="J74" s="175">
        <f t="shared" si="26"/>
        <v>0.68841988336573179</v>
      </c>
      <c r="K74" s="160">
        <f t="shared" si="27"/>
        <v>-2481</v>
      </c>
      <c r="L74" s="160">
        <f t="shared" si="28"/>
        <v>9916</v>
      </c>
      <c r="M74" s="161">
        <f t="shared" si="30"/>
        <v>6.7411841000746518E-4</v>
      </c>
      <c r="N74" s="79"/>
    </row>
    <row r="75" spans="1:14" x14ac:dyDescent="0.25">
      <c r="A75" s="158" t="s">
        <v>144</v>
      </c>
      <c r="B75" s="159" t="s">
        <v>131</v>
      </c>
      <c r="C75" s="160">
        <v>12733</v>
      </c>
      <c r="D75" s="160">
        <v>5018</v>
      </c>
      <c r="E75" s="160">
        <v>1659</v>
      </c>
      <c r="F75" s="160">
        <v>6100</v>
      </c>
      <c r="G75" s="160">
        <v>7680</v>
      </c>
      <c r="H75" s="160">
        <v>21506</v>
      </c>
      <c r="I75" s="161">
        <f t="shared" si="29"/>
        <v>1.8002604166666667</v>
      </c>
      <c r="J75" s="175">
        <f t="shared" si="26"/>
        <v>11.963230861965039</v>
      </c>
      <c r="K75" s="160">
        <f t="shared" si="27"/>
        <v>13826</v>
      </c>
      <c r="L75" s="160">
        <f t="shared" si="28"/>
        <v>19847</v>
      </c>
      <c r="M75" s="161">
        <f t="shared" si="30"/>
        <v>5.9611803148110795E-4</v>
      </c>
      <c r="N75" s="79"/>
    </row>
    <row r="76" spans="1:14" x14ac:dyDescent="0.25">
      <c r="A76" s="163" t="s">
        <v>145</v>
      </c>
      <c r="B76" s="164" t="s">
        <v>145</v>
      </c>
      <c r="C76" s="165">
        <f t="shared" ref="C76:H76" si="31">C68-SUM(C69:C75)</f>
        <v>162197</v>
      </c>
      <c r="D76" s="165">
        <f t="shared" si="31"/>
        <v>45102</v>
      </c>
      <c r="E76" s="165">
        <f t="shared" si="31"/>
        <v>108334</v>
      </c>
      <c r="F76" s="165">
        <f t="shared" si="31"/>
        <v>237381</v>
      </c>
      <c r="G76" s="165">
        <f t="shared" si="31"/>
        <v>264143</v>
      </c>
      <c r="H76" s="165">
        <f t="shared" si="31"/>
        <v>318867</v>
      </c>
      <c r="I76" s="166">
        <f t="shared" si="29"/>
        <v>0.20717565863944909</v>
      </c>
      <c r="J76" s="176">
        <f t="shared" si="26"/>
        <v>1.9433695792641275</v>
      </c>
      <c r="K76" s="165">
        <f>H76-G76</f>
        <v>54724</v>
      </c>
      <c r="L76" s="165">
        <f t="shared" si="28"/>
        <v>210533</v>
      </c>
      <c r="M76" s="166">
        <f t="shared" si="30"/>
        <v>8.8385738093688486E-3</v>
      </c>
      <c r="N76" s="79"/>
    </row>
    <row r="77" spans="1:14" s="142" customFormat="1" x14ac:dyDescent="0.25">
      <c r="B77" s="151" t="s">
        <v>48</v>
      </c>
      <c r="C77" s="149"/>
      <c r="D77" s="149"/>
      <c r="E77" s="149"/>
      <c r="F77" s="149"/>
      <c r="G77" s="149"/>
      <c r="H77" s="149"/>
      <c r="I77" s="149"/>
      <c r="J77" s="149"/>
      <c r="K77" s="149"/>
      <c r="L77" s="149"/>
      <c r="M77" s="149"/>
    </row>
    <row r="78" spans="1:14" x14ac:dyDescent="0.25">
      <c r="A78" s="1">
        <v>3</v>
      </c>
      <c r="B78" s="152" t="s">
        <v>68</v>
      </c>
      <c r="C78" s="172">
        <v>5492551</v>
      </c>
      <c r="D78" s="172">
        <v>1546641</v>
      </c>
      <c r="E78" s="172">
        <v>1967362</v>
      </c>
      <c r="F78" s="172">
        <v>4352393</v>
      </c>
      <c r="G78" s="172">
        <v>5123327</v>
      </c>
      <c r="H78" s="172">
        <v>5751799</v>
      </c>
      <c r="I78" s="173">
        <f>IFERROR(H78/G78-1,"-")</f>
        <v>0.12266872678632468</v>
      </c>
      <c r="J78" s="173">
        <f>IFERROR(H78/E78-1,"-")</f>
        <v>1.9236098897915075</v>
      </c>
      <c r="K78" s="172">
        <f>H78-G78</f>
        <v>628472</v>
      </c>
      <c r="L78" s="172">
        <f>H78-E78</f>
        <v>3784437</v>
      </c>
      <c r="M78" s="173">
        <f>H78/H$8</f>
        <v>0.15943230249023554</v>
      </c>
      <c r="N78" s="79"/>
    </row>
    <row r="79" spans="1:14" x14ac:dyDescent="0.25">
      <c r="A79" s="1" t="s">
        <v>96</v>
      </c>
      <c r="B79" s="155" t="s">
        <v>97</v>
      </c>
      <c r="C79" s="156">
        <v>1871426</v>
      </c>
      <c r="D79" s="156">
        <v>472177</v>
      </c>
      <c r="E79" s="156">
        <v>765462</v>
      </c>
      <c r="F79" s="156">
        <v>1656388</v>
      </c>
      <c r="G79" s="156">
        <v>1641108</v>
      </c>
      <c r="H79" s="156">
        <v>1680399</v>
      </c>
      <c r="I79" s="157">
        <f>IFERROR(H79/G79-1,"-")</f>
        <v>2.3941751548344214E-2</v>
      </c>
      <c r="J79" s="174">
        <f t="shared" ref="J79:J90" si="32">IFERROR(H79/E79-1,"-")</f>
        <v>1.1952742265455374</v>
      </c>
      <c r="K79" s="156">
        <f t="shared" ref="K79:K89" si="33">H79-G79</f>
        <v>39291</v>
      </c>
      <c r="L79" s="156">
        <f t="shared" ref="L79:L90" si="34">H79-E79</f>
        <v>914937</v>
      </c>
      <c r="M79" s="157">
        <f>H79/H$8</f>
        <v>4.6578449920153558E-2</v>
      </c>
      <c r="N79" s="79"/>
    </row>
    <row r="80" spans="1:14" x14ac:dyDescent="0.25">
      <c r="A80" s="158" t="s">
        <v>103</v>
      </c>
      <c r="B80" s="159" t="s">
        <v>103</v>
      </c>
      <c r="C80" s="160">
        <v>208038</v>
      </c>
      <c r="D80" s="160">
        <v>71537</v>
      </c>
      <c r="E80" s="160">
        <v>181910</v>
      </c>
      <c r="F80" s="160">
        <v>247663</v>
      </c>
      <c r="G80" s="160">
        <v>255714</v>
      </c>
      <c r="H80" s="160">
        <v>287334</v>
      </c>
      <c r="I80" s="161">
        <f>IFERROR(H80/G80-1,"-")</f>
        <v>0.1236537694455524</v>
      </c>
      <c r="J80" s="175">
        <f t="shared" si="32"/>
        <v>0.5795393326370184</v>
      </c>
      <c r="K80" s="160">
        <f t="shared" si="33"/>
        <v>31620</v>
      </c>
      <c r="L80" s="160">
        <f t="shared" si="34"/>
        <v>105424</v>
      </c>
      <c r="M80" s="161">
        <f>H80/H$8</f>
        <v>7.9645205271827724E-3</v>
      </c>
      <c r="N80" s="79"/>
    </row>
    <row r="81" spans="1:14" x14ac:dyDescent="0.25">
      <c r="A81" s="158" t="s">
        <v>100</v>
      </c>
      <c r="B81" s="159" t="s">
        <v>100</v>
      </c>
      <c r="C81" s="160">
        <v>1663388</v>
      </c>
      <c r="D81" s="160">
        <v>400640</v>
      </c>
      <c r="E81" s="160">
        <v>583552</v>
      </c>
      <c r="F81" s="160">
        <v>1408725</v>
      </c>
      <c r="G81" s="160">
        <v>1385394</v>
      </c>
      <c r="H81" s="160">
        <v>1393065</v>
      </c>
      <c r="I81" s="161">
        <f>IFERROR(H81/G81-1,"-")</f>
        <v>5.5370529971978666E-3</v>
      </c>
      <c r="J81" s="175">
        <f t="shared" si="32"/>
        <v>1.3872165633910947</v>
      </c>
      <c r="K81" s="160">
        <f t="shared" si="33"/>
        <v>7671</v>
      </c>
      <c r="L81" s="160">
        <f t="shared" si="34"/>
        <v>809513</v>
      </c>
      <c r="M81" s="161">
        <f>H81/H$8</f>
        <v>3.8613929392970786E-2</v>
      </c>
      <c r="N81" s="79"/>
    </row>
    <row r="82" spans="1:14" x14ac:dyDescent="0.25">
      <c r="A82" s="1"/>
      <c r="B82" s="155" t="s">
        <v>107</v>
      </c>
      <c r="C82" s="156">
        <v>3621125</v>
      </c>
      <c r="D82" s="156">
        <v>1074464</v>
      </c>
      <c r="E82" s="156">
        <v>1201900</v>
      </c>
      <c r="F82" s="156">
        <v>2696005</v>
      </c>
      <c r="G82" s="156">
        <v>3482219</v>
      </c>
      <c r="H82" s="156">
        <v>4071400</v>
      </c>
      <c r="I82" s="157">
        <f>IFERROR(H82/G82-1,"-")</f>
        <v>0.16919699766154861</v>
      </c>
      <c r="J82" s="174">
        <f t="shared" si="32"/>
        <v>2.3874698394209171</v>
      </c>
      <c r="K82" s="156">
        <f t="shared" si="33"/>
        <v>589181</v>
      </c>
      <c r="L82" s="156">
        <f t="shared" si="34"/>
        <v>2869500</v>
      </c>
      <c r="M82" s="157">
        <f>H82/H$8</f>
        <v>0.11285385257008199</v>
      </c>
      <c r="N82" s="79"/>
    </row>
    <row r="83" spans="1:14" s="56" customFormat="1" x14ac:dyDescent="0.25">
      <c r="B83" s="159" t="s">
        <v>110</v>
      </c>
      <c r="C83" s="160">
        <v>574884</v>
      </c>
      <c r="D83" s="160">
        <v>163077</v>
      </c>
      <c r="E83" s="160">
        <v>114301</v>
      </c>
      <c r="F83" s="160">
        <v>504044</v>
      </c>
      <c r="G83" s="160">
        <v>666541</v>
      </c>
      <c r="H83" s="160">
        <v>786563</v>
      </c>
      <c r="I83" s="161">
        <f t="shared" ref="I83:I90" si="35">IFERROR(H83/G83-1,"-")</f>
        <v>0.18006694261868361</v>
      </c>
      <c r="J83" s="175">
        <f t="shared" si="32"/>
        <v>5.8815058485927505</v>
      </c>
      <c r="K83" s="160">
        <f t="shared" si="33"/>
        <v>120022</v>
      </c>
      <c r="L83" s="160">
        <f t="shared" si="34"/>
        <v>672262</v>
      </c>
      <c r="M83" s="161">
        <f t="shared" ref="M83:M90" si="36">H83/H$8</f>
        <v>2.1802491732347939E-2</v>
      </c>
      <c r="N83" s="162"/>
    </row>
    <row r="84" spans="1:14" s="56" customFormat="1" x14ac:dyDescent="0.25">
      <c r="B84" s="159" t="s">
        <v>113</v>
      </c>
      <c r="C84" s="160">
        <v>1562789</v>
      </c>
      <c r="D84" s="160">
        <v>445011</v>
      </c>
      <c r="E84" s="160">
        <v>478237</v>
      </c>
      <c r="F84" s="160">
        <v>1014024</v>
      </c>
      <c r="G84" s="160">
        <v>1210830</v>
      </c>
      <c r="H84" s="160">
        <v>1374516</v>
      </c>
      <c r="I84" s="161">
        <f t="shared" si="35"/>
        <v>0.13518495577413847</v>
      </c>
      <c r="J84" s="175">
        <f t="shared" si="32"/>
        <v>1.8741314452875875</v>
      </c>
      <c r="K84" s="160">
        <f t="shared" si="33"/>
        <v>163686</v>
      </c>
      <c r="L84" s="160">
        <f t="shared" si="34"/>
        <v>896279</v>
      </c>
      <c r="M84" s="161">
        <f t="shared" si="36"/>
        <v>3.8099775511916983E-2</v>
      </c>
      <c r="N84" s="162"/>
    </row>
    <row r="85" spans="1:14" x14ac:dyDescent="0.25">
      <c r="A85" s="1"/>
      <c r="B85" s="159" t="s">
        <v>116</v>
      </c>
      <c r="C85" s="160">
        <v>173660</v>
      </c>
      <c r="D85" s="160">
        <v>48969</v>
      </c>
      <c r="E85" s="160">
        <v>105849</v>
      </c>
      <c r="F85" s="160">
        <v>179405</v>
      </c>
      <c r="G85" s="160">
        <v>275311</v>
      </c>
      <c r="H85" s="160">
        <v>384207</v>
      </c>
      <c r="I85" s="161">
        <f t="shared" si="35"/>
        <v>0.3955381368706663</v>
      </c>
      <c r="J85" s="175">
        <f t="shared" si="32"/>
        <v>2.6297650426551029</v>
      </c>
      <c r="K85" s="160">
        <f t="shared" si="33"/>
        <v>108896</v>
      </c>
      <c r="L85" s="160">
        <f t="shared" si="34"/>
        <v>278358</v>
      </c>
      <c r="M85" s="161">
        <f t="shared" si="36"/>
        <v>1.0649712662571472E-2</v>
      </c>
      <c r="N85" s="79"/>
    </row>
    <row r="86" spans="1:14" x14ac:dyDescent="0.25">
      <c r="A86" s="1"/>
      <c r="B86" s="159" t="s">
        <v>123</v>
      </c>
      <c r="C86" s="160">
        <v>75235</v>
      </c>
      <c r="D86" s="160">
        <v>15102</v>
      </c>
      <c r="E86" s="160">
        <v>38224</v>
      </c>
      <c r="F86" s="160">
        <v>75513</v>
      </c>
      <c r="G86" s="160">
        <v>90350</v>
      </c>
      <c r="H86" s="160">
        <v>134266</v>
      </c>
      <c r="I86" s="161">
        <f t="shared" si="35"/>
        <v>0.48606530160486994</v>
      </c>
      <c r="J86" s="175">
        <f t="shared" si="32"/>
        <v>2.5126098786102973</v>
      </c>
      <c r="K86" s="160">
        <f t="shared" si="33"/>
        <v>43916</v>
      </c>
      <c r="L86" s="160">
        <f t="shared" si="34"/>
        <v>96042</v>
      </c>
      <c r="M86" s="161">
        <f t="shared" si="36"/>
        <v>3.7216769094597993E-3</v>
      </c>
      <c r="N86" s="79"/>
    </row>
    <row r="87" spans="1:14" x14ac:dyDescent="0.25">
      <c r="A87" s="1"/>
      <c r="B87" s="159" t="s">
        <v>119</v>
      </c>
      <c r="C87" s="160">
        <v>46816</v>
      </c>
      <c r="D87" s="160">
        <v>14962</v>
      </c>
      <c r="E87" s="160">
        <v>33300</v>
      </c>
      <c r="F87" s="160">
        <v>33738</v>
      </c>
      <c r="G87" s="160">
        <v>45567</v>
      </c>
      <c r="H87" s="160">
        <v>58820</v>
      </c>
      <c r="I87" s="161">
        <f t="shared" si="35"/>
        <v>0.29084644589286102</v>
      </c>
      <c r="J87" s="175">
        <f t="shared" si="32"/>
        <v>0.76636636636636646</v>
      </c>
      <c r="K87" s="160">
        <f t="shared" si="33"/>
        <v>13253</v>
      </c>
      <c r="L87" s="160">
        <f t="shared" si="34"/>
        <v>25520</v>
      </c>
      <c r="M87" s="161">
        <f t="shared" si="36"/>
        <v>1.6304130294670684E-3</v>
      </c>
      <c r="N87" s="79"/>
    </row>
    <row r="88" spans="1:14" x14ac:dyDescent="0.25">
      <c r="A88" s="1"/>
      <c r="B88" s="159" t="s">
        <v>128</v>
      </c>
      <c r="C88" s="160">
        <v>74813</v>
      </c>
      <c r="D88" s="160">
        <v>30460</v>
      </c>
      <c r="E88" s="160">
        <v>20871</v>
      </c>
      <c r="F88" s="160">
        <v>63463</v>
      </c>
      <c r="G88" s="160">
        <v>74935</v>
      </c>
      <c r="H88" s="160">
        <v>68632</v>
      </c>
      <c r="I88" s="161">
        <f t="shared" si="35"/>
        <v>-8.4112897844798806E-2</v>
      </c>
      <c r="J88" s="175">
        <f t="shared" si="32"/>
        <v>2.2883905898136168</v>
      </c>
      <c r="K88" s="160">
        <f t="shared" si="33"/>
        <v>-6303</v>
      </c>
      <c r="L88" s="160">
        <f t="shared" si="34"/>
        <v>47761</v>
      </c>
      <c r="M88" s="161">
        <f t="shared" si="36"/>
        <v>1.9023887629783039E-3</v>
      </c>
      <c r="N88" s="79"/>
    </row>
    <row r="89" spans="1:14" x14ac:dyDescent="0.25">
      <c r="A89" s="158" t="s">
        <v>144</v>
      </c>
      <c r="B89" s="159" t="s">
        <v>131</v>
      </c>
      <c r="C89" s="160">
        <v>112745</v>
      </c>
      <c r="D89" s="160">
        <v>50030</v>
      </c>
      <c r="E89" s="160">
        <v>22441</v>
      </c>
      <c r="F89" s="160">
        <v>59972</v>
      </c>
      <c r="G89" s="160">
        <v>81697</v>
      </c>
      <c r="H89" s="160">
        <v>79675</v>
      </c>
      <c r="I89" s="161">
        <f t="shared" si="35"/>
        <v>-2.4749990819736389E-2</v>
      </c>
      <c r="J89" s="175">
        <f t="shared" si="32"/>
        <v>2.5504211042288669</v>
      </c>
      <c r="K89" s="160">
        <f t="shared" si="33"/>
        <v>-2022</v>
      </c>
      <c r="L89" s="160">
        <f t="shared" si="34"/>
        <v>57234</v>
      </c>
      <c r="M89" s="161">
        <f t="shared" si="36"/>
        <v>2.2084861972592432E-3</v>
      </c>
      <c r="N89" s="79"/>
    </row>
    <row r="90" spans="1:14" x14ac:dyDescent="0.25">
      <c r="A90" s="163" t="s">
        <v>145</v>
      </c>
      <c r="B90" s="164" t="s">
        <v>145</v>
      </c>
      <c r="C90" s="165">
        <f t="shared" ref="C90:H90" si="37">C82-SUM(C83:C89)</f>
        <v>1000183</v>
      </c>
      <c r="D90" s="165">
        <f t="shared" si="37"/>
        <v>306853</v>
      </c>
      <c r="E90" s="165">
        <f t="shared" si="37"/>
        <v>388677</v>
      </c>
      <c r="F90" s="165">
        <f t="shared" si="37"/>
        <v>765846</v>
      </c>
      <c r="G90" s="165">
        <f t="shared" si="37"/>
        <v>1036988</v>
      </c>
      <c r="H90" s="165">
        <f t="shared" si="37"/>
        <v>1184721</v>
      </c>
      <c r="I90" s="166">
        <f t="shared" si="35"/>
        <v>0.14246355791966736</v>
      </c>
      <c r="J90" s="176">
        <f t="shared" si="32"/>
        <v>2.0480862001096027</v>
      </c>
      <c r="K90" s="165">
        <f>H90-G90</f>
        <v>147733</v>
      </c>
      <c r="L90" s="165">
        <f t="shared" si="34"/>
        <v>796044</v>
      </c>
      <c r="M90" s="166">
        <f t="shared" si="36"/>
        <v>3.2838907764081174E-2</v>
      </c>
      <c r="N90" s="79"/>
    </row>
    <row r="91" spans="1:14" s="142" customFormat="1" x14ac:dyDescent="0.25">
      <c r="B91" s="151" t="s">
        <v>49</v>
      </c>
      <c r="C91" s="149"/>
      <c r="D91" s="149"/>
      <c r="E91" s="149"/>
      <c r="F91" s="149"/>
      <c r="G91" s="149"/>
      <c r="H91" s="149"/>
      <c r="I91" s="149"/>
      <c r="J91" s="149"/>
      <c r="K91" s="149"/>
      <c r="L91" s="149"/>
      <c r="M91" s="149"/>
    </row>
    <row r="92" spans="1:14" x14ac:dyDescent="0.25">
      <c r="A92" s="1">
        <v>3</v>
      </c>
      <c r="B92" s="152" t="s">
        <v>68</v>
      </c>
      <c r="C92" s="172">
        <v>136126</v>
      </c>
      <c r="D92" s="172">
        <v>59047</v>
      </c>
      <c r="E92" s="172">
        <v>83402</v>
      </c>
      <c r="F92" s="172">
        <v>137757</v>
      </c>
      <c r="G92" s="172">
        <v>148334</v>
      </c>
      <c r="H92" s="172">
        <v>152300</v>
      </c>
      <c r="I92" s="173">
        <f>IFERROR(H92/G92-1,"-")</f>
        <v>2.6736958485579887E-2</v>
      </c>
      <c r="J92" s="173">
        <f>IFERROR(H92/E92-1,"-")</f>
        <v>0.82609529747488075</v>
      </c>
      <c r="K92" s="172">
        <f>H92-G92</f>
        <v>3966</v>
      </c>
      <c r="L92" s="172">
        <f>H92-E92</f>
        <v>68898</v>
      </c>
      <c r="M92" s="173">
        <f>H92/H$8</f>
        <v>4.2215556679332626E-3</v>
      </c>
      <c r="N92" s="79"/>
    </row>
    <row r="93" spans="1:14" x14ac:dyDescent="0.25">
      <c r="A93" s="1" t="s">
        <v>96</v>
      </c>
      <c r="B93" s="155" t="s">
        <v>97</v>
      </c>
      <c r="C93" s="156">
        <v>72932</v>
      </c>
      <c r="D93" s="156">
        <v>31800</v>
      </c>
      <c r="E93" s="156">
        <v>42063</v>
      </c>
      <c r="F93" s="156">
        <v>70951</v>
      </c>
      <c r="G93" s="156">
        <v>72432</v>
      </c>
      <c r="H93" s="156">
        <v>71061</v>
      </c>
      <c r="I93" s="157">
        <f>IFERROR(H93/G93-1,"-")</f>
        <v>-1.8928098078197508E-2</v>
      </c>
      <c r="J93" s="174">
        <f t="shared" ref="J93:J104" si="38">IFERROR(H93/E93-1,"-")</f>
        <v>0.68939447970900791</v>
      </c>
      <c r="K93" s="156">
        <f t="shared" ref="K93:K103" si="39">H93-G93</f>
        <v>-1371</v>
      </c>
      <c r="L93" s="156">
        <f t="shared" ref="L93:L104" si="40">H93-E93</f>
        <v>28998</v>
      </c>
      <c r="M93" s="157">
        <f>H93/H$8</f>
        <v>1.9697174479251845E-3</v>
      </c>
      <c r="N93" s="79"/>
    </row>
    <row r="94" spans="1:14" x14ac:dyDescent="0.25">
      <c r="A94" s="158" t="s">
        <v>103</v>
      </c>
      <c r="B94" s="159" t="s">
        <v>103</v>
      </c>
      <c r="C94" s="160">
        <v>33003</v>
      </c>
      <c r="D94" s="160">
        <v>15549</v>
      </c>
      <c r="E94" s="160">
        <v>20037</v>
      </c>
      <c r="F94" s="160">
        <v>30228</v>
      </c>
      <c r="G94" s="160">
        <v>19606</v>
      </c>
      <c r="H94" s="160">
        <v>21646</v>
      </c>
      <c r="I94" s="161">
        <f>IFERROR(H94/G94-1,"-")</f>
        <v>0.10404978067938386</v>
      </c>
      <c r="J94" s="175">
        <f t="shared" si="38"/>
        <v>8.0301442331686346E-2</v>
      </c>
      <c r="K94" s="160">
        <f t="shared" si="39"/>
        <v>2040</v>
      </c>
      <c r="L94" s="160">
        <f t="shared" si="40"/>
        <v>1609</v>
      </c>
      <c r="M94" s="161">
        <f>H94/H$8</f>
        <v>5.9999864732819042E-4</v>
      </c>
      <c r="N94" s="79"/>
    </row>
    <row r="95" spans="1:14" x14ac:dyDescent="0.25">
      <c r="A95" s="158" t="s">
        <v>100</v>
      </c>
      <c r="B95" s="159" t="s">
        <v>100</v>
      </c>
      <c r="C95" s="160">
        <v>39929</v>
      </c>
      <c r="D95" s="160">
        <v>16251</v>
      </c>
      <c r="E95" s="160">
        <v>22026</v>
      </c>
      <c r="F95" s="160">
        <v>40723</v>
      </c>
      <c r="G95" s="160">
        <v>52826</v>
      </c>
      <c r="H95" s="160">
        <v>49415</v>
      </c>
      <c r="I95" s="161">
        <f>IFERROR(H95/G95-1,"-")</f>
        <v>-6.4570476659220888E-2</v>
      </c>
      <c r="J95" s="175">
        <f t="shared" si="38"/>
        <v>1.2434849723054571</v>
      </c>
      <c r="K95" s="160">
        <f t="shared" si="39"/>
        <v>-3411</v>
      </c>
      <c r="L95" s="160">
        <f t="shared" si="40"/>
        <v>27389</v>
      </c>
      <c r="M95" s="161">
        <f>H95/H$8</f>
        <v>1.3697188005969939E-3</v>
      </c>
      <c r="N95" s="79"/>
    </row>
    <row r="96" spans="1:14" x14ac:dyDescent="0.25">
      <c r="A96" s="1"/>
      <c r="B96" s="155" t="s">
        <v>107</v>
      </c>
      <c r="C96" s="156">
        <v>63194</v>
      </c>
      <c r="D96" s="156">
        <v>27247</v>
      </c>
      <c r="E96" s="156">
        <v>41339</v>
      </c>
      <c r="F96" s="156">
        <v>66806</v>
      </c>
      <c r="G96" s="156">
        <v>75902</v>
      </c>
      <c r="H96" s="156">
        <v>81239</v>
      </c>
      <c r="I96" s="157">
        <f>IFERROR(H96/G96-1,"-")</f>
        <v>7.0314352717978368E-2</v>
      </c>
      <c r="J96" s="174">
        <f t="shared" si="38"/>
        <v>0.96519025617455667</v>
      </c>
      <c r="K96" s="156">
        <f t="shared" si="39"/>
        <v>5337</v>
      </c>
      <c r="L96" s="156">
        <f t="shared" si="40"/>
        <v>39900</v>
      </c>
      <c r="M96" s="157">
        <f>H96/H$8</f>
        <v>2.2518382200080785E-3</v>
      </c>
      <c r="N96" s="79"/>
    </row>
    <row r="97" spans="1:14" s="56" customFormat="1" x14ac:dyDescent="0.25">
      <c r="B97" s="159" t="s">
        <v>110</v>
      </c>
      <c r="C97" s="160">
        <v>8082</v>
      </c>
      <c r="D97" s="160">
        <v>5019</v>
      </c>
      <c r="E97" s="160">
        <v>3494</v>
      </c>
      <c r="F97" s="160">
        <v>9249</v>
      </c>
      <c r="G97" s="160">
        <v>11177</v>
      </c>
      <c r="H97" s="160">
        <v>12296</v>
      </c>
      <c r="I97" s="161">
        <f t="shared" ref="I97:I104" si="41">IFERROR(H97/G97-1,"-")</f>
        <v>0.10011631028003931</v>
      </c>
      <c r="J97" s="175">
        <f t="shared" si="38"/>
        <v>2.5191757298225528</v>
      </c>
      <c r="K97" s="160">
        <f t="shared" si="39"/>
        <v>1119</v>
      </c>
      <c r="L97" s="160">
        <f t="shared" si="40"/>
        <v>8802</v>
      </c>
      <c r="M97" s="161">
        <f t="shared" ref="M97:M104" si="42">H97/H$8</f>
        <v>3.4082894611232699E-4</v>
      </c>
      <c r="N97" s="162"/>
    </row>
    <row r="98" spans="1:14" s="56" customFormat="1" x14ac:dyDescent="0.25">
      <c r="B98" s="159" t="s">
        <v>113</v>
      </c>
      <c r="C98" s="160">
        <v>21366</v>
      </c>
      <c r="D98" s="160">
        <v>7473</v>
      </c>
      <c r="E98" s="160">
        <v>15393</v>
      </c>
      <c r="F98" s="160">
        <v>21050</v>
      </c>
      <c r="G98" s="160">
        <v>22639</v>
      </c>
      <c r="H98" s="160">
        <v>25055</v>
      </c>
      <c r="I98" s="161">
        <f t="shared" si="41"/>
        <v>0.10671849463315519</v>
      </c>
      <c r="J98" s="175">
        <f t="shared" si="38"/>
        <v>0.6276879100890016</v>
      </c>
      <c r="K98" s="160">
        <f t="shared" si="39"/>
        <v>2416</v>
      </c>
      <c r="L98" s="160">
        <f t="shared" si="40"/>
        <v>9662</v>
      </c>
      <c r="M98" s="161">
        <f t="shared" si="42"/>
        <v>6.9449164320464806E-4</v>
      </c>
      <c r="N98" s="162"/>
    </row>
    <row r="99" spans="1:14" x14ac:dyDescent="0.25">
      <c r="A99" s="1"/>
      <c r="B99" s="159" t="s">
        <v>116</v>
      </c>
      <c r="C99" s="160">
        <v>8657</v>
      </c>
      <c r="D99" s="160">
        <v>4658</v>
      </c>
      <c r="E99" s="160">
        <v>7148</v>
      </c>
      <c r="F99" s="160">
        <v>7881</v>
      </c>
      <c r="G99" s="160">
        <v>8902</v>
      </c>
      <c r="H99" s="160">
        <v>9750</v>
      </c>
      <c r="I99" s="161">
        <f t="shared" si="41"/>
        <v>9.5259492248932931E-2</v>
      </c>
      <c r="J99" s="175">
        <f t="shared" si="38"/>
        <v>0.36401790710688298</v>
      </c>
      <c r="K99" s="160">
        <f t="shared" si="39"/>
        <v>848</v>
      </c>
      <c r="L99" s="160">
        <f t="shared" si="40"/>
        <v>2602</v>
      </c>
      <c r="M99" s="161">
        <f t="shared" si="42"/>
        <v>2.7025717506467048E-4</v>
      </c>
      <c r="N99" s="79"/>
    </row>
    <row r="100" spans="1:14" x14ac:dyDescent="0.25">
      <c r="A100" s="1"/>
      <c r="B100" s="159" t="s">
        <v>123</v>
      </c>
      <c r="C100" s="160">
        <v>2390</v>
      </c>
      <c r="D100" s="160">
        <v>940</v>
      </c>
      <c r="E100" s="160">
        <v>1385</v>
      </c>
      <c r="F100" s="160">
        <v>4981</v>
      </c>
      <c r="G100" s="160">
        <v>3623</v>
      </c>
      <c r="H100" s="160">
        <v>3800</v>
      </c>
      <c r="I100" s="161">
        <f t="shared" si="41"/>
        <v>4.8854540436102711E-2</v>
      </c>
      <c r="J100" s="175">
        <f t="shared" si="38"/>
        <v>1.743682310469314</v>
      </c>
      <c r="K100" s="160">
        <f t="shared" si="39"/>
        <v>177</v>
      </c>
      <c r="L100" s="160">
        <f t="shared" si="40"/>
        <v>2415</v>
      </c>
      <c r="M100" s="161">
        <f t="shared" si="42"/>
        <v>1.0533100156366643E-4</v>
      </c>
      <c r="N100" s="79"/>
    </row>
    <row r="101" spans="1:14" x14ac:dyDescent="0.25">
      <c r="A101" s="1"/>
      <c r="B101" s="159" t="s">
        <v>119</v>
      </c>
      <c r="C101" s="160">
        <v>1298</v>
      </c>
      <c r="D101" s="160">
        <v>788</v>
      </c>
      <c r="E101" s="160">
        <v>1315</v>
      </c>
      <c r="F101" s="160">
        <v>1892</v>
      </c>
      <c r="G101" s="160">
        <v>1812</v>
      </c>
      <c r="H101" s="160">
        <v>2358</v>
      </c>
      <c r="I101" s="161">
        <f t="shared" si="41"/>
        <v>0.30132450331125837</v>
      </c>
      <c r="J101" s="175">
        <f t="shared" si="38"/>
        <v>0.79315589353612159</v>
      </c>
      <c r="K101" s="160">
        <f t="shared" si="39"/>
        <v>546</v>
      </c>
      <c r="L101" s="160">
        <f t="shared" si="40"/>
        <v>1043</v>
      </c>
      <c r="M101" s="161">
        <f t="shared" si="42"/>
        <v>6.5360658338717225E-5</v>
      </c>
      <c r="N101" s="79"/>
    </row>
    <row r="102" spans="1:14" x14ac:dyDescent="0.25">
      <c r="A102" s="1"/>
      <c r="B102" s="159" t="s">
        <v>128</v>
      </c>
      <c r="C102" s="160">
        <v>444</v>
      </c>
      <c r="D102" s="160">
        <v>599</v>
      </c>
      <c r="E102" s="160">
        <v>275</v>
      </c>
      <c r="F102" s="160">
        <v>817</v>
      </c>
      <c r="G102" s="160">
        <v>420</v>
      </c>
      <c r="H102" s="160">
        <v>782</v>
      </c>
      <c r="I102" s="161">
        <f t="shared" si="41"/>
        <v>0.86190476190476195</v>
      </c>
      <c r="J102" s="175">
        <f t="shared" si="38"/>
        <v>1.8436363636363637</v>
      </c>
      <c r="K102" s="160">
        <f t="shared" si="39"/>
        <v>362</v>
      </c>
      <c r="L102" s="160">
        <f t="shared" si="40"/>
        <v>507</v>
      </c>
      <c r="M102" s="161">
        <f t="shared" si="42"/>
        <v>2.1676011374417671E-5</v>
      </c>
      <c r="N102" s="79"/>
    </row>
    <row r="103" spans="1:14" x14ac:dyDescent="0.25">
      <c r="A103" s="158" t="s">
        <v>144</v>
      </c>
      <c r="B103" s="159" t="s">
        <v>131</v>
      </c>
      <c r="C103" s="160">
        <v>699</v>
      </c>
      <c r="D103" s="160">
        <v>259</v>
      </c>
      <c r="E103" s="160">
        <v>259</v>
      </c>
      <c r="F103" s="160">
        <v>385</v>
      </c>
      <c r="G103" s="160">
        <v>950</v>
      </c>
      <c r="H103" s="160">
        <v>1244</v>
      </c>
      <c r="I103" s="161">
        <f t="shared" si="41"/>
        <v>0.30947368421052635</v>
      </c>
      <c r="J103" s="175">
        <f t="shared" si="38"/>
        <v>3.8030888030888033</v>
      </c>
      <c r="K103" s="160">
        <f t="shared" si="39"/>
        <v>294</v>
      </c>
      <c r="L103" s="160">
        <f t="shared" si="40"/>
        <v>985</v>
      </c>
      <c r="M103" s="161">
        <f t="shared" si="42"/>
        <v>3.4482043669789748E-5</v>
      </c>
      <c r="N103" s="79"/>
    </row>
    <row r="104" spans="1:14" x14ac:dyDescent="0.25">
      <c r="A104" s="163" t="s">
        <v>145</v>
      </c>
      <c r="B104" s="164" t="s">
        <v>145</v>
      </c>
      <c r="C104" s="165">
        <f t="shared" ref="C104:H104" si="43">C96-SUM(C97:C103)</f>
        <v>20258</v>
      </c>
      <c r="D104" s="165">
        <f t="shared" si="43"/>
        <v>7511</v>
      </c>
      <c r="E104" s="165">
        <f t="shared" si="43"/>
        <v>12070</v>
      </c>
      <c r="F104" s="165">
        <f t="shared" si="43"/>
        <v>20551</v>
      </c>
      <c r="G104" s="165">
        <f t="shared" si="43"/>
        <v>26379</v>
      </c>
      <c r="H104" s="165">
        <f t="shared" si="43"/>
        <v>25954</v>
      </c>
      <c r="I104" s="166">
        <f t="shared" si="41"/>
        <v>-1.6111300655824667E-2</v>
      </c>
      <c r="J104" s="176">
        <f t="shared" si="38"/>
        <v>1.1502899751449878</v>
      </c>
      <c r="K104" s="165">
        <f>H104-G104</f>
        <v>-425</v>
      </c>
      <c r="L104" s="165">
        <f t="shared" si="40"/>
        <v>13884</v>
      </c>
      <c r="M104" s="166">
        <f t="shared" si="42"/>
        <v>7.1941074067984176E-4</v>
      </c>
      <c r="N104" s="79"/>
    </row>
    <row r="105" spans="1:14" s="142" customFormat="1" x14ac:dyDescent="0.25">
      <c r="B105" s="151" t="s">
        <v>50</v>
      </c>
      <c r="C105" s="149"/>
      <c r="D105" s="149"/>
      <c r="E105" s="149"/>
      <c r="F105" s="149"/>
      <c r="G105" s="149"/>
      <c r="H105" s="149"/>
      <c r="I105" s="149"/>
      <c r="J105" s="149"/>
      <c r="K105" s="149"/>
      <c r="L105" s="149"/>
      <c r="M105" s="149"/>
    </row>
    <row r="106" spans="1:14" x14ac:dyDescent="0.25">
      <c r="A106" s="1">
        <v>3</v>
      </c>
      <c r="B106" s="152" t="s">
        <v>68</v>
      </c>
      <c r="C106" s="172">
        <v>1055815</v>
      </c>
      <c r="D106" s="172">
        <v>442013</v>
      </c>
      <c r="E106" s="172">
        <v>749212</v>
      </c>
      <c r="F106" s="172">
        <v>1316064</v>
      </c>
      <c r="G106" s="172">
        <v>1447168</v>
      </c>
      <c r="H106" s="172">
        <v>1453294</v>
      </c>
      <c r="I106" s="173">
        <f>IFERROR(H106/G106-1,"-")</f>
        <v>4.2330952591544957E-3</v>
      </c>
      <c r="J106" s="173">
        <f>IFERROR(H106/E106-1,"-")</f>
        <v>0.9397633780558774</v>
      </c>
      <c r="K106" s="172">
        <f>H106-G106</f>
        <v>6126</v>
      </c>
      <c r="L106" s="172">
        <f>H106-E106</f>
        <v>704082</v>
      </c>
      <c r="M106" s="173">
        <f>H106/H$8</f>
        <v>4.0283398049070274E-2</v>
      </c>
      <c r="N106" s="79"/>
    </row>
    <row r="107" spans="1:14" x14ac:dyDescent="0.25">
      <c r="A107" s="1" t="s">
        <v>96</v>
      </c>
      <c r="B107" s="155" t="s">
        <v>97</v>
      </c>
      <c r="C107" s="156">
        <v>162637</v>
      </c>
      <c r="D107" s="156">
        <v>125264</v>
      </c>
      <c r="E107" s="156">
        <v>199003</v>
      </c>
      <c r="F107" s="156">
        <v>220579</v>
      </c>
      <c r="G107" s="156">
        <v>219096</v>
      </c>
      <c r="H107" s="156">
        <v>207819</v>
      </c>
      <c r="I107" s="157">
        <f>IFERROR(H107/G107-1,"-")</f>
        <v>-5.1470588235294157E-2</v>
      </c>
      <c r="J107" s="174">
        <f t="shared" ref="J107:J118" si="44">IFERROR(H107/E107-1,"-")</f>
        <v>4.4300839685833981E-2</v>
      </c>
      <c r="K107" s="156">
        <f t="shared" ref="K107:K117" si="45">H107-G107</f>
        <v>-11277</v>
      </c>
      <c r="L107" s="156">
        <f t="shared" ref="L107:L118" si="46">H107-E107</f>
        <v>8816</v>
      </c>
      <c r="M107" s="157">
        <f>H107/H$8</f>
        <v>5.7604693194630513E-3</v>
      </c>
      <c r="N107" s="79"/>
    </row>
    <row r="108" spans="1:14" x14ac:dyDescent="0.25">
      <c r="A108" s="158" t="s">
        <v>103</v>
      </c>
      <c r="B108" s="159" t="s">
        <v>103</v>
      </c>
      <c r="C108" s="160">
        <v>42419</v>
      </c>
      <c r="D108" s="160">
        <v>16702</v>
      </c>
      <c r="E108" s="160">
        <v>106031</v>
      </c>
      <c r="F108" s="160">
        <v>75504</v>
      </c>
      <c r="G108" s="160">
        <v>57419</v>
      </c>
      <c r="H108" s="160">
        <v>59079</v>
      </c>
      <c r="I108" s="161">
        <f>IFERROR(H108/G108-1,"-")</f>
        <v>2.8910291018652279E-2</v>
      </c>
      <c r="J108" s="175">
        <f t="shared" si="44"/>
        <v>-0.44281389404985338</v>
      </c>
      <c r="K108" s="160">
        <f t="shared" si="45"/>
        <v>1660</v>
      </c>
      <c r="L108" s="160">
        <f t="shared" si="46"/>
        <v>-46952</v>
      </c>
      <c r="M108" s="161">
        <f>H108/H$8</f>
        <v>1.6375921687841709E-3</v>
      </c>
      <c r="N108" s="79"/>
    </row>
    <row r="109" spans="1:14" x14ac:dyDescent="0.25">
      <c r="A109" s="158" t="s">
        <v>100</v>
      </c>
      <c r="B109" s="159" t="s">
        <v>100</v>
      </c>
      <c r="C109" s="160">
        <v>120218</v>
      </c>
      <c r="D109" s="160">
        <v>108562</v>
      </c>
      <c r="E109" s="160">
        <v>92972</v>
      </c>
      <c r="F109" s="160">
        <v>145075</v>
      </c>
      <c r="G109" s="160">
        <v>161677</v>
      </c>
      <c r="H109" s="160">
        <v>148740</v>
      </c>
      <c r="I109" s="161">
        <f>IFERROR(H109/G109-1,"-")</f>
        <v>-8.0017565887541164E-2</v>
      </c>
      <c r="J109" s="175">
        <f t="shared" si="44"/>
        <v>0.59983650991696424</v>
      </c>
      <c r="K109" s="160">
        <f t="shared" si="45"/>
        <v>-12937</v>
      </c>
      <c r="L109" s="160">
        <f t="shared" si="46"/>
        <v>55768</v>
      </c>
      <c r="M109" s="161">
        <f>H109/H$8</f>
        <v>4.1228771506788804E-3</v>
      </c>
      <c r="N109" s="79"/>
    </row>
    <row r="110" spans="1:14" x14ac:dyDescent="0.25">
      <c r="A110" s="1"/>
      <c r="B110" s="155" t="s">
        <v>107</v>
      </c>
      <c r="C110" s="156">
        <v>893178</v>
      </c>
      <c r="D110" s="156">
        <v>316749</v>
      </c>
      <c r="E110" s="156">
        <v>550209</v>
      </c>
      <c r="F110" s="156">
        <v>1095485</v>
      </c>
      <c r="G110" s="156">
        <v>1228072</v>
      </c>
      <c r="H110" s="156">
        <v>1245475</v>
      </c>
      <c r="I110" s="157">
        <f>IFERROR(H110/G110-1,"-")</f>
        <v>1.4170993231667151E-2</v>
      </c>
      <c r="J110" s="174">
        <f t="shared" si="44"/>
        <v>1.2636398168695897</v>
      </c>
      <c r="K110" s="156">
        <f t="shared" si="45"/>
        <v>17403</v>
      </c>
      <c r="L110" s="156">
        <f t="shared" si="46"/>
        <v>695266</v>
      </c>
      <c r="M110" s="157">
        <f>H110/H$8</f>
        <v>3.4522928729607223E-2</v>
      </c>
      <c r="N110" s="79"/>
    </row>
    <row r="111" spans="1:14" s="56" customFormat="1" x14ac:dyDescent="0.25">
      <c r="B111" s="159" t="s">
        <v>110</v>
      </c>
      <c r="C111" s="160">
        <v>476582</v>
      </c>
      <c r="D111" s="160">
        <v>181253</v>
      </c>
      <c r="E111" s="160">
        <v>251557</v>
      </c>
      <c r="F111" s="160">
        <v>673877</v>
      </c>
      <c r="G111" s="160">
        <v>775590</v>
      </c>
      <c r="H111" s="160">
        <v>761721</v>
      </c>
      <c r="I111" s="161">
        <f t="shared" ref="I111:I118" si="47">IFERROR(H111/G111-1,"-")</f>
        <v>-1.7881870575948589E-2</v>
      </c>
      <c r="J111" s="175">
        <f t="shared" si="44"/>
        <v>2.0280254574509953</v>
      </c>
      <c r="K111" s="160">
        <f t="shared" si="45"/>
        <v>-13869</v>
      </c>
      <c r="L111" s="160">
        <f t="shared" si="46"/>
        <v>510164</v>
      </c>
      <c r="M111" s="161">
        <f t="shared" ref="M111:M118" si="48">H111/H$8</f>
        <v>2.111390416896778E-2</v>
      </c>
      <c r="N111" s="162"/>
    </row>
    <row r="112" spans="1:14" s="56" customFormat="1" x14ac:dyDescent="0.25">
      <c r="B112" s="159" t="s">
        <v>113</v>
      </c>
      <c r="C112" s="160">
        <v>91753</v>
      </c>
      <c r="D112" s="160">
        <v>22554</v>
      </c>
      <c r="E112" s="160">
        <v>57079</v>
      </c>
      <c r="F112" s="160">
        <v>45927</v>
      </c>
      <c r="G112" s="160">
        <v>60304</v>
      </c>
      <c r="H112" s="160">
        <v>60756</v>
      </c>
      <c r="I112" s="161">
        <f t="shared" si="47"/>
        <v>7.4953568585831576E-3</v>
      </c>
      <c r="J112" s="175">
        <f t="shared" si="44"/>
        <v>6.4419488778710177E-2</v>
      </c>
      <c r="K112" s="160">
        <f t="shared" si="45"/>
        <v>452</v>
      </c>
      <c r="L112" s="160">
        <f t="shared" si="46"/>
        <v>3677</v>
      </c>
      <c r="M112" s="161">
        <f t="shared" si="48"/>
        <v>1.6840764028952942E-3</v>
      </c>
      <c r="N112" s="162"/>
    </row>
    <row r="113" spans="1:14" x14ac:dyDescent="0.25">
      <c r="A113" s="1"/>
      <c r="B113" s="159" t="s">
        <v>116</v>
      </c>
      <c r="C113" s="160">
        <v>92528</v>
      </c>
      <c r="D113" s="160">
        <v>13883</v>
      </c>
      <c r="E113" s="160">
        <v>67210</v>
      </c>
      <c r="F113" s="160">
        <v>65652</v>
      </c>
      <c r="G113" s="160">
        <v>76293</v>
      </c>
      <c r="H113" s="160">
        <v>85229</v>
      </c>
      <c r="I113" s="161">
        <f t="shared" si="47"/>
        <v>0.1171273904552188</v>
      </c>
      <c r="J113" s="175">
        <f t="shared" si="44"/>
        <v>0.26809998512126176</v>
      </c>
      <c r="K113" s="160">
        <f t="shared" si="45"/>
        <v>8936</v>
      </c>
      <c r="L113" s="160">
        <f t="shared" si="46"/>
        <v>18019</v>
      </c>
      <c r="M113" s="161">
        <f t="shared" si="48"/>
        <v>2.362435771649928E-3</v>
      </c>
      <c r="N113" s="79"/>
    </row>
    <row r="114" spans="1:14" x14ac:dyDescent="0.25">
      <c r="A114" s="1"/>
      <c r="B114" s="159" t="s">
        <v>123</v>
      </c>
      <c r="C114" s="160">
        <v>18644</v>
      </c>
      <c r="D114" s="160">
        <v>9005</v>
      </c>
      <c r="E114" s="160">
        <v>29461</v>
      </c>
      <c r="F114" s="160">
        <v>41263</v>
      </c>
      <c r="G114" s="160">
        <v>42135</v>
      </c>
      <c r="H114" s="160">
        <v>41377</v>
      </c>
      <c r="I114" s="161">
        <f t="shared" si="47"/>
        <v>-1.7989794707487849E-2</v>
      </c>
      <c r="J114" s="175">
        <f t="shared" si="44"/>
        <v>0.40446692237194926</v>
      </c>
      <c r="K114" s="160">
        <f t="shared" si="45"/>
        <v>-758</v>
      </c>
      <c r="L114" s="160">
        <f t="shared" si="46"/>
        <v>11916</v>
      </c>
      <c r="M114" s="161">
        <f t="shared" si="48"/>
        <v>1.1469160136052174E-3</v>
      </c>
      <c r="N114" s="79"/>
    </row>
    <row r="115" spans="1:14" x14ac:dyDescent="0.25">
      <c r="A115" s="1"/>
      <c r="B115" s="159" t="s">
        <v>119</v>
      </c>
      <c r="C115" s="160">
        <v>29965</v>
      </c>
      <c r="D115" s="160">
        <v>19818</v>
      </c>
      <c r="E115" s="160">
        <v>36897</v>
      </c>
      <c r="F115" s="160">
        <v>41249</v>
      </c>
      <c r="G115" s="160">
        <v>42266</v>
      </c>
      <c r="H115" s="160">
        <v>33197</v>
      </c>
      <c r="I115" s="161">
        <f t="shared" si="47"/>
        <v>-0.21456963043581134</v>
      </c>
      <c r="J115" s="175">
        <f t="shared" si="44"/>
        <v>-0.10027915548689592</v>
      </c>
      <c r="K115" s="160">
        <f t="shared" si="45"/>
        <v>-9069</v>
      </c>
      <c r="L115" s="160">
        <f t="shared" si="46"/>
        <v>-3700</v>
      </c>
      <c r="M115" s="161">
        <f t="shared" si="48"/>
        <v>9.2017717339711437E-4</v>
      </c>
      <c r="N115" s="79"/>
    </row>
    <row r="116" spans="1:14" x14ac:dyDescent="0.25">
      <c r="A116" s="1"/>
      <c r="B116" s="159" t="s">
        <v>128</v>
      </c>
      <c r="C116" s="160">
        <v>5890</v>
      </c>
      <c r="D116" s="160">
        <v>2343</v>
      </c>
      <c r="E116" s="160">
        <v>2314</v>
      </c>
      <c r="F116" s="160">
        <v>11983</v>
      </c>
      <c r="G116" s="160">
        <v>11780</v>
      </c>
      <c r="H116" s="160">
        <v>11633</v>
      </c>
      <c r="I116" s="161">
        <f t="shared" si="47"/>
        <v>-1.2478777589134071E-2</v>
      </c>
      <c r="J116" s="175">
        <f t="shared" si="44"/>
        <v>4.0272255834053583</v>
      </c>
      <c r="K116" s="160">
        <f t="shared" si="45"/>
        <v>-147</v>
      </c>
      <c r="L116" s="160">
        <f t="shared" si="46"/>
        <v>9319</v>
      </c>
      <c r="M116" s="161">
        <f t="shared" si="48"/>
        <v>3.2245145820792941E-4</v>
      </c>
      <c r="N116" s="79"/>
    </row>
    <row r="117" spans="1:14" x14ac:dyDescent="0.25">
      <c r="A117" s="158" t="s">
        <v>144</v>
      </c>
      <c r="B117" s="159" t="s">
        <v>131</v>
      </c>
      <c r="C117" s="160">
        <v>13480</v>
      </c>
      <c r="D117" s="160">
        <v>7286</v>
      </c>
      <c r="E117" s="160">
        <v>3610</v>
      </c>
      <c r="F117" s="160">
        <v>7507</v>
      </c>
      <c r="G117" s="160">
        <v>7656</v>
      </c>
      <c r="H117" s="160">
        <v>10984</v>
      </c>
      <c r="I117" s="161">
        <f t="shared" si="47"/>
        <v>0.4346917450365726</v>
      </c>
      <c r="J117" s="175">
        <f t="shared" si="44"/>
        <v>2.0426592797783933</v>
      </c>
      <c r="K117" s="160">
        <f t="shared" si="45"/>
        <v>3328</v>
      </c>
      <c r="L117" s="160">
        <f t="shared" si="46"/>
        <v>7374</v>
      </c>
      <c r="M117" s="161">
        <f t="shared" si="48"/>
        <v>3.0446203188824001E-4</v>
      </c>
      <c r="N117" s="79"/>
    </row>
    <row r="118" spans="1:14" x14ac:dyDescent="0.25">
      <c r="A118" s="163" t="s">
        <v>145</v>
      </c>
      <c r="B118" s="164" t="s">
        <v>145</v>
      </c>
      <c r="C118" s="165">
        <f t="shared" ref="C118:H118" si="49">C110-SUM(C111:C117)</f>
        <v>164336</v>
      </c>
      <c r="D118" s="165">
        <f t="shared" si="49"/>
        <v>60607</v>
      </c>
      <c r="E118" s="165">
        <f t="shared" si="49"/>
        <v>102081</v>
      </c>
      <c r="F118" s="165">
        <f t="shared" si="49"/>
        <v>208027</v>
      </c>
      <c r="G118" s="165">
        <f t="shared" si="49"/>
        <v>212048</v>
      </c>
      <c r="H118" s="165">
        <f t="shared" si="49"/>
        <v>240578</v>
      </c>
      <c r="I118" s="166">
        <f t="shared" si="47"/>
        <v>0.13454500867728059</v>
      </c>
      <c r="J118" s="176">
        <f t="shared" si="44"/>
        <v>1.3567363172382714</v>
      </c>
      <c r="K118" s="165">
        <f>H118-G118</f>
        <v>28530</v>
      </c>
      <c r="L118" s="165">
        <f t="shared" si="46"/>
        <v>138497</v>
      </c>
      <c r="M118" s="166">
        <f t="shared" si="48"/>
        <v>6.6685057089957223E-3</v>
      </c>
      <c r="N118" s="79"/>
    </row>
    <row r="119" spans="1:14" s="142" customFormat="1" x14ac:dyDescent="0.25">
      <c r="B119" s="151" t="s">
        <v>51</v>
      </c>
      <c r="C119" s="149"/>
      <c r="D119" s="149"/>
      <c r="E119" s="149"/>
      <c r="F119" s="149"/>
      <c r="G119" s="149"/>
      <c r="H119" s="149"/>
      <c r="I119" s="149"/>
      <c r="J119" s="149"/>
      <c r="K119" s="149"/>
      <c r="L119" s="149"/>
      <c r="M119" s="149"/>
    </row>
    <row r="120" spans="1:14" x14ac:dyDescent="0.25">
      <c r="A120" s="1">
        <v>3</v>
      </c>
      <c r="B120" s="152" t="s">
        <v>68</v>
      </c>
      <c r="C120" s="172">
        <v>503437</v>
      </c>
      <c r="D120" s="172">
        <v>216673</v>
      </c>
      <c r="E120" s="172">
        <v>359169</v>
      </c>
      <c r="F120" s="172">
        <v>543499</v>
      </c>
      <c r="G120" s="172">
        <v>576462</v>
      </c>
      <c r="H120" s="172">
        <v>584273</v>
      </c>
      <c r="I120" s="173">
        <f>IFERROR(H120/G120-1,"-")</f>
        <v>1.3549895743344642E-2</v>
      </c>
      <c r="J120" s="173">
        <f>IFERROR(H120/E120-1,"-")</f>
        <v>0.6267356035738052</v>
      </c>
      <c r="K120" s="172">
        <f>H120-G120</f>
        <v>7811</v>
      </c>
      <c r="L120" s="172">
        <f>H120-E120</f>
        <v>225104</v>
      </c>
      <c r="M120" s="173">
        <f>H120/H$8</f>
        <v>1.6195279020160019E-2</v>
      </c>
      <c r="N120" s="79"/>
    </row>
    <row r="121" spans="1:14" x14ac:dyDescent="0.25">
      <c r="A121" s="1" t="s">
        <v>96</v>
      </c>
      <c r="B121" s="155" t="s">
        <v>97</v>
      </c>
      <c r="C121" s="156">
        <v>235408</v>
      </c>
      <c r="D121" s="156">
        <v>116562</v>
      </c>
      <c r="E121" s="156">
        <v>206631</v>
      </c>
      <c r="F121" s="156">
        <v>271944</v>
      </c>
      <c r="G121" s="156">
        <v>302350</v>
      </c>
      <c r="H121" s="156">
        <v>308399</v>
      </c>
      <c r="I121" s="157">
        <f>IFERROR(H121/G121-1,"-")</f>
        <v>2.0006614850339055E-2</v>
      </c>
      <c r="J121" s="174">
        <f t="shared" ref="J121:J132" si="50">IFERROR(H121/E121-1,"-")</f>
        <v>0.49251080428396521</v>
      </c>
      <c r="K121" s="156">
        <f t="shared" ref="K121:K131" si="51">H121-G121</f>
        <v>6049</v>
      </c>
      <c r="L121" s="156">
        <f t="shared" ref="L121:L132" si="52">H121-E121</f>
        <v>101768</v>
      </c>
      <c r="M121" s="157">
        <f>H121/H$8</f>
        <v>8.5484146187455694E-3</v>
      </c>
      <c r="N121" s="79"/>
    </row>
    <row r="122" spans="1:14" x14ac:dyDescent="0.25">
      <c r="A122" s="158" t="s">
        <v>103</v>
      </c>
      <c r="B122" s="159" t="s">
        <v>103</v>
      </c>
      <c r="C122" s="160">
        <v>110711</v>
      </c>
      <c r="D122" s="160">
        <v>45374</v>
      </c>
      <c r="E122" s="160">
        <v>96469</v>
      </c>
      <c r="F122" s="160">
        <v>128559</v>
      </c>
      <c r="G122" s="160">
        <v>120954</v>
      </c>
      <c r="H122" s="160">
        <v>133909</v>
      </c>
      <c r="I122" s="161">
        <f>IFERROR(H122/G122-1,"-")</f>
        <v>0.10710683400300947</v>
      </c>
      <c r="J122" s="175">
        <f t="shared" si="50"/>
        <v>0.38810395049186774</v>
      </c>
      <c r="K122" s="160">
        <f t="shared" si="51"/>
        <v>12955</v>
      </c>
      <c r="L122" s="160">
        <f t="shared" si="52"/>
        <v>37440</v>
      </c>
      <c r="M122" s="161">
        <f>H122/H$8</f>
        <v>3.7117813390497392E-3</v>
      </c>
      <c r="N122" s="79"/>
    </row>
    <row r="123" spans="1:14" x14ac:dyDescent="0.25">
      <c r="A123" s="158" t="s">
        <v>100</v>
      </c>
      <c r="B123" s="159" t="s">
        <v>100</v>
      </c>
      <c r="C123" s="160">
        <v>124697</v>
      </c>
      <c r="D123" s="160">
        <v>71188</v>
      </c>
      <c r="E123" s="160">
        <v>110162</v>
      </c>
      <c r="F123" s="160">
        <v>143385</v>
      </c>
      <c r="G123" s="160">
        <v>181396</v>
      </c>
      <c r="H123" s="160">
        <v>174490</v>
      </c>
      <c r="I123" s="161">
        <f>IFERROR(H123/G123-1,"-")</f>
        <v>-3.807140179496793E-2</v>
      </c>
      <c r="J123" s="175">
        <f t="shared" si="50"/>
        <v>0.58394001561336939</v>
      </c>
      <c r="K123" s="160">
        <f t="shared" si="51"/>
        <v>-6906</v>
      </c>
      <c r="L123" s="160">
        <f t="shared" si="52"/>
        <v>64328</v>
      </c>
      <c r="M123" s="161">
        <f>H123/H$8</f>
        <v>4.8366332796958306E-3</v>
      </c>
      <c r="N123" s="79"/>
    </row>
    <row r="124" spans="1:14" x14ac:dyDescent="0.25">
      <c r="A124" s="1"/>
      <c r="B124" s="155" t="s">
        <v>107</v>
      </c>
      <c r="C124" s="156">
        <v>268029</v>
      </c>
      <c r="D124" s="156">
        <v>100111</v>
      </c>
      <c r="E124" s="156">
        <v>152538</v>
      </c>
      <c r="F124" s="156">
        <v>271555</v>
      </c>
      <c r="G124" s="156">
        <v>274112</v>
      </c>
      <c r="H124" s="156">
        <v>275874</v>
      </c>
      <c r="I124" s="157">
        <f>IFERROR(H124/G124-1,"-")</f>
        <v>6.4280294186318532E-3</v>
      </c>
      <c r="J124" s="174">
        <f t="shared" si="50"/>
        <v>0.80855917869645588</v>
      </c>
      <c r="K124" s="156">
        <f t="shared" si="51"/>
        <v>1762</v>
      </c>
      <c r="L124" s="156">
        <f t="shared" si="52"/>
        <v>123336</v>
      </c>
      <c r="M124" s="157">
        <f>H124/H$8</f>
        <v>7.6468644014144509E-3</v>
      </c>
      <c r="N124" s="79"/>
    </row>
    <row r="125" spans="1:14" s="56" customFormat="1" x14ac:dyDescent="0.25">
      <c r="B125" s="159" t="s">
        <v>110</v>
      </c>
      <c r="C125" s="160">
        <v>33000</v>
      </c>
      <c r="D125" s="160">
        <v>11431</v>
      </c>
      <c r="E125" s="160">
        <v>11117</v>
      </c>
      <c r="F125" s="160">
        <v>33351</v>
      </c>
      <c r="G125" s="160">
        <v>40267</v>
      </c>
      <c r="H125" s="160">
        <v>36521</v>
      </c>
      <c r="I125" s="161">
        <f t="shared" ref="I125:I132" si="53">IFERROR(H125/G125-1,"-")</f>
        <v>-9.3029031216628977E-2</v>
      </c>
      <c r="J125" s="175">
        <f t="shared" si="50"/>
        <v>2.2851488710983179</v>
      </c>
      <c r="K125" s="160">
        <f t="shared" si="51"/>
        <v>-3746</v>
      </c>
      <c r="L125" s="160">
        <f t="shared" si="52"/>
        <v>25404</v>
      </c>
      <c r="M125" s="161">
        <f t="shared" ref="M125:M132" si="54">H125/H$8</f>
        <v>1.0123140810807006E-3</v>
      </c>
      <c r="N125" s="162"/>
    </row>
    <row r="126" spans="1:14" s="56" customFormat="1" x14ac:dyDescent="0.25">
      <c r="B126" s="159" t="s">
        <v>113</v>
      </c>
      <c r="C126" s="160">
        <v>30865</v>
      </c>
      <c r="D126" s="160">
        <v>11548</v>
      </c>
      <c r="E126" s="160">
        <v>23428</v>
      </c>
      <c r="F126" s="160">
        <v>34791</v>
      </c>
      <c r="G126" s="160">
        <v>43445</v>
      </c>
      <c r="H126" s="160">
        <v>42161</v>
      </c>
      <c r="I126" s="161">
        <f t="shared" si="53"/>
        <v>-2.9554609276096211E-2</v>
      </c>
      <c r="J126" s="175">
        <f t="shared" si="50"/>
        <v>0.79959877070172447</v>
      </c>
      <c r="K126" s="160">
        <f t="shared" si="51"/>
        <v>-1284</v>
      </c>
      <c r="L126" s="160">
        <f t="shared" si="52"/>
        <v>18733</v>
      </c>
      <c r="M126" s="161">
        <f t="shared" si="54"/>
        <v>1.1686474623488791E-3</v>
      </c>
      <c r="N126" s="162"/>
    </row>
    <row r="127" spans="1:14" x14ac:dyDescent="0.25">
      <c r="A127" s="1"/>
      <c r="B127" s="159" t="s">
        <v>116</v>
      </c>
      <c r="C127" s="160">
        <v>20310</v>
      </c>
      <c r="D127" s="160">
        <v>7014</v>
      </c>
      <c r="E127" s="160">
        <v>18250</v>
      </c>
      <c r="F127" s="160">
        <v>23874</v>
      </c>
      <c r="G127" s="160">
        <v>26737</v>
      </c>
      <c r="H127" s="160">
        <v>26375</v>
      </c>
      <c r="I127" s="161">
        <f t="shared" si="53"/>
        <v>-1.3539290122302372E-2</v>
      </c>
      <c r="J127" s="175">
        <f t="shared" si="50"/>
        <v>0.4452054794520548</v>
      </c>
      <c r="K127" s="160">
        <f t="shared" si="51"/>
        <v>-362</v>
      </c>
      <c r="L127" s="160">
        <f t="shared" si="52"/>
        <v>8125</v>
      </c>
      <c r="M127" s="161">
        <f t="shared" si="54"/>
        <v>7.3108030690571108E-4</v>
      </c>
      <c r="N127" s="79"/>
    </row>
    <row r="128" spans="1:14" x14ac:dyDescent="0.25">
      <c r="A128" s="1"/>
      <c r="B128" s="159" t="s">
        <v>123</v>
      </c>
      <c r="C128" s="160">
        <v>4930</v>
      </c>
      <c r="D128" s="160">
        <v>1882</v>
      </c>
      <c r="E128" s="160">
        <v>3678</v>
      </c>
      <c r="F128" s="160">
        <v>6463</v>
      </c>
      <c r="G128" s="160">
        <v>7383</v>
      </c>
      <c r="H128" s="160">
        <v>7428</v>
      </c>
      <c r="I128" s="161">
        <f t="shared" si="53"/>
        <v>6.0950832994717263E-3</v>
      </c>
      <c r="J128" s="175">
        <f t="shared" si="50"/>
        <v>1.0195758564437196</v>
      </c>
      <c r="K128" s="160">
        <f t="shared" si="51"/>
        <v>45</v>
      </c>
      <c r="L128" s="160">
        <f t="shared" si="52"/>
        <v>3750</v>
      </c>
      <c r="M128" s="161">
        <f t="shared" si="54"/>
        <v>2.0589438937234587E-4</v>
      </c>
      <c r="N128" s="79"/>
    </row>
    <row r="129" spans="1:14" x14ac:dyDescent="0.25">
      <c r="A129" s="1"/>
      <c r="B129" s="159" t="s">
        <v>119</v>
      </c>
      <c r="C129" s="160">
        <v>3923</v>
      </c>
      <c r="D129" s="160">
        <v>1919</v>
      </c>
      <c r="E129" s="160">
        <v>3450</v>
      </c>
      <c r="F129" s="160">
        <v>4851</v>
      </c>
      <c r="G129" s="160">
        <v>5958</v>
      </c>
      <c r="H129" s="160">
        <v>5916</v>
      </c>
      <c r="I129" s="161">
        <f t="shared" si="53"/>
        <v>-7.0493454179254567E-3</v>
      </c>
      <c r="J129" s="175">
        <f t="shared" si="50"/>
        <v>0.71478260869565213</v>
      </c>
      <c r="K129" s="160">
        <f t="shared" si="51"/>
        <v>-42</v>
      </c>
      <c r="L129" s="160">
        <f t="shared" si="52"/>
        <v>2466</v>
      </c>
      <c r="M129" s="161">
        <f t="shared" si="54"/>
        <v>1.6398373822385542E-4</v>
      </c>
      <c r="N129" s="79"/>
    </row>
    <row r="130" spans="1:14" x14ac:dyDescent="0.25">
      <c r="A130" s="1"/>
      <c r="B130" s="159" t="s">
        <v>128</v>
      </c>
      <c r="C130" s="160">
        <v>4303</v>
      </c>
      <c r="D130" s="160">
        <v>1701</v>
      </c>
      <c r="E130" s="160">
        <v>1442</v>
      </c>
      <c r="F130" s="160">
        <v>2747</v>
      </c>
      <c r="G130" s="160">
        <v>3505</v>
      </c>
      <c r="H130" s="160">
        <v>3870</v>
      </c>
      <c r="I130" s="161">
        <f t="shared" si="53"/>
        <v>0.10413694721825961</v>
      </c>
      <c r="J130" s="175">
        <f t="shared" si="50"/>
        <v>1.6837725381414703</v>
      </c>
      <c r="K130" s="160">
        <f t="shared" si="51"/>
        <v>365</v>
      </c>
      <c r="L130" s="160">
        <f t="shared" si="52"/>
        <v>2428</v>
      </c>
      <c r="M130" s="161">
        <f t="shared" si="54"/>
        <v>1.0727130948720765E-4</v>
      </c>
      <c r="N130" s="79"/>
    </row>
    <row r="131" spans="1:14" x14ac:dyDescent="0.25">
      <c r="A131" s="158" t="s">
        <v>144</v>
      </c>
      <c r="B131" s="159" t="s">
        <v>131</v>
      </c>
      <c r="C131" s="160">
        <v>5879</v>
      </c>
      <c r="D131" s="160">
        <v>2155</v>
      </c>
      <c r="E131" s="160">
        <v>2010</v>
      </c>
      <c r="F131" s="160">
        <v>4022</v>
      </c>
      <c r="G131" s="160">
        <v>4912</v>
      </c>
      <c r="H131" s="160">
        <v>5417</v>
      </c>
      <c r="I131" s="161">
        <f t="shared" si="53"/>
        <v>0.10280944625407162</v>
      </c>
      <c r="J131" s="175">
        <f t="shared" si="50"/>
        <v>1.6950248756218906</v>
      </c>
      <c r="K131" s="160">
        <f t="shared" si="51"/>
        <v>505</v>
      </c>
      <c r="L131" s="160">
        <f t="shared" si="52"/>
        <v>3407</v>
      </c>
      <c r="M131" s="161">
        <f t="shared" si="54"/>
        <v>1.5015211459746872E-4</v>
      </c>
      <c r="N131" s="79"/>
    </row>
    <row r="132" spans="1:14" x14ac:dyDescent="0.25">
      <c r="A132" s="163" t="s">
        <v>145</v>
      </c>
      <c r="B132" s="164" t="s">
        <v>145</v>
      </c>
      <c r="C132" s="165">
        <f t="shared" ref="C132:H132" si="55">C124-SUM(C125:C131)</f>
        <v>164819</v>
      </c>
      <c r="D132" s="165">
        <f t="shared" si="55"/>
        <v>62461</v>
      </c>
      <c r="E132" s="165">
        <f t="shared" si="55"/>
        <v>89163</v>
      </c>
      <c r="F132" s="165">
        <f t="shared" si="55"/>
        <v>161456</v>
      </c>
      <c r="G132" s="165">
        <f t="shared" si="55"/>
        <v>141905</v>
      </c>
      <c r="H132" s="165">
        <f t="shared" si="55"/>
        <v>148186</v>
      </c>
      <c r="I132" s="166">
        <f t="shared" si="53"/>
        <v>4.4262006271801546E-2</v>
      </c>
      <c r="J132" s="176">
        <f t="shared" si="50"/>
        <v>0.66196740800556286</v>
      </c>
      <c r="K132" s="165">
        <f>H132-G132</f>
        <v>6281</v>
      </c>
      <c r="L132" s="165">
        <f t="shared" si="52"/>
        <v>59023</v>
      </c>
      <c r="M132" s="166">
        <f t="shared" si="54"/>
        <v>4.1075209993982828E-3</v>
      </c>
      <c r="N132" s="79"/>
    </row>
    <row r="133" spans="1:14" s="142" customFormat="1" x14ac:dyDescent="0.25">
      <c r="B133" s="151" t="s">
        <v>52</v>
      </c>
      <c r="C133" s="149"/>
      <c r="D133" s="149"/>
      <c r="E133" s="149"/>
      <c r="F133" s="149"/>
      <c r="G133" s="149"/>
      <c r="H133" s="149"/>
      <c r="I133" s="149"/>
      <c r="J133" s="149"/>
      <c r="K133" s="149"/>
      <c r="L133" s="149"/>
      <c r="M133" s="149"/>
    </row>
    <row r="134" spans="1:14" x14ac:dyDescent="0.25">
      <c r="A134" s="1">
        <v>3</v>
      </c>
      <c r="B134" s="152" t="s">
        <v>68</v>
      </c>
      <c r="C134" s="172">
        <v>1856756</v>
      </c>
      <c r="D134" s="172">
        <v>610766</v>
      </c>
      <c r="E134" s="172">
        <v>774989</v>
      </c>
      <c r="F134" s="172">
        <v>1753117</v>
      </c>
      <c r="G134" s="172">
        <v>1886738</v>
      </c>
      <c r="H134" s="172">
        <v>1988780</v>
      </c>
      <c r="I134" s="173">
        <f>IFERROR(H134/G134-1,"-")</f>
        <v>5.4083820859069931E-2</v>
      </c>
      <c r="J134" s="173">
        <f>IFERROR(H134/E134-1,"-")</f>
        <v>1.566204165478478</v>
      </c>
      <c r="K134" s="172">
        <f>H134-G134</f>
        <v>102042</v>
      </c>
      <c r="L134" s="172">
        <f>H134-E134</f>
        <v>1213791</v>
      </c>
      <c r="M134" s="173">
        <f>H134/H$8</f>
        <v>5.512636560257593E-2</v>
      </c>
      <c r="N134" s="79"/>
    </row>
    <row r="135" spans="1:14" x14ac:dyDescent="0.25">
      <c r="A135" s="1" t="s">
        <v>96</v>
      </c>
      <c r="B135" s="155" t="s">
        <v>97</v>
      </c>
      <c r="C135" s="156">
        <v>192906</v>
      </c>
      <c r="D135" s="156">
        <v>77176</v>
      </c>
      <c r="E135" s="156">
        <v>141993</v>
      </c>
      <c r="F135" s="156">
        <v>105219</v>
      </c>
      <c r="G135" s="156">
        <v>114083</v>
      </c>
      <c r="H135" s="156">
        <v>103740</v>
      </c>
      <c r="I135" s="157">
        <f>IFERROR(H135/G135-1,"-")</f>
        <v>-9.0662061832174845E-2</v>
      </c>
      <c r="J135" s="174">
        <f t="shared" ref="J135:J146" si="56">IFERROR(H135/E135-1,"-")</f>
        <v>-0.26940060425513934</v>
      </c>
      <c r="K135" s="156">
        <f t="shared" ref="K135:K145" si="57">H135-G135</f>
        <v>-10343</v>
      </c>
      <c r="L135" s="156">
        <f t="shared" ref="L135:L146" si="58">H135-E135</f>
        <v>-38253</v>
      </c>
      <c r="M135" s="157">
        <f>H135/H$8</f>
        <v>2.8755363426880938E-3</v>
      </c>
      <c r="N135" s="79"/>
    </row>
    <row r="136" spans="1:14" x14ac:dyDescent="0.25">
      <c r="A136" s="158" t="s">
        <v>103</v>
      </c>
      <c r="B136" s="159" t="s">
        <v>103</v>
      </c>
      <c r="C136" s="160">
        <v>94828</v>
      </c>
      <c r="D136" s="160">
        <v>51058</v>
      </c>
      <c r="E136" s="160">
        <v>86437</v>
      </c>
      <c r="F136" s="160">
        <v>57546</v>
      </c>
      <c r="G136" s="160">
        <v>60090</v>
      </c>
      <c r="H136" s="160">
        <v>47885</v>
      </c>
      <c r="I136" s="161">
        <f>IFERROR(H136/G136-1,"-")</f>
        <v>-0.2031119986686637</v>
      </c>
      <c r="J136" s="175">
        <f t="shared" si="56"/>
        <v>-0.44601270289343686</v>
      </c>
      <c r="K136" s="160">
        <f t="shared" si="57"/>
        <v>-12205</v>
      </c>
      <c r="L136" s="160">
        <f t="shared" si="58"/>
        <v>-38552</v>
      </c>
      <c r="M136" s="161">
        <f>H136/H$8</f>
        <v>1.3273092131253072E-3</v>
      </c>
      <c r="N136" s="79"/>
    </row>
    <row r="137" spans="1:14" x14ac:dyDescent="0.25">
      <c r="A137" s="158" t="s">
        <v>100</v>
      </c>
      <c r="B137" s="159" t="s">
        <v>100</v>
      </c>
      <c r="C137" s="160">
        <v>98078</v>
      </c>
      <c r="D137" s="160">
        <v>26118</v>
      </c>
      <c r="E137" s="160">
        <v>55556</v>
      </c>
      <c r="F137" s="160">
        <v>47673</v>
      </c>
      <c r="G137" s="160">
        <v>53993</v>
      </c>
      <c r="H137" s="160">
        <v>55855</v>
      </c>
      <c r="I137" s="161">
        <f>IFERROR(H137/G137-1,"-")</f>
        <v>3.4485951882651467E-2</v>
      </c>
      <c r="J137" s="175">
        <f t="shared" si="56"/>
        <v>5.3819569443445126E-3</v>
      </c>
      <c r="K137" s="160">
        <f t="shared" si="57"/>
        <v>1862</v>
      </c>
      <c r="L137" s="160">
        <f t="shared" si="58"/>
        <v>299</v>
      </c>
      <c r="M137" s="161">
        <f>H137/H$8</f>
        <v>1.5482271295627866E-3</v>
      </c>
      <c r="N137" s="79"/>
    </row>
    <row r="138" spans="1:14" x14ac:dyDescent="0.25">
      <c r="A138" s="1"/>
      <c r="B138" s="155" t="s">
        <v>107</v>
      </c>
      <c r="C138" s="156">
        <v>1663850</v>
      </c>
      <c r="D138" s="156">
        <v>533590</v>
      </c>
      <c r="E138" s="156">
        <v>632996</v>
      </c>
      <c r="F138" s="156">
        <v>1647898</v>
      </c>
      <c r="G138" s="156">
        <v>1772655</v>
      </c>
      <c r="H138" s="156">
        <v>1885040</v>
      </c>
      <c r="I138" s="157">
        <f>IFERROR(H138/G138-1,"-")</f>
        <v>6.3399251405377832E-2</v>
      </c>
      <c r="J138" s="174">
        <f t="shared" si="56"/>
        <v>1.9779651056246803</v>
      </c>
      <c r="K138" s="156">
        <f t="shared" si="57"/>
        <v>112385</v>
      </c>
      <c r="L138" s="156">
        <f t="shared" si="58"/>
        <v>1252044</v>
      </c>
      <c r="M138" s="157">
        <f>H138/H$8</f>
        <v>5.2250829259887839E-2</v>
      </c>
      <c r="N138" s="79"/>
    </row>
    <row r="139" spans="1:14" s="56" customFormat="1" x14ac:dyDescent="0.25">
      <c r="B139" s="159" t="s">
        <v>110</v>
      </c>
      <c r="C139" s="160">
        <v>847716</v>
      </c>
      <c r="D139" s="160">
        <v>226701</v>
      </c>
      <c r="E139" s="160">
        <v>182984</v>
      </c>
      <c r="F139" s="160">
        <v>740061</v>
      </c>
      <c r="G139" s="160">
        <v>745732</v>
      </c>
      <c r="H139" s="160">
        <v>857461</v>
      </c>
      <c r="I139" s="161">
        <f t="shared" ref="I139:I146" si="59">IFERROR(H139/G139-1,"-")</f>
        <v>0.1498246018676952</v>
      </c>
      <c r="J139" s="175">
        <f t="shared" si="56"/>
        <v>3.6859889389236216</v>
      </c>
      <c r="K139" s="160">
        <f t="shared" si="57"/>
        <v>111729</v>
      </c>
      <c r="L139" s="160">
        <f t="shared" si="58"/>
        <v>674477</v>
      </c>
      <c r="M139" s="161">
        <f t="shared" ref="M139:M146" si="60">H139/H$8</f>
        <v>2.3767691034679732E-2</v>
      </c>
      <c r="N139" s="162"/>
    </row>
    <row r="140" spans="1:14" s="56" customFormat="1" x14ac:dyDescent="0.25">
      <c r="B140" s="159" t="s">
        <v>113</v>
      </c>
      <c r="C140" s="160">
        <v>113771</v>
      </c>
      <c r="D140" s="160">
        <v>45672</v>
      </c>
      <c r="E140" s="160">
        <v>69325</v>
      </c>
      <c r="F140" s="160">
        <v>132461</v>
      </c>
      <c r="G140" s="160">
        <v>181229</v>
      </c>
      <c r="H140" s="160">
        <v>190327</v>
      </c>
      <c r="I140" s="161">
        <f t="shared" si="59"/>
        <v>5.0201678539306682E-2</v>
      </c>
      <c r="J140" s="175">
        <f t="shared" si="56"/>
        <v>1.7454309412188964</v>
      </c>
      <c r="K140" s="160">
        <f t="shared" si="57"/>
        <v>9098</v>
      </c>
      <c r="L140" s="160">
        <f t="shared" si="58"/>
        <v>121002</v>
      </c>
      <c r="M140" s="161">
        <f t="shared" si="60"/>
        <v>5.2756140880547212E-3</v>
      </c>
      <c r="N140" s="162"/>
    </row>
    <row r="141" spans="1:14" x14ac:dyDescent="0.25">
      <c r="A141" s="1"/>
      <c r="B141" s="159" t="s">
        <v>116</v>
      </c>
      <c r="C141" s="160">
        <v>132722</v>
      </c>
      <c r="D141" s="160">
        <v>42455</v>
      </c>
      <c r="E141" s="160">
        <v>94016</v>
      </c>
      <c r="F141" s="160">
        <v>171222</v>
      </c>
      <c r="G141" s="160">
        <v>162316</v>
      </c>
      <c r="H141" s="160">
        <v>166671</v>
      </c>
      <c r="I141" s="161">
        <f t="shared" si="59"/>
        <v>2.6830380245939978E-2</v>
      </c>
      <c r="J141" s="175">
        <f t="shared" si="56"/>
        <v>0.77279399251191294</v>
      </c>
      <c r="K141" s="160">
        <f t="shared" si="57"/>
        <v>4355</v>
      </c>
      <c r="L141" s="160">
        <f t="shared" si="58"/>
        <v>72655</v>
      </c>
      <c r="M141" s="161">
        <f t="shared" si="60"/>
        <v>4.6199008846362763E-3</v>
      </c>
      <c r="N141" s="79"/>
    </row>
    <row r="142" spans="1:14" x14ac:dyDescent="0.25">
      <c r="A142" s="1"/>
      <c r="B142" s="159" t="s">
        <v>123</v>
      </c>
      <c r="C142" s="160">
        <v>38846</v>
      </c>
      <c r="D142" s="160">
        <v>8958</v>
      </c>
      <c r="E142" s="160">
        <v>22357</v>
      </c>
      <c r="F142" s="160">
        <v>60881</v>
      </c>
      <c r="G142" s="160">
        <v>78552</v>
      </c>
      <c r="H142" s="160">
        <v>58930</v>
      </c>
      <c r="I142" s="161">
        <f t="shared" si="59"/>
        <v>-0.24979631327019047</v>
      </c>
      <c r="J142" s="175">
        <f t="shared" si="56"/>
        <v>1.6358634879456098</v>
      </c>
      <c r="K142" s="160">
        <f t="shared" si="57"/>
        <v>-19622</v>
      </c>
      <c r="L142" s="160">
        <f t="shared" si="58"/>
        <v>36573</v>
      </c>
      <c r="M142" s="161">
        <f t="shared" si="60"/>
        <v>1.6334620847754903E-3</v>
      </c>
      <c r="N142" s="79"/>
    </row>
    <row r="143" spans="1:14" x14ac:dyDescent="0.25">
      <c r="A143" s="1"/>
      <c r="B143" s="159" t="s">
        <v>119</v>
      </c>
      <c r="C143" s="160">
        <v>39195</v>
      </c>
      <c r="D143" s="160">
        <v>12571</v>
      </c>
      <c r="E143" s="160">
        <v>20808</v>
      </c>
      <c r="F143" s="160">
        <v>32138</v>
      </c>
      <c r="G143" s="160">
        <v>40929</v>
      </c>
      <c r="H143" s="160">
        <v>41917</v>
      </c>
      <c r="I143" s="161">
        <f t="shared" si="59"/>
        <v>2.4139363287644544E-2</v>
      </c>
      <c r="J143" s="175">
        <f t="shared" si="56"/>
        <v>1.0144655901576316</v>
      </c>
      <c r="K143" s="160">
        <f t="shared" si="57"/>
        <v>988</v>
      </c>
      <c r="L143" s="160">
        <f t="shared" si="58"/>
        <v>21109</v>
      </c>
      <c r="M143" s="161">
        <f t="shared" si="60"/>
        <v>1.1618841033011068E-3</v>
      </c>
      <c r="N143" s="79"/>
    </row>
    <row r="144" spans="1:14" x14ac:dyDescent="0.25">
      <c r="A144" s="1"/>
      <c r="B144" s="159" t="s">
        <v>128</v>
      </c>
      <c r="C144" s="160">
        <v>18681</v>
      </c>
      <c r="D144" s="160">
        <v>15372</v>
      </c>
      <c r="E144" s="160">
        <v>9958</v>
      </c>
      <c r="F144" s="160">
        <v>24691</v>
      </c>
      <c r="G144" s="160">
        <v>28155</v>
      </c>
      <c r="H144" s="160">
        <v>26591</v>
      </c>
      <c r="I144" s="161">
        <f t="shared" si="59"/>
        <v>-5.554963594388207E-2</v>
      </c>
      <c r="J144" s="175">
        <f t="shared" si="56"/>
        <v>1.6703153243623219</v>
      </c>
      <c r="K144" s="160">
        <f t="shared" si="57"/>
        <v>-1564</v>
      </c>
      <c r="L144" s="160">
        <f t="shared" si="58"/>
        <v>16633</v>
      </c>
      <c r="M144" s="161">
        <f t="shared" si="60"/>
        <v>7.3706754278406693E-4</v>
      </c>
      <c r="N144" s="79"/>
    </row>
    <row r="145" spans="1:14" x14ac:dyDescent="0.25">
      <c r="A145" s="158" t="s">
        <v>144</v>
      </c>
      <c r="B145" s="159" t="s">
        <v>131</v>
      </c>
      <c r="C145" s="160">
        <v>47882</v>
      </c>
      <c r="D145" s="160">
        <v>29519</v>
      </c>
      <c r="E145" s="160">
        <v>6358</v>
      </c>
      <c r="F145" s="160">
        <v>14264</v>
      </c>
      <c r="G145" s="160">
        <v>21375</v>
      </c>
      <c r="H145" s="160">
        <v>19097</v>
      </c>
      <c r="I145" s="161">
        <f t="shared" si="59"/>
        <v>-0.10657309941520465</v>
      </c>
      <c r="J145" s="175">
        <f t="shared" si="56"/>
        <v>2.0036174897766594</v>
      </c>
      <c r="K145" s="160">
        <f t="shared" si="57"/>
        <v>-2278</v>
      </c>
      <c r="L145" s="160">
        <f t="shared" si="58"/>
        <v>12739</v>
      </c>
      <c r="M145" s="161">
        <f t="shared" si="60"/>
        <v>5.2934372022666785E-4</v>
      </c>
      <c r="N145" s="79"/>
    </row>
    <row r="146" spans="1:14" x14ac:dyDescent="0.25">
      <c r="A146" s="163" t="s">
        <v>145</v>
      </c>
      <c r="B146" s="164" t="s">
        <v>145</v>
      </c>
      <c r="C146" s="165">
        <f t="shared" ref="C146:H146" si="61">C138-SUM(C139:C145)</f>
        <v>425037</v>
      </c>
      <c r="D146" s="165">
        <f t="shared" si="61"/>
        <v>152342</v>
      </c>
      <c r="E146" s="165">
        <f t="shared" si="61"/>
        <v>227190</v>
      </c>
      <c r="F146" s="165">
        <f t="shared" si="61"/>
        <v>472180</v>
      </c>
      <c r="G146" s="165">
        <f t="shared" si="61"/>
        <v>514367</v>
      </c>
      <c r="H146" s="165">
        <f t="shared" si="61"/>
        <v>524046</v>
      </c>
      <c r="I146" s="166">
        <f t="shared" si="59"/>
        <v>1.881730359840339E-2</v>
      </c>
      <c r="J146" s="176">
        <f t="shared" si="56"/>
        <v>1.3066420176944407</v>
      </c>
      <c r="K146" s="165">
        <f>H146-G146</f>
        <v>9679</v>
      </c>
      <c r="L146" s="165">
        <f t="shared" si="58"/>
        <v>296856</v>
      </c>
      <c r="M146" s="166">
        <f t="shared" si="60"/>
        <v>1.4525865801429774E-2</v>
      </c>
      <c r="N146" s="79"/>
    </row>
    <row r="147" spans="1:14" s="142" customFormat="1" x14ac:dyDescent="0.25">
      <c r="B147" s="151" t="s">
        <v>53</v>
      </c>
      <c r="C147" s="149"/>
      <c r="D147" s="149"/>
      <c r="E147" s="149"/>
      <c r="F147" s="149"/>
      <c r="G147" s="149"/>
      <c r="H147" s="149"/>
      <c r="I147" s="149"/>
      <c r="J147" s="149"/>
      <c r="K147" s="149"/>
      <c r="L147" s="149"/>
      <c r="M147" s="149"/>
    </row>
    <row r="148" spans="1:14" x14ac:dyDescent="0.25">
      <c r="A148" s="1">
        <v>3</v>
      </c>
      <c r="B148" s="152" t="s">
        <v>68</v>
      </c>
      <c r="C148" s="172">
        <v>721244</v>
      </c>
      <c r="D148" s="172">
        <v>235241</v>
      </c>
      <c r="E148" s="172">
        <v>320278</v>
      </c>
      <c r="F148" s="172">
        <v>622441</v>
      </c>
      <c r="G148" s="172">
        <v>781085</v>
      </c>
      <c r="H148" s="172">
        <v>735651</v>
      </c>
      <c r="I148" s="173">
        <f>IFERROR(H148/G148-1,"-")</f>
        <v>-5.8167805040424514E-2</v>
      </c>
      <c r="J148" s="173">
        <f>IFERROR(H148/E148-1,"-")</f>
        <v>1.2969139310224245</v>
      </c>
      <c r="K148" s="172">
        <f>H148-G148</f>
        <v>-45434</v>
      </c>
      <c r="L148" s="172">
        <f>H148-E148</f>
        <v>415373</v>
      </c>
      <c r="M148" s="173">
        <f>H148/H$8</f>
        <v>2.0391278060871782E-2</v>
      </c>
      <c r="N148" s="79"/>
    </row>
    <row r="149" spans="1:14" x14ac:dyDescent="0.25">
      <c r="A149" s="1" t="s">
        <v>96</v>
      </c>
      <c r="B149" s="155" t="s">
        <v>97</v>
      </c>
      <c r="C149" s="156">
        <v>261107</v>
      </c>
      <c r="D149" s="156">
        <v>90513</v>
      </c>
      <c r="E149" s="156">
        <v>118326</v>
      </c>
      <c r="F149" s="156">
        <v>251371</v>
      </c>
      <c r="G149" s="156">
        <v>299320</v>
      </c>
      <c r="H149" s="156">
        <v>274535</v>
      </c>
      <c r="I149" s="157">
        <f>IFERROR(H149/G149-1,"-")</f>
        <v>-8.2804356541494095E-2</v>
      </c>
      <c r="J149" s="174">
        <f t="shared" ref="J149:J160" si="62">IFERROR(H149/E149-1,"-")</f>
        <v>1.3201578689383568</v>
      </c>
      <c r="K149" s="156">
        <f t="shared" ref="K149:K159" si="63">H149-G149</f>
        <v>-24785</v>
      </c>
      <c r="L149" s="156">
        <f t="shared" ref="L149:L160" si="64">H149-E149</f>
        <v>156209</v>
      </c>
      <c r="M149" s="157">
        <f>H149/H$8</f>
        <v>7.6097490827055697E-3</v>
      </c>
      <c r="N149" s="79"/>
    </row>
    <row r="150" spans="1:14" x14ac:dyDescent="0.25">
      <c r="A150" s="158" t="s">
        <v>103</v>
      </c>
      <c r="B150" s="159" t="s">
        <v>103</v>
      </c>
      <c r="C150" s="160">
        <v>111386</v>
      </c>
      <c r="D150" s="160">
        <v>46140</v>
      </c>
      <c r="E150" s="160">
        <v>86621</v>
      </c>
      <c r="F150" s="160">
        <v>153781</v>
      </c>
      <c r="G150" s="160">
        <v>212501</v>
      </c>
      <c r="H150" s="160">
        <v>179525</v>
      </c>
      <c r="I150" s="161">
        <f>IFERROR(H150/G150-1,"-")</f>
        <v>-0.15518044620966487</v>
      </c>
      <c r="J150" s="175">
        <f t="shared" si="62"/>
        <v>1.0725343738816222</v>
      </c>
      <c r="K150" s="160">
        <f t="shared" si="63"/>
        <v>-32976</v>
      </c>
      <c r="L150" s="160">
        <f t="shared" si="64"/>
        <v>92904</v>
      </c>
      <c r="M150" s="161">
        <f>H150/H$8</f>
        <v>4.9761968567676885E-3</v>
      </c>
      <c r="N150" s="79"/>
    </row>
    <row r="151" spans="1:14" x14ac:dyDescent="0.25">
      <c r="A151" s="158" t="s">
        <v>100</v>
      </c>
      <c r="B151" s="159" t="s">
        <v>100</v>
      </c>
      <c r="C151" s="160">
        <v>149721</v>
      </c>
      <c r="D151" s="160">
        <v>44373</v>
      </c>
      <c r="E151" s="160">
        <v>31705</v>
      </c>
      <c r="F151" s="160">
        <v>97590</v>
      </c>
      <c r="G151" s="160">
        <v>86819</v>
      </c>
      <c r="H151" s="160">
        <v>95010</v>
      </c>
      <c r="I151" s="161">
        <f>IFERROR(H151/G151-1,"-")</f>
        <v>9.4345707736785744E-2</v>
      </c>
      <c r="J151" s="175">
        <f t="shared" si="62"/>
        <v>1.9966882195237345</v>
      </c>
      <c r="K151" s="160">
        <f t="shared" si="63"/>
        <v>8191</v>
      </c>
      <c r="L151" s="160">
        <f t="shared" si="64"/>
        <v>63305</v>
      </c>
      <c r="M151" s="161">
        <f>H151/H$8</f>
        <v>2.6335522259378812E-3</v>
      </c>
      <c r="N151" s="79"/>
    </row>
    <row r="152" spans="1:14" x14ac:dyDescent="0.25">
      <c r="A152" s="1"/>
      <c r="B152" s="155" t="s">
        <v>107</v>
      </c>
      <c r="C152" s="156">
        <v>460137</v>
      </c>
      <c r="D152" s="156">
        <v>144728</v>
      </c>
      <c r="E152" s="156">
        <v>201952</v>
      </c>
      <c r="F152" s="156">
        <v>371070</v>
      </c>
      <c r="G152" s="156">
        <v>481765</v>
      </c>
      <c r="H152" s="156">
        <v>461116</v>
      </c>
      <c r="I152" s="157">
        <f>IFERROR(H152/G152-1,"-")</f>
        <v>-4.2861145994416372E-2</v>
      </c>
      <c r="J152" s="174">
        <f t="shared" si="62"/>
        <v>1.2832950404056409</v>
      </c>
      <c r="K152" s="156">
        <f t="shared" si="63"/>
        <v>-20649</v>
      </c>
      <c r="L152" s="156">
        <f t="shared" si="64"/>
        <v>259164</v>
      </c>
      <c r="M152" s="157">
        <f>H152/H$8</f>
        <v>1.2781528978166213E-2</v>
      </c>
      <c r="N152" s="79"/>
    </row>
    <row r="153" spans="1:14" s="56" customFormat="1" x14ac:dyDescent="0.25">
      <c r="B153" s="159" t="s">
        <v>110</v>
      </c>
      <c r="C153" s="160">
        <v>120718</v>
      </c>
      <c r="D153" s="160">
        <v>31890</v>
      </c>
      <c r="E153" s="160">
        <v>39412</v>
      </c>
      <c r="F153" s="160">
        <v>136400</v>
      </c>
      <c r="G153" s="160">
        <v>179243</v>
      </c>
      <c r="H153" s="160">
        <v>146131</v>
      </c>
      <c r="I153" s="161">
        <f t="shared" ref="I153:I160" si="65">IFERROR(H153/G153-1,"-")</f>
        <v>-0.18473245817130934</v>
      </c>
      <c r="J153" s="175">
        <f t="shared" si="62"/>
        <v>2.7077793565411548</v>
      </c>
      <c r="K153" s="160">
        <f t="shared" si="63"/>
        <v>-33112</v>
      </c>
      <c r="L153" s="160">
        <f t="shared" si="64"/>
        <v>106719</v>
      </c>
      <c r="M153" s="161">
        <f t="shared" ref="M153:M160" si="66">H153/H$8</f>
        <v>4.0505591025000367E-3</v>
      </c>
      <c r="N153" s="162"/>
    </row>
    <row r="154" spans="1:14" s="56" customFormat="1" x14ac:dyDescent="0.25">
      <c r="B154" s="159" t="s">
        <v>113</v>
      </c>
      <c r="C154" s="160">
        <v>154372</v>
      </c>
      <c r="D154" s="160">
        <v>49978</v>
      </c>
      <c r="E154" s="160">
        <v>69931</v>
      </c>
      <c r="F154" s="160">
        <v>98479</v>
      </c>
      <c r="G154" s="160">
        <v>105256</v>
      </c>
      <c r="H154" s="160">
        <v>104855</v>
      </c>
      <c r="I154" s="161">
        <f t="shared" si="65"/>
        <v>-3.8097590636163581E-3</v>
      </c>
      <c r="J154" s="175">
        <f t="shared" si="62"/>
        <v>0.49940655789277999</v>
      </c>
      <c r="K154" s="160">
        <f t="shared" si="63"/>
        <v>-401</v>
      </c>
      <c r="L154" s="160">
        <f t="shared" si="64"/>
        <v>34924</v>
      </c>
      <c r="M154" s="161">
        <f t="shared" si="66"/>
        <v>2.9064426760416432E-3</v>
      </c>
      <c r="N154" s="162"/>
    </row>
    <row r="155" spans="1:14" x14ac:dyDescent="0.25">
      <c r="A155" s="1"/>
      <c r="B155" s="159" t="s">
        <v>116</v>
      </c>
      <c r="C155" s="160">
        <v>63972</v>
      </c>
      <c r="D155" s="160">
        <v>14033</v>
      </c>
      <c r="E155" s="160">
        <v>26362</v>
      </c>
      <c r="F155" s="160">
        <v>41410</v>
      </c>
      <c r="G155" s="160">
        <v>72199</v>
      </c>
      <c r="H155" s="160">
        <v>71765</v>
      </c>
      <c r="I155" s="161">
        <f t="shared" si="65"/>
        <v>-6.0111635895233606E-3</v>
      </c>
      <c r="J155" s="175">
        <f t="shared" si="62"/>
        <v>1.7222896593581671</v>
      </c>
      <c r="K155" s="160">
        <f t="shared" si="63"/>
        <v>-434</v>
      </c>
      <c r="L155" s="160">
        <f t="shared" si="64"/>
        <v>45403</v>
      </c>
      <c r="M155" s="161">
        <f t="shared" si="66"/>
        <v>1.9892314018990845E-3</v>
      </c>
      <c r="N155" s="79"/>
    </row>
    <row r="156" spans="1:14" x14ac:dyDescent="0.25">
      <c r="A156" s="1"/>
      <c r="B156" s="159" t="s">
        <v>123</v>
      </c>
      <c r="C156" s="160">
        <v>7808</v>
      </c>
      <c r="D156" s="160">
        <v>2588</v>
      </c>
      <c r="E156" s="160">
        <v>4562</v>
      </c>
      <c r="F156" s="160">
        <v>9484</v>
      </c>
      <c r="G156" s="160">
        <v>12559</v>
      </c>
      <c r="H156" s="160">
        <v>15268</v>
      </c>
      <c r="I156" s="161">
        <f t="shared" si="65"/>
        <v>0.21570188709292148</v>
      </c>
      <c r="J156" s="175">
        <f t="shared" si="62"/>
        <v>2.3467777290661989</v>
      </c>
      <c r="K156" s="160">
        <f t="shared" si="63"/>
        <v>2709</v>
      </c>
      <c r="L156" s="160">
        <f t="shared" si="64"/>
        <v>10706</v>
      </c>
      <c r="M156" s="161">
        <f t="shared" si="66"/>
        <v>4.2320887680896295E-4</v>
      </c>
      <c r="N156" s="79"/>
    </row>
    <row r="157" spans="1:14" x14ac:dyDescent="0.25">
      <c r="A157" s="1"/>
      <c r="B157" s="159" t="s">
        <v>119</v>
      </c>
      <c r="C157" s="160">
        <v>21924</v>
      </c>
      <c r="D157" s="160">
        <v>10906</v>
      </c>
      <c r="E157" s="160">
        <v>13772</v>
      </c>
      <c r="F157" s="160">
        <v>27289</v>
      </c>
      <c r="G157" s="160">
        <v>21390</v>
      </c>
      <c r="H157" s="160">
        <v>24668</v>
      </c>
      <c r="I157" s="161">
        <f t="shared" si="65"/>
        <v>0.15324918186068248</v>
      </c>
      <c r="J157" s="175">
        <f t="shared" si="62"/>
        <v>0.791170490851002</v>
      </c>
      <c r="K157" s="160">
        <f t="shared" si="63"/>
        <v>3278</v>
      </c>
      <c r="L157" s="160">
        <f t="shared" si="64"/>
        <v>10896</v>
      </c>
      <c r="M157" s="161">
        <f t="shared" si="66"/>
        <v>6.8376451225592725E-4</v>
      </c>
      <c r="N157" s="79"/>
    </row>
    <row r="158" spans="1:14" x14ac:dyDescent="0.25">
      <c r="A158" s="1"/>
      <c r="B158" s="159" t="s">
        <v>128</v>
      </c>
      <c r="C158" s="160">
        <v>2951</v>
      </c>
      <c r="D158" s="160">
        <v>2836</v>
      </c>
      <c r="E158" s="160">
        <v>1823</v>
      </c>
      <c r="F158" s="160">
        <v>2563</v>
      </c>
      <c r="G158" s="160">
        <v>4469</v>
      </c>
      <c r="H158" s="160">
        <v>3399</v>
      </c>
      <c r="I158" s="161">
        <f t="shared" si="65"/>
        <v>-0.23942716491385097</v>
      </c>
      <c r="J158" s="175">
        <f t="shared" si="62"/>
        <v>0.86450905101481079</v>
      </c>
      <c r="K158" s="160">
        <f t="shared" si="63"/>
        <v>-1070</v>
      </c>
      <c r="L158" s="160">
        <f t="shared" si="64"/>
        <v>1576</v>
      </c>
      <c r="M158" s="161">
        <f t="shared" si="66"/>
        <v>9.4215809030237421E-5</v>
      </c>
      <c r="N158" s="79"/>
    </row>
    <row r="159" spans="1:14" x14ac:dyDescent="0.25">
      <c r="A159" s="158" t="s">
        <v>144</v>
      </c>
      <c r="B159" s="159" t="s">
        <v>131</v>
      </c>
      <c r="C159" s="160">
        <v>7381</v>
      </c>
      <c r="D159" s="160">
        <v>3788</v>
      </c>
      <c r="E159" s="160">
        <v>2712</v>
      </c>
      <c r="F159" s="160">
        <v>4129</v>
      </c>
      <c r="G159" s="160">
        <v>6277</v>
      </c>
      <c r="H159" s="160">
        <v>5327</v>
      </c>
      <c r="I159" s="161">
        <f t="shared" si="65"/>
        <v>-0.15134618448303327</v>
      </c>
      <c r="J159" s="175">
        <f t="shared" si="62"/>
        <v>0.96423303834808261</v>
      </c>
      <c r="K159" s="160">
        <f t="shared" si="63"/>
        <v>-950</v>
      </c>
      <c r="L159" s="160">
        <f t="shared" si="64"/>
        <v>2615</v>
      </c>
      <c r="M159" s="161">
        <f t="shared" si="66"/>
        <v>1.4765743298148713E-4</v>
      </c>
      <c r="N159" s="79"/>
    </row>
    <row r="160" spans="1:14" x14ac:dyDescent="0.25">
      <c r="A160" s="163" t="s">
        <v>145</v>
      </c>
      <c r="B160" s="164" t="s">
        <v>145</v>
      </c>
      <c r="C160" s="165">
        <f t="shared" ref="C160:H160" si="67">C152-SUM(C153:C159)</f>
        <v>81011</v>
      </c>
      <c r="D160" s="165">
        <f t="shared" si="67"/>
        <v>28709</v>
      </c>
      <c r="E160" s="165">
        <f t="shared" si="67"/>
        <v>43378</v>
      </c>
      <c r="F160" s="165">
        <f t="shared" si="67"/>
        <v>51316</v>
      </c>
      <c r="G160" s="165">
        <f t="shared" si="67"/>
        <v>80372</v>
      </c>
      <c r="H160" s="165">
        <f t="shared" si="67"/>
        <v>89703</v>
      </c>
      <c r="I160" s="166">
        <f t="shared" si="65"/>
        <v>0.11609764594634941</v>
      </c>
      <c r="J160" s="176">
        <f t="shared" si="62"/>
        <v>1.067937664253769</v>
      </c>
      <c r="K160" s="165">
        <f>H160-G160</f>
        <v>9331</v>
      </c>
      <c r="L160" s="165">
        <f t="shared" si="64"/>
        <v>46325</v>
      </c>
      <c r="M160" s="166">
        <f t="shared" si="66"/>
        <v>2.4864491666488344E-3</v>
      </c>
      <c r="N160" s="79"/>
    </row>
    <row r="161" spans="2:16" ht="6" customHeight="1" x14ac:dyDescent="0.25">
      <c r="B161" s="167"/>
      <c r="C161" s="167"/>
      <c r="D161" s="167"/>
      <c r="E161" s="167"/>
      <c r="F161" s="167"/>
      <c r="G161" s="167"/>
      <c r="H161" s="167"/>
      <c r="I161" s="167"/>
      <c r="J161" s="167"/>
      <c r="K161" s="167"/>
      <c r="L161" s="167"/>
      <c r="M161" s="167"/>
      <c r="N161" s="167"/>
      <c r="O161" s="167"/>
      <c r="P161" s="167"/>
    </row>
    <row r="162" spans="2:16" x14ac:dyDescent="0.25">
      <c r="B162" s="105" t="s">
        <v>55</v>
      </c>
      <c r="C162" s="105"/>
      <c r="D162" s="105"/>
      <c r="E162" s="105"/>
      <c r="F162" s="105"/>
      <c r="G162" s="105"/>
      <c r="H162" s="105"/>
      <c r="I162" s="105"/>
      <c r="J162" s="105"/>
      <c r="K162" s="105"/>
      <c r="L162" s="105"/>
      <c r="M162" s="105"/>
      <c r="N162" s="105"/>
      <c r="O162" s="105"/>
      <c r="P162" s="105"/>
    </row>
  </sheetData>
  <mergeCells count="1">
    <mergeCell ref="B4:M4"/>
  </mergeCells>
  <pageMargins left="0.25" right="0.25" top="0.75" bottom="0.75" header="0.3" footer="0.3"/>
  <pageSetup paperSize="9" scale="20" orientation="landscape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328065-697A-4BB3-9B85-FA2A2A5EFC98}">
  <sheetPr codeName="Hoja29">
    <tabColor theme="3" tint="0.39997558519241921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E93601-E349-4A3E-9474-9E78C453689B}">
  <sheetPr codeName="Hoja30">
    <tabColor theme="4" tint="0.79998168889431442"/>
  </sheetPr>
  <dimension ref="A1:O290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</cols>
  <sheetData>
    <row r="1" spans="1:15" x14ac:dyDescent="0.25">
      <c r="D1" t="s">
        <v>235</v>
      </c>
      <c r="E1" t="s">
        <v>235</v>
      </c>
      <c r="G1" t="s">
        <v>235</v>
      </c>
    </row>
    <row r="4" spans="1:15" ht="48.75" customHeight="1" thickBot="1" x14ac:dyDescent="0.3">
      <c r="B4" s="265" t="s">
        <v>286</v>
      </c>
      <c r="C4" s="265"/>
      <c r="D4" s="265"/>
      <c r="E4" s="265"/>
      <c r="F4" s="265"/>
      <c r="G4" s="265"/>
      <c r="H4" s="265"/>
      <c r="I4" s="265"/>
      <c r="J4" s="265"/>
      <c r="K4" s="265"/>
      <c r="L4" s="265"/>
      <c r="M4" s="265"/>
      <c r="N4" s="265"/>
      <c r="O4" s="1" t="s">
        <v>66</v>
      </c>
    </row>
    <row r="5" spans="1:15" ht="10.5" customHeight="1" thickBot="1" x14ac:dyDescent="0.3">
      <c r="B5" s="106"/>
      <c r="C5" s="107"/>
      <c r="D5" s="106"/>
      <c r="E5" s="106"/>
      <c r="F5" s="106"/>
      <c r="G5" s="106"/>
      <c r="H5" s="106"/>
      <c r="I5" s="106"/>
      <c r="J5" s="106"/>
      <c r="K5" s="106"/>
      <c r="L5" s="106"/>
      <c r="M5" s="4"/>
      <c r="N5" s="4"/>
      <c r="O5" s="1" t="s">
        <v>67</v>
      </c>
    </row>
    <row r="6" spans="1:15" ht="22.5" thickTop="1" thickBot="1" x14ac:dyDescent="0.3">
      <c r="B6" s="108" t="s">
        <v>30</v>
      </c>
      <c r="C6" s="290" t="s">
        <v>68</v>
      </c>
      <c r="D6" s="291"/>
      <c r="E6" s="291"/>
      <c r="F6" s="291"/>
      <c r="G6" s="291"/>
      <c r="H6" s="291"/>
      <c r="I6" s="291"/>
      <c r="J6" s="291"/>
      <c r="K6" s="291"/>
      <c r="L6" s="291"/>
      <c r="M6" s="291"/>
      <c r="N6" s="291"/>
    </row>
    <row r="7" spans="1:15" ht="22.5" thickTop="1" thickBot="1" x14ac:dyDescent="0.3">
      <c r="B7" s="109"/>
      <c r="C7" s="292">
        <v>2020</v>
      </c>
      <c r="D7" s="293"/>
      <c r="E7" s="294">
        <v>2021</v>
      </c>
      <c r="F7" s="293"/>
      <c r="G7" s="294">
        <v>2022</v>
      </c>
      <c r="H7" s="293"/>
      <c r="I7" s="294">
        <v>2023</v>
      </c>
      <c r="J7" s="293"/>
      <c r="K7" s="294">
        <v>2024</v>
      </c>
      <c r="L7" s="293"/>
      <c r="M7" s="294">
        <v>2025</v>
      </c>
      <c r="N7" s="295"/>
    </row>
    <row r="8" spans="1:15" ht="16.5" thickTop="1" thickBot="1" x14ac:dyDescent="0.3">
      <c r="B8" s="85"/>
      <c r="C8" s="111" t="s">
        <v>69</v>
      </c>
      <c r="D8" s="112" t="str">
        <f>CONCATENATE("dif ",RIGHT(C7,2),"/",RIGHT(C7-1,2))</f>
        <v>dif 20/19</v>
      </c>
      <c r="E8" s="113" t="s">
        <v>69</v>
      </c>
      <c r="F8" s="112" t="str">
        <f>CONCATENATE("dif ",RIGHT(E7,2),"/",RIGHT(C7,2))</f>
        <v>dif 21/20</v>
      </c>
      <c r="G8" s="113" t="s">
        <v>69</v>
      </c>
      <c r="H8" s="112" t="str">
        <f>CONCATENATE("dif ",RIGHT(G7,2),"/",RIGHT(E7,2))</f>
        <v>dif 22/21</v>
      </c>
      <c r="I8" s="113" t="s">
        <v>69</v>
      </c>
      <c r="J8" s="112" t="str">
        <f>CONCATENATE("dif ",RIGHT(I7,2),"/",RIGHT(G7,2))</f>
        <v>dif 23/22</v>
      </c>
      <c r="K8" s="113" t="s">
        <v>69</v>
      </c>
      <c r="L8" s="112" t="str">
        <f>CONCATENATE("dif ",RIGHT(K7,2),"/",RIGHT(I7,2))</f>
        <v>dif 24/23</v>
      </c>
      <c r="M8" s="113" t="s">
        <v>69</v>
      </c>
      <c r="N8" s="112" t="str">
        <f>CONCATENATE("dif ",RIGHT(M7,2),"/",RIGHT(K7,2))</f>
        <v>dif 25/24</v>
      </c>
    </row>
    <row r="9" spans="1:15" x14ac:dyDescent="0.25">
      <c r="A9" s="1" t="s">
        <v>70</v>
      </c>
      <c r="B9" s="114" t="s">
        <v>71</v>
      </c>
      <c r="C9" s="182">
        <v>8.049077653275921</v>
      </c>
      <c r="D9" s="183">
        <v>-0.46923937694151263</v>
      </c>
      <c r="E9" s="182">
        <v>6.4407994786009128</v>
      </c>
      <c r="F9" s="183">
        <f t="shared" ref="F9:J21" si="0">IFERROR(E9-C9,"-")</f>
        <v>-1.6082781746750081</v>
      </c>
      <c r="G9" s="182">
        <v>7.2707658219083227</v>
      </c>
      <c r="H9" s="183">
        <f t="shared" si="0"/>
        <v>0.82996634330740982</v>
      </c>
      <c r="I9" s="182">
        <v>7.6495140460657698</v>
      </c>
      <c r="J9" s="183">
        <f t="shared" si="0"/>
        <v>0.37874822415744713</v>
      </c>
      <c r="K9" s="182">
        <v>7.4799863525689734</v>
      </c>
      <c r="L9" s="183">
        <f t="shared" ref="L9:L21" si="1">IFERROR(K9-I9,"-")</f>
        <v>-0.16952769349679642</v>
      </c>
      <c r="M9" s="182">
        <v>7.5668246445497633</v>
      </c>
      <c r="N9" s="183">
        <f t="shared" ref="N9" si="2">IFERROR(M9-K9,"-")</f>
        <v>8.6838291980789961E-2</v>
      </c>
    </row>
    <row r="10" spans="1:15" x14ac:dyDescent="0.25">
      <c r="A10" s="1" t="s">
        <v>72</v>
      </c>
      <c r="B10" s="114" t="s">
        <v>73</v>
      </c>
      <c r="C10" s="182">
        <v>7.4743507451034814</v>
      </c>
      <c r="D10" s="183">
        <v>-0.73241368877153423</v>
      </c>
      <c r="E10" s="182">
        <v>4.1890667960536954</v>
      </c>
      <c r="F10" s="183">
        <f t="shared" si="0"/>
        <v>-3.285283949049786</v>
      </c>
      <c r="G10" s="182">
        <v>5.9475019322618365</v>
      </c>
      <c r="H10" s="183">
        <f t="shared" si="0"/>
        <v>1.7584351362081412</v>
      </c>
      <c r="I10" s="182">
        <v>7.1207352712306973</v>
      </c>
      <c r="J10" s="183">
        <f t="shared" si="0"/>
        <v>1.1732333389688607</v>
      </c>
      <c r="K10" s="182">
        <v>7.130149994765886</v>
      </c>
      <c r="L10" s="183">
        <f t="shared" si="1"/>
        <v>9.4147235351886849E-3</v>
      </c>
      <c r="M10" s="182"/>
      <c r="N10" s="183"/>
    </row>
    <row r="11" spans="1:15" x14ac:dyDescent="0.25">
      <c r="A11" s="1" t="s">
        <v>74</v>
      </c>
      <c r="B11" s="114" t="s">
        <v>75</v>
      </c>
      <c r="C11" s="182">
        <v>9.3527138440398492</v>
      </c>
      <c r="D11" s="183">
        <v>2.4588482731563737</v>
      </c>
      <c r="E11" s="182">
        <v>4.3917310759416024</v>
      </c>
      <c r="F11" s="183">
        <f t="shared" si="0"/>
        <v>-4.9609827680982468</v>
      </c>
      <c r="G11" s="182">
        <v>6.4008498583569402</v>
      </c>
      <c r="H11" s="183">
        <f t="shared" si="0"/>
        <v>2.0091187824153378</v>
      </c>
      <c r="I11" s="182">
        <v>6.5608761101911783</v>
      </c>
      <c r="J11" s="183">
        <f t="shared" si="0"/>
        <v>0.16002625183423813</v>
      </c>
      <c r="K11" s="182">
        <v>6.5438265292744955</v>
      </c>
      <c r="L11" s="183">
        <f t="shared" si="1"/>
        <v>-1.7049580916682849E-2</v>
      </c>
      <c r="M11" s="182"/>
      <c r="N11" s="183"/>
    </row>
    <row r="12" spans="1:15" x14ac:dyDescent="0.25">
      <c r="A12" s="1" t="s">
        <v>76</v>
      </c>
      <c r="B12" s="114" t="s">
        <v>77</v>
      </c>
      <c r="C12" s="182" t="s">
        <v>235</v>
      </c>
      <c r="D12" s="183" t="s">
        <v>235</v>
      </c>
      <c r="E12" s="182">
        <v>4.1749260355029589</v>
      </c>
      <c r="F12" s="183" t="str">
        <f t="shared" si="0"/>
        <v>-</v>
      </c>
      <c r="G12" s="182">
        <v>5.741822968081606</v>
      </c>
      <c r="H12" s="183">
        <f t="shared" si="0"/>
        <v>1.566896932578647</v>
      </c>
      <c r="I12" s="182">
        <v>5.8235402468226196</v>
      </c>
      <c r="J12" s="183">
        <f t="shared" si="0"/>
        <v>8.1717278741013644E-2</v>
      </c>
      <c r="K12" s="182">
        <v>6.1835149147193631</v>
      </c>
      <c r="L12" s="183">
        <f t="shared" si="1"/>
        <v>0.35997466789674348</v>
      </c>
      <c r="M12" s="182"/>
      <c r="N12" s="183"/>
    </row>
    <row r="13" spans="1:15" x14ac:dyDescent="0.25">
      <c r="A13" s="1" t="s">
        <v>78</v>
      </c>
      <c r="B13" s="114" t="s">
        <v>79</v>
      </c>
      <c r="C13" s="182" t="s">
        <v>235</v>
      </c>
      <c r="D13" s="183" t="s">
        <v>235</v>
      </c>
      <c r="E13" s="182">
        <v>3.6363131593559133</v>
      </c>
      <c r="F13" s="183" t="str">
        <f t="shared" si="0"/>
        <v>-</v>
      </c>
      <c r="G13" s="182">
        <v>5.7990297602388283</v>
      </c>
      <c r="H13" s="183">
        <f t="shared" si="0"/>
        <v>2.1627166008829151</v>
      </c>
      <c r="I13" s="182">
        <v>5.8624737512478911</v>
      </c>
      <c r="J13" s="183">
        <f t="shared" si="0"/>
        <v>6.3443991009062728E-2</v>
      </c>
      <c r="K13" s="182">
        <v>5.2644131577239994</v>
      </c>
      <c r="L13" s="183">
        <f t="shared" si="1"/>
        <v>-0.59806059352389163</v>
      </c>
      <c r="M13" s="182"/>
      <c r="N13" s="183"/>
    </row>
    <row r="14" spans="1:15" x14ac:dyDescent="0.25">
      <c r="A14" s="1" t="s">
        <v>80</v>
      </c>
      <c r="B14" s="114" t="s">
        <v>81</v>
      </c>
      <c r="C14" s="182" t="s">
        <v>235</v>
      </c>
      <c r="D14" s="183" t="s">
        <v>235</v>
      </c>
      <c r="E14" s="182">
        <v>4.4208528154098232</v>
      </c>
      <c r="F14" s="183" t="str">
        <f t="shared" si="0"/>
        <v>-</v>
      </c>
      <c r="G14" s="182">
        <v>5.7599316531396836</v>
      </c>
      <c r="H14" s="183">
        <f t="shared" si="0"/>
        <v>1.3390788377298604</v>
      </c>
      <c r="I14" s="182">
        <v>5.5192868356133662</v>
      </c>
      <c r="J14" s="183">
        <f t="shared" si="0"/>
        <v>-0.24064481752631739</v>
      </c>
      <c r="K14" s="182">
        <v>5.5214346527886038</v>
      </c>
      <c r="L14" s="183">
        <f t="shared" si="1"/>
        <v>2.1478171752375985E-3</v>
      </c>
      <c r="M14" s="182"/>
      <c r="N14" s="183"/>
    </row>
    <row r="15" spans="1:15" x14ac:dyDescent="0.25">
      <c r="A15" s="1" t="s">
        <v>82</v>
      </c>
      <c r="B15" s="114" t="s">
        <v>83</v>
      </c>
      <c r="C15" s="182" t="s">
        <v>235</v>
      </c>
      <c r="D15" s="183" t="s">
        <v>235</v>
      </c>
      <c r="E15" s="182">
        <v>5.4281900180396869</v>
      </c>
      <c r="F15" s="183" t="str">
        <f t="shared" si="0"/>
        <v>-</v>
      </c>
      <c r="G15" s="182">
        <v>5.6479330349294781</v>
      </c>
      <c r="H15" s="183">
        <f t="shared" si="0"/>
        <v>0.21974301688979114</v>
      </c>
      <c r="I15" s="182">
        <v>6.1112336431001788</v>
      </c>
      <c r="J15" s="183">
        <f t="shared" si="0"/>
        <v>0.46330060817070073</v>
      </c>
      <c r="K15" s="182">
        <v>5.9086820362473347</v>
      </c>
      <c r="L15" s="183">
        <f t="shared" si="1"/>
        <v>-0.20255160685284412</v>
      </c>
      <c r="M15" s="182"/>
      <c r="N15" s="183"/>
    </row>
    <row r="16" spans="1:15" x14ac:dyDescent="0.25">
      <c r="A16" s="1" t="s">
        <v>84</v>
      </c>
      <c r="B16" s="114" t="s">
        <v>85</v>
      </c>
      <c r="C16" s="182">
        <v>5.3355448053443908</v>
      </c>
      <c r="D16" s="183">
        <v>-1.4035250476934404</v>
      </c>
      <c r="E16" s="182">
        <v>5.6756335438484289</v>
      </c>
      <c r="F16" s="183">
        <f t="shared" si="0"/>
        <v>0.34008873850403809</v>
      </c>
      <c r="G16" s="182">
        <v>6.327599318610452</v>
      </c>
      <c r="H16" s="183">
        <f t="shared" si="0"/>
        <v>0.65196577476202311</v>
      </c>
      <c r="I16" s="182">
        <v>6.5705482072584172</v>
      </c>
      <c r="J16" s="183">
        <f t="shared" si="0"/>
        <v>0.24294888864796516</v>
      </c>
      <c r="K16" s="182">
        <v>6.1984073500011228</v>
      </c>
      <c r="L16" s="183">
        <f t="shared" si="1"/>
        <v>-0.3721408572572944</v>
      </c>
      <c r="M16" s="182"/>
      <c r="N16" s="183"/>
    </row>
    <row r="17" spans="1:15" x14ac:dyDescent="0.25">
      <c r="A17" s="1" t="s">
        <v>86</v>
      </c>
      <c r="B17" s="114" t="s">
        <v>87</v>
      </c>
      <c r="C17" s="182">
        <v>4.5957519503445132</v>
      </c>
      <c r="D17" s="183">
        <v>-2.2245685801087749</v>
      </c>
      <c r="E17" s="182">
        <v>5.8120697473102769</v>
      </c>
      <c r="F17" s="183">
        <f t="shared" si="0"/>
        <v>1.2163177969657637</v>
      </c>
      <c r="G17" s="182">
        <v>6.0842648738198255</v>
      </c>
      <c r="H17" s="183">
        <f t="shared" si="0"/>
        <v>0.27219512650954858</v>
      </c>
      <c r="I17" s="182">
        <v>6.1392882492936769</v>
      </c>
      <c r="J17" s="183">
        <f t="shared" si="0"/>
        <v>5.5023375473851388E-2</v>
      </c>
      <c r="K17" s="182">
        <v>6.305475355743452</v>
      </c>
      <c r="L17" s="183">
        <f t="shared" si="1"/>
        <v>0.16618710644977508</v>
      </c>
      <c r="M17" s="182"/>
      <c r="N17" s="183"/>
    </row>
    <row r="18" spans="1:15" x14ac:dyDescent="0.25">
      <c r="A18" s="1" t="s">
        <v>88</v>
      </c>
      <c r="B18" s="114" t="s">
        <v>89</v>
      </c>
      <c r="C18" s="182">
        <v>3.774981495188749</v>
      </c>
      <c r="D18" s="183">
        <v>-2.4913677158993073</v>
      </c>
      <c r="E18" s="182">
        <v>5.4833505174323136</v>
      </c>
      <c r="F18" s="183">
        <f t="shared" si="0"/>
        <v>1.7083690222435646</v>
      </c>
      <c r="G18" s="182">
        <v>5.8589082295741068</v>
      </c>
      <c r="H18" s="183">
        <f t="shared" si="0"/>
        <v>0.37555771214179323</v>
      </c>
      <c r="I18" s="182">
        <v>6.0482481494536486</v>
      </c>
      <c r="J18" s="183">
        <f t="shared" si="0"/>
        <v>0.1893399198795418</v>
      </c>
      <c r="K18" s="182">
        <v>5.9983995699607835</v>
      </c>
      <c r="L18" s="183">
        <f t="shared" si="1"/>
        <v>-4.9848579492865142E-2</v>
      </c>
      <c r="M18" s="182"/>
      <c r="N18" s="183"/>
    </row>
    <row r="19" spans="1:15" x14ac:dyDescent="0.25">
      <c r="A19" s="1" t="s">
        <v>90</v>
      </c>
      <c r="B19" s="114" t="s">
        <v>91</v>
      </c>
      <c r="C19" s="182">
        <v>5.968881685575365</v>
      </c>
      <c r="D19" s="183">
        <v>-0.9826427320880935</v>
      </c>
      <c r="E19" s="182">
        <v>6.385712479986517</v>
      </c>
      <c r="F19" s="183">
        <f t="shared" si="0"/>
        <v>0.41683079441115201</v>
      </c>
      <c r="G19" s="182">
        <v>6.5084693613162328</v>
      </c>
      <c r="H19" s="183">
        <f t="shared" si="0"/>
        <v>0.12275688132971574</v>
      </c>
      <c r="I19" s="182">
        <v>6.9049731284535616</v>
      </c>
      <c r="J19" s="183">
        <f t="shared" si="0"/>
        <v>0.39650376713732882</v>
      </c>
      <c r="K19" s="182">
        <v>6.5895340110527396</v>
      </c>
      <c r="L19" s="183">
        <f t="shared" si="1"/>
        <v>-0.31543911740082198</v>
      </c>
      <c r="M19" s="182"/>
      <c r="N19" s="183"/>
    </row>
    <row r="20" spans="1:15" x14ac:dyDescent="0.25">
      <c r="A20" s="1" t="s">
        <v>92</v>
      </c>
      <c r="B20" s="114" t="s">
        <v>93</v>
      </c>
      <c r="C20" s="182">
        <v>5.0320915619389588</v>
      </c>
      <c r="D20" s="183">
        <v>-2.4022549671265896</v>
      </c>
      <c r="E20" s="182">
        <v>6.4343276482978871</v>
      </c>
      <c r="F20" s="183">
        <f t="shared" si="0"/>
        <v>1.4022360863589283</v>
      </c>
      <c r="G20" s="182">
        <v>6.7109165302782321</v>
      </c>
      <c r="H20" s="183">
        <f t="shared" si="0"/>
        <v>0.27658888198034504</v>
      </c>
      <c r="I20" s="182">
        <v>7.0489614480564127</v>
      </c>
      <c r="J20" s="183">
        <f t="shared" si="0"/>
        <v>0.33804491777818058</v>
      </c>
      <c r="K20" s="182">
        <v>6.903225806451613</v>
      </c>
      <c r="L20" s="183">
        <f t="shared" si="1"/>
        <v>-0.14573564160479968</v>
      </c>
      <c r="M20" s="182"/>
      <c r="N20" s="183"/>
    </row>
    <row r="21" spans="1:15" ht="15.75" x14ac:dyDescent="0.25">
      <c r="A21" s="1" t="s">
        <v>0</v>
      </c>
      <c r="B21" s="117" t="s">
        <v>30</v>
      </c>
      <c r="C21" s="184">
        <v>6.8485442911860428</v>
      </c>
      <c r="D21" s="185">
        <v>-8.8938736294597476E-2</v>
      </c>
      <c r="E21" s="184">
        <v>5.5543189800228117</v>
      </c>
      <c r="F21" s="185">
        <f t="shared" si="0"/>
        <v>-1.2942253111632311</v>
      </c>
      <c r="G21" s="184">
        <v>6.1281889542046537</v>
      </c>
      <c r="H21" s="185">
        <f t="shared" si="0"/>
        <v>0.57386997418184205</v>
      </c>
      <c r="I21" s="184">
        <v>6.4214324031645127</v>
      </c>
      <c r="J21" s="185">
        <f t="shared" si="0"/>
        <v>0.29324344895985899</v>
      </c>
      <c r="K21" s="184">
        <v>6.2905465704823937</v>
      </c>
      <c r="L21" s="185">
        <f t="shared" si="1"/>
        <v>-0.13088583268211895</v>
      </c>
      <c r="M21" s="184">
        <v>7.5668246445497633</v>
      </c>
      <c r="N21" s="185">
        <v>8.6838291980789961E-2</v>
      </c>
    </row>
    <row r="22" spans="1:15" ht="6" customHeight="1" x14ac:dyDescent="0.25"/>
    <row r="23" spans="1:15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</row>
    <row r="24" spans="1:15" x14ac:dyDescent="0.25">
      <c r="E24" s="120"/>
      <c r="G24" s="120"/>
      <c r="I24" s="120"/>
      <c r="K24" s="120"/>
      <c r="N24" s="79"/>
    </row>
    <row r="26" spans="1:15" ht="59.25" customHeight="1" thickBot="1" x14ac:dyDescent="0.3">
      <c r="B26" s="265" t="s">
        <v>287</v>
      </c>
      <c r="C26" s="265"/>
      <c r="D26" s="265"/>
      <c r="E26" s="265"/>
      <c r="F26" s="265"/>
      <c r="G26" s="265"/>
      <c r="H26" s="265"/>
      <c r="I26" s="265"/>
      <c r="J26" s="265"/>
      <c r="K26" s="265"/>
      <c r="L26" s="265"/>
      <c r="M26" s="265"/>
      <c r="N26" s="265"/>
      <c r="O26" s="1" t="s">
        <v>94</v>
      </c>
    </row>
    <row r="27" spans="1:15" ht="10.5" customHeight="1" thickBot="1" x14ac:dyDescent="0.3">
      <c r="B27" s="106"/>
      <c r="C27" s="107"/>
      <c r="D27" s="106"/>
      <c r="E27" s="106"/>
      <c r="F27" s="106"/>
      <c r="G27" s="106"/>
      <c r="H27" s="106"/>
      <c r="I27" s="106"/>
      <c r="J27" s="106"/>
      <c r="K27" s="106"/>
      <c r="L27" s="106"/>
      <c r="M27" s="4"/>
      <c r="N27" s="4"/>
      <c r="O27" s="1" t="s">
        <v>95</v>
      </c>
    </row>
    <row r="28" spans="1:15" ht="22.5" thickTop="1" thickBot="1" x14ac:dyDescent="0.3">
      <c r="B28" s="121" t="s">
        <v>96</v>
      </c>
      <c r="C28" s="290" t="s">
        <v>97</v>
      </c>
      <c r="D28" s="291"/>
      <c r="E28" s="291"/>
      <c r="F28" s="291"/>
      <c r="G28" s="291"/>
      <c r="H28" s="291"/>
      <c r="I28" s="291"/>
      <c r="J28" s="291"/>
      <c r="K28" s="291"/>
      <c r="L28" s="291"/>
      <c r="M28" s="291"/>
      <c r="N28" s="291"/>
    </row>
    <row r="29" spans="1:15" ht="22.5" thickTop="1" thickBot="1" x14ac:dyDescent="0.3">
      <c r="B29" s="109"/>
      <c r="C29" s="292">
        <v>2020</v>
      </c>
      <c r="D29" s="293"/>
      <c r="E29" s="294">
        <v>2021</v>
      </c>
      <c r="F29" s="293"/>
      <c r="G29" s="294">
        <v>2022</v>
      </c>
      <c r="H29" s="293"/>
      <c r="I29" s="294">
        <v>2023</v>
      </c>
      <c r="J29" s="293"/>
      <c r="K29" s="294">
        <v>2024</v>
      </c>
      <c r="L29" s="293"/>
      <c r="M29" s="294">
        <v>2025</v>
      </c>
      <c r="N29" s="295"/>
    </row>
    <row r="30" spans="1:15" ht="16.5" thickTop="1" thickBot="1" x14ac:dyDescent="0.3">
      <c r="B30" s="85"/>
      <c r="C30" s="111" t="s">
        <v>69</v>
      </c>
      <c r="D30" s="112" t="str">
        <f>CONCATENATE("dif ",RIGHT(C29,2),"/",RIGHT(C29-1,2))</f>
        <v>dif 20/19</v>
      </c>
      <c r="E30" s="113" t="s">
        <v>69</v>
      </c>
      <c r="F30" s="112" t="str">
        <f>CONCATENATE("dif ",RIGHT(E29,2),"/",RIGHT(C29,2))</f>
        <v>dif 21/20</v>
      </c>
      <c r="G30" s="113" t="s">
        <v>69</v>
      </c>
      <c r="H30" s="112" t="str">
        <f>CONCATENATE("dif ",RIGHT(G29,2),"/",RIGHT(E29,2))</f>
        <v>dif 22/21</v>
      </c>
      <c r="I30" s="113" t="s">
        <v>69</v>
      </c>
      <c r="J30" s="112" t="str">
        <f>CONCATENATE("dif ",RIGHT(I29,2),"/",RIGHT(G29,2))</f>
        <v>dif 23/22</v>
      </c>
      <c r="K30" s="113" t="s">
        <v>69</v>
      </c>
      <c r="L30" s="112" t="str">
        <f>CONCATENATE("dif ",RIGHT(K29,2),"/",RIGHT(I29,2))</f>
        <v>dif 24/23</v>
      </c>
      <c r="M30" s="113" t="s">
        <v>69</v>
      </c>
      <c r="N30" s="112" t="str">
        <f>CONCATENATE("dif ",RIGHT(M29,2),"/",RIGHT(K29,2))</f>
        <v>dif 25/24</v>
      </c>
    </row>
    <row r="31" spans="1:15" x14ac:dyDescent="0.25">
      <c r="B31" s="114" t="s">
        <v>71</v>
      </c>
      <c r="C31" s="182">
        <v>5.4739395758303324</v>
      </c>
      <c r="D31" s="183">
        <v>-0.42080077481295763</v>
      </c>
      <c r="E31" s="182">
        <v>3.4723782771535578</v>
      </c>
      <c r="F31" s="183">
        <f t="shared" ref="F31:J43" si="3">IFERROR(E31-C31,"-")</f>
        <v>-2.0015612986767746</v>
      </c>
      <c r="G31" s="182">
        <v>4.8944480309877338</v>
      </c>
      <c r="H31" s="183">
        <f t="shared" si="3"/>
        <v>1.422069753834176</v>
      </c>
      <c r="I31" s="182">
        <v>5.7280874899973329</v>
      </c>
      <c r="J31" s="183">
        <f t="shared" si="3"/>
        <v>0.83363945900959902</v>
      </c>
      <c r="K31" s="182">
        <v>4.8973180522427135</v>
      </c>
      <c r="L31" s="183">
        <f t="shared" ref="L31:N43" si="4">IFERROR(K31-I31,"-")</f>
        <v>-0.83076943775461931</v>
      </c>
      <c r="M31" s="182">
        <v>4.7021208053691277</v>
      </c>
      <c r="N31" s="183">
        <f t="shared" si="4"/>
        <v>-0.19519724687358586</v>
      </c>
    </row>
    <row r="32" spans="1:15" x14ac:dyDescent="0.25">
      <c r="B32" s="114" t="s">
        <v>73</v>
      </c>
      <c r="C32" s="182">
        <v>5.024451507074021</v>
      </c>
      <c r="D32" s="183">
        <v>-0.3528986506546854</v>
      </c>
      <c r="E32" s="182">
        <v>2.488191632928475</v>
      </c>
      <c r="F32" s="183">
        <f t="shared" si="3"/>
        <v>-2.536259874145546</v>
      </c>
      <c r="G32" s="182">
        <v>4.4331975662493086</v>
      </c>
      <c r="H32" s="183">
        <f t="shared" si="3"/>
        <v>1.9450059333208336</v>
      </c>
      <c r="I32" s="182">
        <v>5.1648424179088055</v>
      </c>
      <c r="J32" s="183">
        <f t="shared" si="3"/>
        <v>0.73164485165949689</v>
      </c>
      <c r="K32" s="182">
        <v>4.4075798940099569</v>
      </c>
      <c r="L32" s="183">
        <f t="shared" si="4"/>
        <v>-0.75726252389884863</v>
      </c>
      <c r="M32" s="182"/>
      <c r="N32" s="183"/>
    </row>
    <row r="33" spans="2:15" x14ac:dyDescent="0.25">
      <c r="B33" s="114" t="s">
        <v>75</v>
      </c>
      <c r="C33" s="182">
        <v>5.9779100529100528</v>
      </c>
      <c r="D33" s="183">
        <v>1.1937905296600952</v>
      </c>
      <c r="E33" s="182">
        <v>2.9100028661507595</v>
      </c>
      <c r="F33" s="183">
        <f t="shared" si="3"/>
        <v>-3.0679071867592933</v>
      </c>
      <c r="G33" s="182">
        <v>5.2166392844103688</v>
      </c>
      <c r="H33" s="183">
        <f t="shared" si="3"/>
        <v>2.3066364182596093</v>
      </c>
      <c r="I33" s="182">
        <v>4.8057324840764331</v>
      </c>
      <c r="J33" s="183">
        <f t="shared" si="3"/>
        <v>-0.41090680033393578</v>
      </c>
      <c r="K33" s="182">
        <v>4.4979477983662086</v>
      </c>
      <c r="L33" s="183">
        <f t="shared" si="4"/>
        <v>-0.30778468571022444</v>
      </c>
      <c r="M33" s="182"/>
      <c r="N33" s="183"/>
    </row>
    <row r="34" spans="2:15" x14ac:dyDescent="0.25">
      <c r="B34" s="114" t="s">
        <v>77</v>
      </c>
      <c r="C34" s="182" t="s">
        <v>235</v>
      </c>
      <c r="D34" s="183" t="s">
        <v>235</v>
      </c>
      <c r="E34" s="182">
        <v>3.0249394673123486</v>
      </c>
      <c r="F34" s="183" t="str">
        <f>IFERROR(E34-C34,"-")</f>
        <v>-</v>
      </c>
      <c r="G34" s="182">
        <v>4.3756004165127136</v>
      </c>
      <c r="H34" s="183">
        <f>IFERROR(G34-E34,"-")</f>
        <v>1.3506609492003649</v>
      </c>
      <c r="I34" s="182">
        <v>4.627993543499028</v>
      </c>
      <c r="J34" s="183">
        <f>IFERROR(I34-G34,"-")</f>
        <v>0.25239312698631444</v>
      </c>
      <c r="K34" s="182">
        <v>4.3052337329920514</v>
      </c>
      <c r="L34" s="183">
        <f>IFERROR(K34-I34,"-")</f>
        <v>-0.32275981050697666</v>
      </c>
      <c r="M34" s="182"/>
      <c r="N34" s="183"/>
    </row>
    <row r="35" spans="2:15" x14ac:dyDescent="0.25">
      <c r="B35" s="114" t="s">
        <v>79</v>
      </c>
      <c r="C35" s="182" t="s">
        <v>235</v>
      </c>
      <c r="D35" s="183" t="s">
        <v>235</v>
      </c>
      <c r="E35" s="182">
        <v>2.9146412037037037</v>
      </c>
      <c r="F35" s="183" t="str">
        <f t="shared" si="3"/>
        <v>-</v>
      </c>
      <c r="G35" s="182">
        <v>5.0685692273121248</v>
      </c>
      <c r="H35" s="183">
        <f t="shared" si="3"/>
        <v>2.1539280236084211</v>
      </c>
      <c r="I35" s="182">
        <v>4.7284747061829329</v>
      </c>
      <c r="J35" s="183">
        <f t="shared" si="3"/>
        <v>-0.34009452112919192</v>
      </c>
      <c r="K35" s="182">
        <v>3.8798555087296811</v>
      </c>
      <c r="L35" s="183">
        <f t="shared" si="4"/>
        <v>-0.84861919745325176</v>
      </c>
      <c r="M35" s="182"/>
      <c r="N35" s="183"/>
    </row>
    <row r="36" spans="2:15" x14ac:dyDescent="0.25">
      <c r="B36" s="114" t="s">
        <v>81</v>
      </c>
      <c r="C36" s="182" t="s">
        <v>235</v>
      </c>
      <c r="D36" s="183" t="s">
        <v>235</v>
      </c>
      <c r="E36" s="182">
        <v>3.6037055458841083</v>
      </c>
      <c r="F36" s="183" t="str">
        <f t="shared" si="3"/>
        <v>-</v>
      </c>
      <c r="G36" s="182">
        <v>4.9961056730870439</v>
      </c>
      <c r="H36" s="183">
        <f t="shared" si="3"/>
        <v>1.3924001272029356</v>
      </c>
      <c r="I36" s="182">
        <v>4.4609144365774629</v>
      </c>
      <c r="J36" s="183">
        <f t="shared" si="3"/>
        <v>-0.535191236509581</v>
      </c>
      <c r="K36" s="182">
        <v>4.1407330029115643</v>
      </c>
      <c r="L36" s="183">
        <f t="shared" si="4"/>
        <v>-0.32018143366589857</v>
      </c>
      <c r="M36" s="182"/>
      <c r="N36" s="183"/>
    </row>
    <row r="37" spans="2:15" x14ac:dyDescent="0.25">
      <c r="B37" s="114" t="s">
        <v>83</v>
      </c>
      <c r="C37" s="182" t="s">
        <v>235</v>
      </c>
      <c r="D37" s="183" t="s">
        <v>235</v>
      </c>
      <c r="E37" s="182">
        <v>4.6267460747157552</v>
      </c>
      <c r="F37" s="183" t="str">
        <f t="shared" si="3"/>
        <v>-</v>
      </c>
      <c r="G37" s="182">
        <v>4.5895429000477801</v>
      </c>
      <c r="H37" s="183">
        <f t="shared" si="3"/>
        <v>-3.720317466797507E-2</v>
      </c>
      <c r="I37" s="182">
        <v>4.9790247888858623</v>
      </c>
      <c r="J37" s="183">
        <f t="shared" si="3"/>
        <v>0.38948188883808221</v>
      </c>
      <c r="K37" s="182">
        <v>4.4755482786849932</v>
      </c>
      <c r="L37" s="183">
        <f t="shared" si="4"/>
        <v>-0.50347651020086914</v>
      </c>
      <c r="M37" s="182"/>
      <c r="N37" s="183"/>
    </row>
    <row r="38" spans="2:15" x14ac:dyDescent="0.25">
      <c r="B38" s="114" t="s">
        <v>85</v>
      </c>
      <c r="C38" s="182">
        <v>4.5545680033071516</v>
      </c>
      <c r="D38" s="183">
        <v>-0.89435920161366056</v>
      </c>
      <c r="E38" s="182">
        <v>4.9319738243798508</v>
      </c>
      <c r="F38" s="183">
        <f t="shared" si="3"/>
        <v>0.37740582107269915</v>
      </c>
      <c r="G38" s="182">
        <v>5.2425426702823419</v>
      </c>
      <c r="H38" s="183">
        <f t="shared" si="3"/>
        <v>0.31056884590249112</v>
      </c>
      <c r="I38" s="182">
        <v>5.4587207891970566</v>
      </c>
      <c r="J38" s="183">
        <f t="shared" si="3"/>
        <v>0.21617811891471472</v>
      </c>
      <c r="K38" s="182">
        <v>4.8243098561981732</v>
      </c>
      <c r="L38" s="183">
        <f t="shared" si="4"/>
        <v>-0.6344109329988834</v>
      </c>
      <c r="M38" s="182"/>
      <c r="N38" s="183"/>
    </row>
    <row r="39" spans="2:15" x14ac:dyDescent="0.25">
      <c r="B39" s="114" t="s">
        <v>87</v>
      </c>
      <c r="C39" s="182">
        <v>3.8732029049948125</v>
      </c>
      <c r="D39" s="183">
        <v>-1.4111616744790672</v>
      </c>
      <c r="E39" s="182">
        <v>4.798402462260003</v>
      </c>
      <c r="F39" s="183">
        <f t="shared" si="3"/>
        <v>0.92519955726519054</v>
      </c>
      <c r="G39" s="182">
        <v>4.8405082669932638</v>
      </c>
      <c r="H39" s="183">
        <f t="shared" si="3"/>
        <v>4.2105804733260754E-2</v>
      </c>
      <c r="I39" s="182">
        <v>4.589631135637525</v>
      </c>
      <c r="J39" s="183">
        <f t="shared" si="3"/>
        <v>-0.25087713135573875</v>
      </c>
      <c r="K39" s="182">
        <v>4.6177703269069577</v>
      </c>
      <c r="L39" s="183">
        <f t="shared" si="4"/>
        <v>2.8139191269432651E-2</v>
      </c>
      <c r="M39" s="182"/>
      <c r="N39" s="183"/>
    </row>
    <row r="40" spans="2:15" x14ac:dyDescent="0.25">
      <c r="B40" s="114" t="s">
        <v>89</v>
      </c>
      <c r="C40" s="182">
        <v>3.3712446351931331</v>
      </c>
      <c r="D40" s="183">
        <v>-1.0553686888632243</v>
      </c>
      <c r="E40" s="182">
        <v>3.9725920447074294</v>
      </c>
      <c r="F40" s="183">
        <f t="shared" si="3"/>
        <v>0.60134740951429633</v>
      </c>
      <c r="G40" s="182">
        <v>4.6055787364063479</v>
      </c>
      <c r="H40" s="183">
        <f t="shared" si="3"/>
        <v>0.63298669169891841</v>
      </c>
      <c r="I40" s="182">
        <v>4.3497144962239824</v>
      </c>
      <c r="J40" s="183">
        <f t="shared" si="3"/>
        <v>-0.25586424018236542</v>
      </c>
      <c r="K40" s="182">
        <v>4.2488214401033257</v>
      </c>
      <c r="L40" s="183">
        <f t="shared" si="4"/>
        <v>-0.10089305612065669</v>
      </c>
      <c r="M40" s="182"/>
      <c r="N40" s="183"/>
    </row>
    <row r="41" spans="2:15" x14ac:dyDescent="0.25">
      <c r="B41" s="114" t="s">
        <v>91</v>
      </c>
      <c r="C41" s="182">
        <v>4.3412578994884141</v>
      </c>
      <c r="D41" s="183">
        <v>-0.7254743920500788</v>
      </c>
      <c r="E41" s="182">
        <v>4.2890680747823602</v>
      </c>
      <c r="F41" s="183">
        <f t="shared" si="3"/>
        <v>-5.2189824706053933E-2</v>
      </c>
      <c r="G41" s="182">
        <v>4.9321918120132979</v>
      </c>
      <c r="H41" s="183">
        <f t="shared" si="3"/>
        <v>0.64312373723093774</v>
      </c>
      <c r="I41" s="182">
        <v>4.389671618880544</v>
      </c>
      <c r="J41" s="183">
        <f t="shared" si="3"/>
        <v>-0.5425201931327539</v>
      </c>
      <c r="K41" s="182">
        <v>4.2966355962715523</v>
      </c>
      <c r="L41" s="183">
        <f t="shared" si="4"/>
        <v>-9.3036022608991686E-2</v>
      </c>
      <c r="M41" s="182"/>
      <c r="N41" s="183"/>
    </row>
    <row r="42" spans="2:15" x14ac:dyDescent="0.25">
      <c r="B42" s="114" t="s">
        <v>93</v>
      </c>
      <c r="C42" s="182">
        <v>2.8936170212765959</v>
      </c>
      <c r="D42" s="183">
        <v>-1.9914096009475499</v>
      </c>
      <c r="E42" s="182">
        <v>3.7914828431372549</v>
      </c>
      <c r="F42" s="183">
        <f t="shared" si="3"/>
        <v>0.897865821860659</v>
      </c>
      <c r="G42" s="182">
        <v>4.8552090245520905</v>
      </c>
      <c r="H42" s="183">
        <f t="shared" si="3"/>
        <v>1.0637261814148355</v>
      </c>
      <c r="I42" s="182">
        <v>4.4141855027279817</v>
      </c>
      <c r="J42" s="183">
        <f t="shared" si="3"/>
        <v>-0.44102352182410876</v>
      </c>
      <c r="K42" s="182">
        <v>4.3754952311078501</v>
      </c>
      <c r="L42" s="183">
        <f t="shared" si="4"/>
        <v>-3.8690271620131611E-2</v>
      </c>
      <c r="M42" s="182"/>
      <c r="N42" s="183"/>
    </row>
    <row r="43" spans="2:15" ht="15.75" x14ac:dyDescent="0.25">
      <c r="B43" s="117" t="s">
        <v>30</v>
      </c>
      <c r="C43" s="184">
        <v>4.5783308931185944</v>
      </c>
      <c r="D43" s="185">
        <v>-0.6743081606673007</v>
      </c>
      <c r="E43" s="184">
        <v>4.2129416102986905</v>
      </c>
      <c r="F43" s="185">
        <f t="shared" si="3"/>
        <v>-0.3653892828199039</v>
      </c>
      <c r="G43" s="184">
        <v>4.838387231519266</v>
      </c>
      <c r="H43" s="185">
        <f t="shared" si="3"/>
        <v>0.62544562122057545</v>
      </c>
      <c r="I43" s="184">
        <v>4.7996420246663725</v>
      </c>
      <c r="J43" s="185">
        <f t="shared" si="3"/>
        <v>-3.874520685289351E-2</v>
      </c>
      <c r="K43" s="184">
        <v>4.3962227623176195</v>
      </c>
      <c r="L43" s="185">
        <f t="shared" si="4"/>
        <v>-0.40341926234875292</v>
      </c>
      <c r="M43" s="184">
        <v>4.7021208053691277</v>
      </c>
      <c r="N43" s="185">
        <v>-0.19519724687358586</v>
      </c>
    </row>
    <row r="44" spans="2:15" ht="6" customHeight="1" x14ac:dyDescent="0.25"/>
    <row r="45" spans="2:15" x14ac:dyDescent="0.25">
      <c r="B45" s="105" t="s">
        <v>55</v>
      </c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</row>
    <row r="47" spans="2:15" x14ac:dyDescent="0.25">
      <c r="E47" s="120"/>
      <c r="G47" s="120"/>
      <c r="I47" s="120"/>
      <c r="K47" s="122"/>
    </row>
    <row r="48" spans="2:15" ht="48.75" customHeight="1" thickBot="1" x14ac:dyDescent="0.3">
      <c r="B48" s="265" t="s">
        <v>288</v>
      </c>
      <c r="C48" s="265"/>
      <c r="D48" s="265"/>
      <c r="E48" s="265"/>
      <c r="F48" s="265"/>
      <c r="G48" s="265"/>
      <c r="H48" s="265"/>
      <c r="I48" s="265"/>
      <c r="J48" s="265"/>
      <c r="K48" s="265"/>
      <c r="L48" s="265"/>
      <c r="M48" s="265"/>
      <c r="N48" s="265"/>
      <c r="O48" s="1" t="s">
        <v>98</v>
      </c>
    </row>
    <row r="49" spans="1:15" ht="10.5" customHeight="1" thickBot="1" x14ac:dyDescent="0.3">
      <c r="B49" s="106"/>
      <c r="C49" s="107"/>
      <c r="D49" s="106"/>
      <c r="E49" s="106"/>
      <c r="F49" s="106"/>
      <c r="G49" s="106"/>
      <c r="H49" s="106"/>
      <c r="I49" s="106"/>
      <c r="J49" s="106"/>
      <c r="K49" s="106"/>
      <c r="L49" s="106"/>
      <c r="M49" s="4"/>
      <c r="N49" s="4"/>
      <c r="O49" s="1" t="s">
        <v>99</v>
      </c>
    </row>
    <row r="50" spans="1:15" ht="22.5" thickTop="1" thickBot="1" x14ac:dyDescent="0.3">
      <c r="B50" s="109"/>
      <c r="C50" s="290" t="s">
        <v>100</v>
      </c>
      <c r="D50" s="291"/>
      <c r="E50" s="291"/>
      <c r="F50" s="291"/>
      <c r="G50" s="291"/>
      <c r="H50" s="291"/>
      <c r="I50" s="291"/>
      <c r="J50" s="291"/>
      <c r="K50" s="291"/>
      <c r="L50" s="291"/>
      <c r="M50" s="291"/>
      <c r="N50" s="291"/>
    </row>
    <row r="51" spans="1:15" ht="22.5" thickTop="1" thickBot="1" x14ac:dyDescent="0.3">
      <c r="B51" s="109"/>
      <c r="C51" s="292">
        <v>2020</v>
      </c>
      <c r="D51" s="293"/>
      <c r="E51" s="294">
        <v>2021</v>
      </c>
      <c r="F51" s="293"/>
      <c r="G51" s="294">
        <v>2022</v>
      </c>
      <c r="H51" s="293"/>
      <c r="I51" s="294">
        <v>2023</v>
      </c>
      <c r="J51" s="293"/>
      <c r="K51" s="294">
        <v>2024</v>
      </c>
      <c r="L51" s="293"/>
      <c r="M51" s="294">
        <v>2025</v>
      </c>
      <c r="N51" s="295"/>
    </row>
    <row r="52" spans="1:15" ht="16.5" thickTop="1" thickBot="1" x14ac:dyDescent="0.3">
      <c r="B52" s="85"/>
      <c r="C52" s="111" t="s">
        <v>69</v>
      </c>
      <c r="D52" s="112" t="str">
        <f>CONCATENATE("dif ",RIGHT(C51,2),"/",RIGHT(C51-1,2))</f>
        <v>dif 20/19</v>
      </c>
      <c r="E52" s="113" t="s">
        <v>69</v>
      </c>
      <c r="F52" s="112" t="str">
        <f>CONCATENATE("dif ",RIGHT(E51,2),"/",RIGHT(C51,2))</f>
        <v>dif 21/20</v>
      </c>
      <c r="G52" s="113" t="s">
        <v>69</v>
      </c>
      <c r="H52" s="112" t="str">
        <f>CONCATENATE("dif ",RIGHT(G51,2),"/",RIGHT(E51,2))</f>
        <v>dif 22/21</v>
      </c>
      <c r="I52" s="113" t="s">
        <v>69</v>
      </c>
      <c r="J52" s="112" t="str">
        <f>CONCATENATE("dif ",RIGHT(I51,2),"/",RIGHT(G51,2))</f>
        <v>dif 23/22</v>
      </c>
      <c r="K52" s="113" t="s">
        <v>69</v>
      </c>
      <c r="L52" s="112" t="str">
        <f>CONCATENATE("dif ",RIGHT(K51,2),"/",RIGHT(I51,2))</f>
        <v>dif 24/23</v>
      </c>
      <c r="M52" s="113" t="s">
        <v>69</v>
      </c>
      <c r="N52" s="112" t="str">
        <f>CONCATENATE("dif ",RIGHT(M51,2),"/",RIGHT(K51,2))</f>
        <v>dif 25/24</v>
      </c>
    </row>
    <row r="53" spans="1:15" x14ac:dyDescent="0.25">
      <c r="A53" s="1">
        <v>1</v>
      </c>
      <c r="B53" s="114" t="s">
        <v>71</v>
      </c>
      <c r="C53" s="182">
        <v>6.1083348531825639</v>
      </c>
      <c r="D53" s="183">
        <v>-0.31327854103357033</v>
      </c>
      <c r="E53" s="182">
        <v>3.663768115942029</v>
      </c>
      <c r="F53" s="183">
        <f t="shared" ref="F53:J65" si="5">IFERROR(E53-C53,"-")</f>
        <v>-2.4445667372405349</v>
      </c>
      <c r="G53" s="182">
        <v>5.6583729987018607</v>
      </c>
      <c r="H53" s="183">
        <f t="shared" si="5"/>
        <v>1.9946048827598317</v>
      </c>
      <c r="I53" s="182">
        <v>6.2374595201903373</v>
      </c>
      <c r="J53" s="183">
        <f t="shared" si="5"/>
        <v>0.57908652148847661</v>
      </c>
      <c r="K53" s="182">
        <v>5.4880858109567345</v>
      </c>
      <c r="L53" s="183">
        <f t="shared" ref="L53:N65" si="6">IFERROR(K53-I53,"-")</f>
        <v>-0.7493737092336028</v>
      </c>
      <c r="M53" s="182">
        <v>5.2001080205238992</v>
      </c>
      <c r="N53" s="183">
        <f t="shared" si="6"/>
        <v>-0.28797779043283533</v>
      </c>
    </row>
    <row r="54" spans="1:15" x14ac:dyDescent="0.25">
      <c r="A54" s="1">
        <v>2</v>
      </c>
      <c r="B54" s="114" t="s">
        <v>73</v>
      </c>
      <c r="C54" s="182">
        <v>5.8070107610026422</v>
      </c>
      <c r="D54" s="183">
        <v>-3.9318468363522818E-2</v>
      </c>
      <c r="E54" s="182">
        <v>3.2065894924309886</v>
      </c>
      <c r="F54" s="183">
        <f t="shared" si="5"/>
        <v>-2.6004212685716537</v>
      </c>
      <c r="G54" s="182">
        <v>5.3711325473383349</v>
      </c>
      <c r="H54" s="183">
        <f t="shared" si="5"/>
        <v>2.1645430549073463</v>
      </c>
      <c r="I54" s="182">
        <v>5.6372102238953836</v>
      </c>
      <c r="J54" s="183">
        <f t="shared" si="5"/>
        <v>0.26607767655704873</v>
      </c>
      <c r="K54" s="182">
        <v>4.8943406194281183</v>
      </c>
      <c r="L54" s="183">
        <f t="shared" si="6"/>
        <v>-0.74286960446726535</v>
      </c>
      <c r="M54" s="182"/>
      <c r="N54" s="183"/>
    </row>
    <row r="55" spans="1:15" x14ac:dyDescent="0.25">
      <c r="A55" s="1">
        <v>3</v>
      </c>
      <c r="B55" s="114" t="s">
        <v>75</v>
      </c>
      <c r="C55" s="182">
        <v>6.3170347003154577</v>
      </c>
      <c r="D55" s="183">
        <v>1.1054991348317973</v>
      </c>
      <c r="E55" s="182">
        <v>3.3458049886621315</v>
      </c>
      <c r="F55" s="183">
        <f t="shared" si="5"/>
        <v>-2.9712297116533262</v>
      </c>
      <c r="G55" s="182">
        <v>6.1517091436163787</v>
      </c>
      <c r="H55" s="183">
        <f t="shared" si="5"/>
        <v>2.8059041549542472</v>
      </c>
      <c r="I55" s="182">
        <v>5.3723351015914327</v>
      </c>
      <c r="J55" s="183">
        <f t="shared" si="5"/>
        <v>-0.77937404202494598</v>
      </c>
      <c r="K55" s="182">
        <v>5.1427301720081564</v>
      </c>
      <c r="L55" s="183">
        <f t="shared" si="6"/>
        <v>-0.22960492958327627</v>
      </c>
      <c r="M55" s="182"/>
      <c r="N55" s="183"/>
    </row>
    <row r="56" spans="1:15" x14ac:dyDescent="0.25">
      <c r="A56" s="1">
        <v>4</v>
      </c>
      <c r="B56" s="114" t="s">
        <v>77</v>
      </c>
      <c r="C56" s="182" t="s">
        <v>235</v>
      </c>
      <c r="D56" s="183" t="s">
        <v>235</v>
      </c>
      <c r="E56" s="182">
        <v>3.1482662415304903</v>
      </c>
      <c r="F56" s="183" t="str">
        <f>IFERROR(E56-C56,"-")</f>
        <v>-</v>
      </c>
      <c r="G56" s="182">
        <v>5.4527805864509604</v>
      </c>
      <c r="H56" s="183">
        <f>IFERROR(G56-E56,"-")</f>
        <v>2.3045143449204701</v>
      </c>
      <c r="I56" s="182">
        <v>5.3310610690611631</v>
      </c>
      <c r="J56" s="183">
        <f>IFERROR(I56-G56,"-")</f>
        <v>-0.12171951738979736</v>
      </c>
      <c r="K56" s="182">
        <v>5.0093518219929054</v>
      </c>
      <c r="L56" s="183">
        <f>IFERROR(K56-I56,"-")</f>
        <v>-0.32170924706825765</v>
      </c>
      <c r="M56" s="182"/>
      <c r="N56" s="183"/>
    </row>
    <row r="57" spans="1:15" x14ac:dyDescent="0.25">
      <c r="A57" s="1">
        <v>5</v>
      </c>
      <c r="B57" s="114" t="s">
        <v>79</v>
      </c>
      <c r="C57" s="182" t="s">
        <v>235</v>
      </c>
      <c r="D57" s="183" t="s">
        <v>235</v>
      </c>
      <c r="E57" s="182">
        <v>3.5667828106852495</v>
      </c>
      <c r="F57" s="183" t="str">
        <f t="shared" si="5"/>
        <v>-</v>
      </c>
      <c r="G57" s="182">
        <v>6.1356766100793401</v>
      </c>
      <c r="H57" s="183">
        <f t="shared" si="5"/>
        <v>2.5688937993940906</v>
      </c>
      <c r="I57" s="182">
        <v>5.4834025823169368</v>
      </c>
      <c r="J57" s="183">
        <f t="shared" si="5"/>
        <v>-0.65227402776240329</v>
      </c>
      <c r="K57" s="182">
        <v>4.6308490942752387</v>
      </c>
      <c r="L57" s="183">
        <f t="shared" si="6"/>
        <v>-0.85255348804169806</v>
      </c>
      <c r="M57" s="182"/>
      <c r="N57" s="183"/>
    </row>
    <row r="58" spans="1:15" x14ac:dyDescent="0.25">
      <c r="A58" s="1">
        <v>6</v>
      </c>
      <c r="B58" s="114" t="s">
        <v>81</v>
      </c>
      <c r="C58" s="182" t="s">
        <v>235</v>
      </c>
      <c r="D58" s="183" t="s">
        <v>235</v>
      </c>
      <c r="E58" s="182">
        <v>4.3549618320610683</v>
      </c>
      <c r="F58" s="183" t="str">
        <f t="shared" si="5"/>
        <v>-</v>
      </c>
      <c r="G58" s="182">
        <v>5.7055414580618615</v>
      </c>
      <c r="H58" s="183">
        <f t="shared" si="5"/>
        <v>1.3505796260007932</v>
      </c>
      <c r="I58" s="182">
        <v>5.2554716587215982</v>
      </c>
      <c r="J58" s="183">
        <f t="shared" si="5"/>
        <v>-0.45006979934026337</v>
      </c>
      <c r="K58" s="182">
        <v>4.9124615540609051</v>
      </c>
      <c r="L58" s="183">
        <f t="shared" si="6"/>
        <v>-0.34301010466069304</v>
      </c>
      <c r="M58" s="182"/>
      <c r="N58" s="183"/>
    </row>
    <row r="59" spans="1:15" x14ac:dyDescent="0.25">
      <c r="A59" s="1">
        <v>7</v>
      </c>
      <c r="B59" s="114" t="s">
        <v>83</v>
      </c>
      <c r="C59" s="182" t="s">
        <v>235</v>
      </c>
      <c r="D59" s="183" t="s">
        <v>235</v>
      </c>
      <c r="E59" s="182">
        <v>5.4743217595176956</v>
      </c>
      <c r="F59" s="183" t="str">
        <f t="shared" si="5"/>
        <v>-</v>
      </c>
      <c r="G59" s="182">
        <v>5.5952645341548157</v>
      </c>
      <c r="H59" s="183">
        <f t="shared" si="5"/>
        <v>0.12094277463712011</v>
      </c>
      <c r="I59" s="182">
        <v>5.9278456402919923</v>
      </c>
      <c r="J59" s="183">
        <f t="shared" si="5"/>
        <v>0.33258110613717662</v>
      </c>
      <c r="K59" s="182">
        <v>5.2138678430996448</v>
      </c>
      <c r="L59" s="183">
        <f t="shared" si="6"/>
        <v>-0.71397779719234755</v>
      </c>
      <c r="M59" s="182"/>
      <c r="N59" s="183"/>
    </row>
    <row r="60" spans="1:15" x14ac:dyDescent="0.25">
      <c r="A60" s="1">
        <v>8</v>
      </c>
      <c r="B60" s="114" t="s">
        <v>85</v>
      </c>
      <c r="C60" s="182">
        <v>5.2078397380333241</v>
      </c>
      <c r="D60" s="183">
        <v>-1.0317183408373216</v>
      </c>
      <c r="E60" s="182">
        <v>5.6290259655815165</v>
      </c>
      <c r="F60" s="183">
        <f t="shared" si="5"/>
        <v>0.42118622754819235</v>
      </c>
      <c r="G60" s="182">
        <v>6.177176185759877</v>
      </c>
      <c r="H60" s="183">
        <f t="shared" si="5"/>
        <v>0.54815022017836057</v>
      </c>
      <c r="I60" s="182">
        <v>6.3328700238782565</v>
      </c>
      <c r="J60" s="183">
        <f t="shared" si="5"/>
        <v>0.15569383811837945</v>
      </c>
      <c r="K60" s="182">
        <v>5.4583598772224473</v>
      </c>
      <c r="L60" s="183">
        <f t="shared" si="6"/>
        <v>-0.87451014665580917</v>
      </c>
      <c r="M60" s="182"/>
      <c r="N60" s="183"/>
    </row>
    <row r="61" spans="1:15" x14ac:dyDescent="0.25">
      <c r="A61" s="1">
        <v>9</v>
      </c>
      <c r="B61" s="114" t="s">
        <v>87</v>
      </c>
      <c r="C61" s="182">
        <v>4.3924625098658252</v>
      </c>
      <c r="D61" s="183">
        <v>-1.5357306611743269</v>
      </c>
      <c r="E61" s="182">
        <v>5.7059638650535627</v>
      </c>
      <c r="F61" s="183">
        <f t="shared" si="5"/>
        <v>1.3135013551877375</v>
      </c>
      <c r="G61" s="182">
        <v>5.623027303338878</v>
      </c>
      <c r="H61" s="183">
        <f t="shared" si="5"/>
        <v>-8.2936561714684665E-2</v>
      </c>
      <c r="I61" s="182">
        <v>5.4833519745332531</v>
      </c>
      <c r="J61" s="183">
        <f t="shared" si="5"/>
        <v>-0.13967532880562494</v>
      </c>
      <c r="K61" s="182">
        <v>5.1576278825208446</v>
      </c>
      <c r="L61" s="183">
        <f t="shared" si="6"/>
        <v>-0.32572409201240848</v>
      </c>
      <c r="M61" s="182"/>
      <c r="N61" s="183"/>
    </row>
    <row r="62" spans="1:15" x14ac:dyDescent="0.25">
      <c r="A62" s="1">
        <v>10</v>
      </c>
      <c r="B62" s="114" t="s">
        <v>89</v>
      </c>
      <c r="C62" s="182">
        <v>4.20913576317046</v>
      </c>
      <c r="D62" s="183">
        <v>-0.8276401685762842</v>
      </c>
      <c r="E62" s="182">
        <v>5.0291377740421659</v>
      </c>
      <c r="F62" s="183">
        <f t="shared" si="5"/>
        <v>0.82000201087170588</v>
      </c>
      <c r="G62" s="182">
        <v>5.7005808131383935</v>
      </c>
      <c r="H62" s="183">
        <f t="shared" si="5"/>
        <v>0.6714430390962276</v>
      </c>
      <c r="I62" s="182">
        <v>5.0361657474742545</v>
      </c>
      <c r="J62" s="183">
        <f t="shared" si="5"/>
        <v>-0.66441506566413899</v>
      </c>
      <c r="K62" s="182">
        <v>4.7908964073944889</v>
      </c>
      <c r="L62" s="183">
        <f t="shared" si="6"/>
        <v>-0.24526934007976564</v>
      </c>
      <c r="M62" s="182"/>
      <c r="N62" s="183"/>
    </row>
    <row r="63" spans="1:15" x14ac:dyDescent="0.25">
      <c r="A63" s="1">
        <v>11</v>
      </c>
      <c r="B63" s="114" t="s">
        <v>91</v>
      </c>
      <c r="C63" s="182">
        <v>6.0644346178142765</v>
      </c>
      <c r="D63" s="183">
        <v>0.38829914099205087</v>
      </c>
      <c r="E63" s="182">
        <v>5.1465581051073279</v>
      </c>
      <c r="F63" s="183">
        <f t="shared" si="5"/>
        <v>-0.91787651270694859</v>
      </c>
      <c r="G63" s="182">
        <v>5.5842795787491912</v>
      </c>
      <c r="H63" s="183">
        <f t="shared" si="5"/>
        <v>0.43772147364186331</v>
      </c>
      <c r="I63" s="182">
        <v>5.0292923433874712</v>
      </c>
      <c r="J63" s="183">
        <f t="shared" si="5"/>
        <v>-0.55498723536172001</v>
      </c>
      <c r="K63" s="182">
        <v>4.8597580732260504</v>
      </c>
      <c r="L63" s="183">
        <f t="shared" si="6"/>
        <v>-0.16953427016142086</v>
      </c>
      <c r="M63" s="182"/>
      <c r="N63" s="183"/>
    </row>
    <row r="64" spans="1:15" x14ac:dyDescent="0.25">
      <c r="A64" s="1">
        <v>12</v>
      </c>
      <c r="B64" s="114" t="s">
        <v>93</v>
      </c>
      <c r="C64" s="182">
        <v>3.5715015321756893</v>
      </c>
      <c r="D64" s="183">
        <v>0.64593848885044114</v>
      </c>
      <c r="E64" s="182">
        <v>4.657102587335145</v>
      </c>
      <c r="F64" s="183">
        <f t="shared" si="5"/>
        <v>1.0856010551594557</v>
      </c>
      <c r="G64" s="182">
        <v>5.6213217845277645</v>
      </c>
      <c r="H64" s="183">
        <f t="shared" si="5"/>
        <v>0.9642191971926195</v>
      </c>
      <c r="I64" s="182">
        <v>5.014239843640933</v>
      </c>
      <c r="J64" s="183">
        <f t="shared" si="5"/>
        <v>-0.60708194088683154</v>
      </c>
      <c r="K64" s="182">
        <v>4.9085414452709886</v>
      </c>
      <c r="L64" s="183">
        <f t="shared" si="6"/>
        <v>-0.10569839836994444</v>
      </c>
      <c r="M64" s="182"/>
      <c r="N64" s="183"/>
    </row>
    <row r="65" spans="1:15" ht="15.75" x14ac:dyDescent="0.25">
      <c r="B65" s="117" t="s">
        <v>30</v>
      </c>
      <c r="C65" s="184">
        <v>5.355219012738428</v>
      </c>
      <c r="D65" s="185">
        <v>-0.49726797792722088</v>
      </c>
      <c r="E65" s="184">
        <v>5.0874598967777933</v>
      </c>
      <c r="F65" s="185">
        <f t="shared" si="5"/>
        <v>-0.26775911596063473</v>
      </c>
      <c r="G65" s="184">
        <v>5.7510246905516187</v>
      </c>
      <c r="H65" s="185">
        <f t="shared" si="5"/>
        <v>0.66356479377382538</v>
      </c>
      <c r="I65" s="184">
        <v>5.5455688095428712</v>
      </c>
      <c r="J65" s="185">
        <f t="shared" si="5"/>
        <v>-0.20545588100874745</v>
      </c>
      <c r="K65" s="184">
        <v>5.0481966131913767</v>
      </c>
      <c r="L65" s="185">
        <f t="shared" si="6"/>
        <v>-0.49737219635149454</v>
      </c>
      <c r="M65" s="184">
        <v>5.2001080205238992</v>
      </c>
      <c r="N65" s="185">
        <v>-0.28797779043283533</v>
      </c>
    </row>
    <row r="66" spans="1:15" ht="6" customHeight="1" x14ac:dyDescent="0.25"/>
    <row r="67" spans="1:15" x14ac:dyDescent="0.25">
      <c r="B67" s="105" t="s">
        <v>55</v>
      </c>
      <c r="C67" s="105"/>
      <c r="D67" s="105"/>
      <c r="E67" s="105"/>
      <c r="F67" s="105"/>
      <c r="G67" s="105"/>
      <c r="H67" s="105"/>
      <c r="I67" s="105"/>
      <c r="J67" s="105"/>
      <c r="K67" s="105"/>
      <c r="L67" s="105"/>
      <c r="M67" s="105"/>
      <c r="N67" s="105"/>
    </row>
    <row r="70" spans="1:15" ht="48.75" customHeight="1" thickBot="1" x14ac:dyDescent="0.3">
      <c r="B70" s="265" t="s">
        <v>289</v>
      </c>
      <c r="C70" s="265"/>
      <c r="D70" s="265"/>
      <c r="E70" s="265"/>
      <c r="F70" s="265"/>
      <c r="G70" s="265"/>
      <c r="H70" s="265"/>
      <c r="I70" s="265"/>
      <c r="J70" s="265"/>
      <c r="K70" s="265"/>
      <c r="L70" s="265"/>
      <c r="M70" s="265"/>
      <c r="N70" s="265"/>
      <c r="O70" s="1" t="s">
        <v>101</v>
      </c>
    </row>
    <row r="71" spans="1:15" ht="10.5" customHeight="1" thickBot="1" x14ac:dyDescent="0.3">
      <c r="B71" s="106"/>
      <c r="C71" s="107"/>
      <c r="D71" s="106"/>
      <c r="E71" s="106"/>
      <c r="F71" s="106"/>
      <c r="G71" s="106"/>
      <c r="H71" s="106"/>
      <c r="I71" s="106"/>
      <c r="J71" s="106"/>
      <c r="K71" s="106"/>
      <c r="L71" s="106"/>
      <c r="M71" s="4"/>
      <c r="N71" s="4"/>
      <c r="O71" s="1" t="s">
        <v>102</v>
      </c>
    </row>
    <row r="72" spans="1:15" ht="22.5" thickTop="1" thickBot="1" x14ac:dyDescent="0.3">
      <c r="B72" s="109"/>
      <c r="C72" s="290" t="s">
        <v>103</v>
      </c>
      <c r="D72" s="291"/>
      <c r="E72" s="291"/>
      <c r="F72" s="291"/>
      <c r="G72" s="291"/>
      <c r="H72" s="291"/>
      <c r="I72" s="291"/>
      <c r="J72" s="291"/>
      <c r="K72" s="291"/>
      <c r="L72" s="291"/>
      <c r="M72" s="291"/>
      <c r="N72" s="291"/>
    </row>
    <row r="73" spans="1:15" ht="22.5" thickTop="1" thickBot="1" x14ac:dyDescent="0.3">
      <c r="B73" s="109"/>
      <c r="C73" s="292">
        <v>2020</v>
      </c>
      <c r="D73" s="293"/>
      <c r="E73" s="294">
        <v>2021</v>
      </c>
      <c r="F73" s="293"/>
      <c r="G73" s="294">
        <v>2022</v>
      </c>
      <c r="H73" s="293"/>
      <c r="I73" s="294">
        <v>2023</v>
      </c>
      <c r="J73" s="293"/>
      <c r="K73" s="294">
        <v>2024</v>
      </c>
      <c r="L73" s="293"/>
      <c r="M73" s="294">
        <v>2025</v>
      </c>
      <c r="N73" s="295"/>
    </row>
    <row r="74" spans="1:15" ht="16.5" thickTop="1" thickBot="1" x14ac:dyDescent="0.3">
      <c r="B74" s="85"/>
      <c r="C74" s="111" t="s">
        <v>69</v>
      </c>
      <c r="D74" s="112" t="str">
        <f>CONCATENATE("dif ",RIGHT(C73,2),"/",RIGHT(C73-1,2))</f>
        <v>dif 20/19</v>
      </c>
      <c r="E74" s="113" t="s">
        <v>69</v>
      </c>
      <c r="F74" s="112" t="str">
        <f>CONCATENATE("dif ",RIGHT(E73,2),"/",RIGHT(C73,2))</f>
        <v>dif 21/20</v>
      </c>
      <c r="G74" s="113" t="s">
        <v>69</v>
      </c>
      <c r="H74" s="112" t="str">
        <f>CONCATENATE("dif ",RIGHT(G73,2),"/",RIGHT(E73,2))</f>
        <v>dif 22/21</v>
      </c>
      <c r="I74" s="113" t="s">
        <v>69</v>
      </c>
      <c r="J74" s="112" t="str">
        <f>CONCATENATE("dif ",RIGHT(I73,2),"/",RIGHT(G73,2))</f>
        <v>dif 23/22</v>
      </c>
      <c r="K74" s="113" t="s">
        <v>69</v>
      </c>
      <c r="L74" s="112" t="str">
        <f>CONCATENATE("dif ",RIGHT(K73,2),"/",RIGHT(I73,2))</f>
        <v>dif 24/23</v>
      </c>
      <c r="M74" s="113" t="s">
        <v>69</v>
      </c>
      <c r="N74" s="112" t="str">
        <f>CONCATENATE("dif ",RIGHT(M73,2),"/",RIGHT(K73,2))</f>
        <v>dif 25/24</v>
      </c>
    </row>
    <row r="75" spans="1:15" x14ac:dyDescent="0.25">
      <c r="A75" s="1">
        <v>1</v>
      </c>
      <c r="B75" s="114" t="s">
        <v>71</v>
      </c>
      <c r="C75" s="182">
        <v>2.528648038385549</v>
      </c>
      <c r="D75" s="183">
        <v>-0.75411606010531695</v>
      </c>
      <c r="E75" s="182">
        <v>3.2924613987284288</v>
      </c>
      <c r="F75" s="183">
        <f t="shared" ref="F75:J77" si="7">IFERROR(E75-C75,"-")</f>
        <v>0.76381336034287983</v>
      </c>
      <c r="G75" s="182">
        <v>2.6512071156289707</v>
      </c>
      <c r="H75" s="183">
        <f t="shared" si="7"/>
        <v>-0.64125428309945809</v>
      </c>
      <c r="I75" s="182">
        <v>3.5954620918649693</v>
      </c>
      <c r="J75" s="183">
        <f t="shared" si="7"/>
        <v>0.94425497623599863</v>
      </c>
      <c r="K75" s="182">
        <v>2.4090357792601576</v>
      </c>
      <c r="L75" s="183">
        <f t="shared" ref="L75:L77" si="8">IFERROR(K75-I75,"-")</f>
        <v>-1.1864263126048118</v>
      </c>
      <c r="M75" s="182">
        <v>2.7676370312090217</v>
      </c>
      <c r="N75" s="183">
        <f t="shared" ref="N75" si="9">IFERROR(M75-K75,"-")</f>
        <v>0.35860125194886416</v>
      </c>
    </row>
    <row r="76" spans="1:15" x14ac:dyDescent="0.25">
      <c r="A76" s="1">
        <v>2</v>
      </c>
      <c r="B76" s="114" t="s">
        <v>73</v>
      </c>
      <c r="C76" s="182">
        <v>1.9799448483329156</v>
      </c>
      <c r="D76" s="183">
        <v>-1.1051220164516313</v>
      </c>
      <c r="E76" s="182">
        <v>2.0499728408473654</v>
      </c>
      <c r="F76" s="183">
        <f t="shared" si="7"/>
        <v>7.0027992514449799E-2</v>
      </c>
      <c r="G76" s="182">
        <v>2.2053632043448745</v>
      </c>
      <c r="H76" s="183">
        <f t="shared" si="7"/>
        <v>0.15539036349750912</v>
      </c>
      <c r="I76" s="182">
        <v>2.8121710526315788</v>
      </c>
      <c r="J76" s="183">
        <f t="shared" si="7"/>
        <v>0.60680784828670431</v>
      </c>
      <c r="K76" s="182">
        <v>2.3241944601469755</v>
      </c>
      <c r="L76" s="183">
        <f t="shared" si="8"/>
        <v>-0.48797659248460334</v>
      </c>
      <c r="M76" s="182"/>
      <c r="N76" s="183"/>
    </row>
    <row r="77" spans="1:15" x14ac:dyDescent="0.25">
      <c r="A77" s="1">
        <v>3</v>
      </c>
      <c r="B77" s="114" t="s">
        <v>75</v>
      </c>
      <c r="C77" s="182">
        <v>4.2155737704918037</v>
      </c>
      <c r="D77" s="183">
        <v>1.6107618943720188</v>
      </c>
      <c r="E77" s="182">
        <v>2.4643478260869567</v>
      </c>
      <c r="F77" s="183">
        <f t="shared" si="7"/>
        <v>-1.751225944404847</v>
      </c>
      <c r="G77" s="182">
        <v>2.324803884945835</v>
      </c>
      <c r="H77" s="183">
        <f t="shared" si="7"/>
        <v>-0.13954394114112167</v>
      </c>
      <c r="I77" s="182">
        <v>2.6021798365122617</v>
      </c>
      <c r="J77" s="183">
        <f t="shared" si="7"/>
        <v>0.27737595156642669</v>
      </c>
      <c r="K77" s="182">
        <v>2.4314678284182305</v>
      </c>
      <c r="L77" s="183">
        <f t="shared" si="8"/>
        <v>-0.1707120080940312</v>
      </c>
      <c r="M77" s="182"/>
      <c r="N77" s="183"/>
    </row>
    <row r="78" spans="1:15" x14ac:dyDescent="0.25">
      <c r="A78" s="1">
        <v>4</v>
      </c>
      <c r="B78" s="114" t="s">
        <v>77</v>
      </c>
      <c r="C78" s="182" t="s">
        <v>235</v>
      </c>
      <c r="D78" s="183" t="s">
        <v>235</v>
      </c>
      <c r="E78" s="182">
        <v>2.8340530536705737</v>
      </c>
      <c r="F78" s="183" t="str">
        <f>IFERROR(E78-C78,"-")</f>
        <v>-</v>
      </c>
      <c r="G78" s="182">
        <v>2.2430187168451607</v>
      </c>
      <c r="H78" s="183">
        <f>IFERROR(G78-E78,"-")</f>
        <v>-0.59103433682541295</v>
      </c>
      <c r="I78" s="182">
        <v>2.982060312568787</v>
      </c>
      <c r="J78" s="183">
        <f>IFERROR(I78-G78,"-")</f>
        <v>0.73904159572362627</v>
      </c>
      <c r="K78" s="182">
        <v>2.3911083281152159</v>
      </c>
      <c r="L78" s="183">
        <f>IFERROR(K78-I78,"-")</f>
        <v>-0.59095198445357111</v>
      </c>
      <c r="M78" s="182"/>
      <c r="N78" s="183"/>
    </row>
    <row r="79" spans="1:15" x14ac:dyDescent="0.25">
      <c r="A79" s="1">
        <v>5</v>
      </c>
      <c r="B79" s="114" t="s">
        <v>79</v>
      </c>
      <c r="C79" s="182" t="s">
        <v>235</v>
      </c>
      <c r="D79" s="183" t="s">
        <v>235</v>
      </c>
      <c r="E79" s="182">
        <v>2.2670126874279122</v>
      </c>
      <c r="F79" s="183" t="str">
        <f t="shared" ref="F79:J87" si="10">IFERROR(E79-C79,"-")</f>
        <v>-</v>
      </c>
      <c r="G79" s="182">
        <v>2.2658905704307335</v>
      </c>
      <c r="H79" s="183">
        <f t="shared" si="10"/>
        <v>-1.1221169971786793E-3</v>
      </c>
      <c r="I79" s="182">
        <v>2.8360398700862359</v>
      </c>
      <c r="J79" s="183">
        <f t="shared" si="10"/>
        <v>0.57014929965550243</v>
      </c>
      <c r="K79" s="182">
        <v>2.3998426098154244</v>
      </c>
      <c r="L79" s="183">
        <f t="shared" ref="L79:L87" si="11">IFERROR(K79-I79,"-")</f>
        <v>-0.43619726027081152</v>
      </c>
      <c r="M79" s="182"/>
      <c r="N79" s="183"/>
    </row>
    <row r="80" spans="1:15" x14ac:dyDescent="0.25">
      <c r="A80" s="1">
        <v>6</v>
      </c>
      <c r="B80" s="114" t="s">
        <v>81</v>
      </c>
      <c r="C80" s="182" t="s">
        <v>235</v>
      </c>
      <c r="D80" s="183" t="s">
        <v>235</v>
      </c>
      <c r="E80" s="182">
        <v>2.4640062597809078</v>
      </c>
      <c r="F80" s="183" t="str">
        <f t="shared" si="10"/>
        <v>-</v>
      </c>
      <c r="G80" s="182">
        <v>2.6562994797557113</v>
      </c>
      <c r="H80" s="183">
        <f t="shared" si="10"/>
        <v>0.19229321997480353</v>
      </c>
      <c r="I80" s="182">
        <v>2.6943369952034657</v>
      </c>
      <c r="J80" s="183">
        <f t="shared" si="10"/>
        <v>3.8037515447754355E-2</v>
      </c>
      <c r="K80" s="182">
        <v>2.658639491107361</v>
      </c>
      <c r="L80" s="183">
        <f t="shared" si="11"/>
        <v>-3.5697504096104726E-2</v>
      </c>
      <c r="M80" s="182"/>
      <c r="N80" s="183"/>
    </row>
    <row r="81" spans="1:15" x14ac:dyDescent="0.25">
      <c r="A81" s="1">
        <v>7</v>
      </c>
      <c r="B81" s="114" t="s">
        <v>83</v>
      </c>
      <c r="C81" s="182" t="s">
        <v>235</v>
      </c>
      <c r="D81" s="183" t="s">
        <v>235</v>
      </c>
      <c r="E81" s="182">
        <v>3.0759881523848431</v>
      </c>
      <c r="F81" s="183" t="str">
        <f t="shared" si="10"/>
        <v>-</v>
      </c>
      <c r="G81" s="182">
        <v>2.8384682549582139</v>
      </c>
      <c r="H81" s="183">
        <f t="shared" si="10"/>
        <v>-0.23751989742662927</v>
      </c>
      <c r="I81" s="182">
        <v>3.0075457317073169</v>
      </c>
      <c r="J81" s="183">
        <f t="shared" si="10"/>
        <v>0.16907747674910301</v>
      </c>
      <c r="K81" s="182">
        <v>2.9497919006408138</v>
      </c>
      <c r="L81" s="183">
        <f t="shared" si="11"/>
        <v>-5.7753831066503114E-2</v>
      </c>
      <c r="M81" s="182"/>
      <c r="N81" s="183"/>
    </row>
    <row r="82" spans="1:15" x14ac:dyDescent="0.25">
      <c r="A82" s="1">
        <v>8</v>
      </c>
      <c r="B82" s="114" t="s">
        <v>85</v>
      </c>
      <c r="C82" s="182">
        <v>2.9126119583635925</v>
      </c>
      <c r="D82" s="183">
        <v>0.42185526988041433</v>
      </c>
      <c r="E82" s="182">
        <v>3.288779889638259</v>
      </c>
      <c r="F82" s="183">
        <f t="shared" si="10"/>
        <v>0.37616793127466641</v>
      </c>
      <c r="G82" s="182">
        <v>2.7815126050420167</v>
      </c>
      <c r="H82" s="183">
        <f t="shared" si="10"/>
        <v>-0.50726728459624226</v>
      </c>
      <c r="I82" s="182">
        <v>2.7460738774607387</v>
      </c>
      <c r="J82" s="183">
        <f t="shared" si="10"/>
        <v>-3.5438727581277973E-2</v>
      </c>
      <c r="K82" s="182">
        <v>3.1529654224868331</v>
      </c>
      <c r="L82" s="183">
        <f t="shared" si="11"/>
        <v>0.40689154502609437</v>
      </c>
      <c r="M82" s="182"/>
      <c r="N82" s="183"/>
    </row>
    <row r="83" spans="1:15" x14ac:dyDescent="0.25">
      <c r="A83" s="1">
        <v>9</v>
      </c>
      <c r="B83" s="114" t="s">
        <v>87</v>
      </c>
      <c r="C83" s="182">
        <v>2.3058368076235856</v>
      </c>
      <c r="D83" s="183">
        <v>-0.67877640525049676</v>
      </c>
      <c r="E83" s="182">
        <v>2.8018525032242936</v>
      </c>
      <c r="F83" s="183">
        <f t="shared" si="10"/>
        <v>0.49601569560070802</v>
      </c>
      <c r="G83" s="182">
        <v>2.4327799275995505</v>
      </c>
      <c r="H83" s="183">
        <f t="shared" si="10"/>
        <v>-0.36907257562474305</v>
      </c>
      <c r="I83" s="182">
        <v>2.7320278969957084</v>
      </c>
      <c r="J83" s="183">
        <f t="shared" si="10"/>
        <v>0.29924796939615783</v>
      </c>
      <c r="K83" s="182">
        <v>2.8144523899134364</v>
      </c>
      <c r="L83" s="183">
        <f t="shared" si="11"/>
        <v>8.2424492917728021E-2</v>
      </c>
      <c r="M83" s="182"/>
      <c r="N83" s="183"/>
    </row>
    <row r="84" spans="1:15" x14ac:dyDescent="0.25">
      <c r="A84" s="1">
        <v>10</v>
      </c>
      <c r="B84" s="114" t="s">
        <v>89</v>
      </c>
      <c r="C84" s="182">
        <v>2.1842164599774523</v>
      </c>
      <c r="D84" s="183">
        <v>-0.14381442805343569</v>
      </c>
      <c r="E84" s="182">
        <v>2.4730092454518342</v>
      </c>
      <c r="F84" s="183">
        <f t="shared" si="10"/>
        <v>0.28879278547438192</v>
      </c>
      <c r="G84" s="182">
        <v>2.5158146201624461</v>
      </c>
      <c r="H84" s="183">
        <f t="shared" si="10"/>
        <v>4.2805374710611854E-2</v>
      </c>
      <c r="I84" s="182">
        <v>2.2366286057692308</v>
      </c>
      <c r="J84" s="183">
        <f t="shared" si="10"/>
        <v>-0.27918601439321522</v>
      </c>
      <c r="K84" s="182">
        <v>2.7012696041822255</v>
      </c>
      <c r="L84" s="183">
        <f t="shared" si="11"/>
        <v>0.46464099841299467</v>
      </c>
      <c r="M84" s="182"/>
      <c r="N84" s="183"/>
    </row>
    <row r="85" spans="1:15" x14ac:dyDescent="0.25">
      <c r="A85" s="1">
        <v>11</v>
      </c>
      <c r="B85" s="114" t="s">
        <v>91</v>
      </c>
      <c r="C85" s="182">
        <v>2.7735632183908048</v>
      </c>
      <c r="D85" s="183">
        <v>-2.3142207965784589E-2</v>
      </c>
      <c r="E85" s="182">
        <v>2.5095457537853849</v>
      </c>
      <c r="F85" s="183">
        <f t="shared" si="10"/>
        <v>-0.26401746460541986</v>
      </c>
      <c r="G85" s="182">
        <v>2.6985086658605399</v>
      </c>
      <c r="H85" s="183">
        <f t="shared" si="10"/>
        <v>0.18896291207515503</v>
      </c>
      <c r="I85" s="182">
        <v>2.4068329961789168</v>
      </c>
      <c r="J85" s="183">
        <f t="shared" si="10"/>
        <v>-0.29167566968162317</v>
      </c>
      <c r="K85" s="182">
        <v>2.6871430776354375</v>
      </c>
      <c r="L85" s="183">
        <f t="shared" si="11"/>
        <v>0.2803100814565207</v>
      </c>
      <c r="M85" s="182"/>
      <c r="N85" s="183"/>
    </row>
    <row r="86" spans="1:15" x14ac:dyDescent="0.25">
      <c r="A86" s="1">
        <v>12</v>
      </c>
      <c r="B86" s="114" t="s">
        <v>93</v>
      </c>
      <c r="C86" s="182">
        <v>2.4477662075915352</v>
      </c>
      <c r="D86" s="183">
        <v>0.25954012152537942</v>
      </c>
      <c r="E86" s="182">
        <v>2.4452794739314232</v>
      </c>
      <c r="F86" s="183">
        <f t="shared" si="10"/>
        <v>-2.4867336601119838E-3</v>
      </c>
      <c r="G86" s="182">
        <v>2.6089754739954776</v>
      </c>
      <c r="H86" s="183">
        <f t="shared" si="10"/>
        <v>0.16369600006405438</v>
      </c>
      <c r="I86" s="182">
        <v>2.6665989022158976</v>
      </c>
      <c r="J86" s="183">
        <f t="shared" si="10"/>
        <v>5.7623428220419992E-2</v>
      </c>
      <c r="K86" s="182">
        <v>2.8862497680460195</v>
      </c>
      <c r="L86" s="183">
        <f t="shared" si="11"/>
        <v>0.21965086583012194</v>
      </c>
      <c r="M86" s="182"/>
      <c r="N86" s="183"/>
    </row>
    <row r="87" spans="1:15" ht="15.75" x14ac:dyDescent="0.25">
      <c r="B87" s="117" t="s">
        <v>30</v>
      </c>
      <c r="C87" s="184">
        <v>2.5260240112994352</v>
      </c>
      <c r="D87" s="185">
        <v>-0.36082656596521856</v>
      </c>
      <c r="E87" s="184">
        <v>2.7155204585827524</v>
      </c>
      <c r="F87" s="185">
        <f t="shared" si="10"/>
        <v>0.18949644728331716</v>
      </c>
      <c r="G87" s="184">
        <v>2.5429762503722109</v>
      </c>
      <c r="H87" s="185">
        <f t="shared" si="10"/>
        <v>-0.17254420821054151</v>
      </c>
      <c r="I87" s="184">
        <v>2.7763916484805056</v>
      </c>
      <c r="J87" s="185">
        <f t="shared" si="10"/>
        <v>0.2334153981082947</v>
      </c>
      <c r="K87" s="184">
        <v>2.7034548944337811</v>
      </c>
      <c r="L87" s="185">
        <f t="shared" si="11"/>
        <v>-7.2936754046724506E-2</v>
      </c>
      <c r="M87" s="184">
        <v>2.7676370312090217</v>
      </c>
      <c r="N87" s="185">
        <v>0.35860125194886416</v>
      </c>
    </row>
    <row r="88" spans="1:15" ht="6" customHeight="1" x14ac:dyDescent="0.25"/>
    <row r="89" spans="1:15" x14ac:dyDescent="0.25">
      <c r="B89" s="105" t="s">
        <v>55</v>
      </c>
      <c r="C89" s="105"/>
      <c r="D89" s="105"/>
      <c r="E89" s="105"/>
      <c r="F89" s="105"/>
      <c r="G89" s="105"/>
      <c r="H89" s="105"/>
      <c r="I89" s="105"/>
      <c r="J89" s="105"/>
      <c r="K89" s="105"/>
      <c r="L89" s="105"/>
      <c r="M89" s="105"/>
      <c r="N89" s="105"/>
    </row>
    <row r="92" spans="1:15" ht="48.75" customHeight="1" thickBot="1" x14ac:dyDescent="0.3">
      <c r="B92" s="265" t="s">
        <v>290</v>
      </c>
      <c r="C92" s="265"/>
      <c r="D92" s="265"/>
      <c r="E92" s="265"/>
      <c r="F92" s="265"/>
      <c r="G92" s="265"/>
      <c r="H92" s="265"/>
      <c r="I92" s="265"/>
      <c r="J92" s="265"/>
      <c r="K92" s="265"/>
      <c r="L92" s="265"/>
      <c r="M92" s="265"/>
      <c r="N92" s="265"/>
      <c r="O92" s="1" t="s">
        <v>104</v>
      </c>
    </row>
    <row r="93" spans="1:15" ht="10.5" customHeight="1" thickBot="1" x14ac:dyDescent="0.3">
      <c r="B93" s="106"/>
      <c r="C93" s="107"/>
      <c r="D93" s="106"/>
      <c r="E93" s="106"/>
      <c r="F93" s="106"/>
      <c r="G93" s="106"/>
      <c r="H93" s="106"/>
      <c r="I93" s="106"/>
      <c r="J93" s="106"/>
      <c r="K93" s="106"/>
      <c r="L93" s="106"/>
      <c r="M93" s="4"/>
      <c r="N93" s="4"/>
      <c r="O93" s="1" t="s">
        <v>105</v>
      </c>
    </row>
    <row r="94" spans="1:15" ht="22.5" thickTop="1" thickBot="1" x14ac:dyDescent="0.3">
      <c r="B94" s="121" t="s">
        <v>106</v>
      </c>
      <c r="C94" s="290" t="s">
        <v>107</v>
      </c>
      <c r="D94" s="291"/>
      <c r="E94" s="291"/>
      <c r="F94" s="291"/>
      <c r="G94" s="291"/>
      <c r="H94" s="291"/>
      <c r="I94" s="291"/>
      <c r="J94" s="291"/>
      <c r="K94" s="291"/>
      <c r="L94" s="291"/>
      <c r="M94" s="291"/>
      <c r="N94" s="291"/>
    </row>
    <row r="95" spans="1:15" ht="22.5" thickTop="1" thickBot="1" x14ac:dyDescent="0.3">
      <c r="B95" s="109"/>
      <c r="C95" s="292">
        <v>2020</v>
      </c>
      <c r="D95" s="293"/>
      <c r="E95" s="294">
        <v>2021</v>
      </c>
      <c r="F95" s="293"/>
      <c r="G95" s="294">
        <v>2022</v>
      </c>
      <c r="H95" s="293"/>
      <c r="I95" s="294">
        <v>2023</v>
      </c>
      <c r="J95" s="293"/>
      <c r="K95" s="294">
        <v>2024</v>
      </c>
      <c r="L95" s="293"/>
      <c r="M95" s="294">
        <v>2025</v>
      </c>
      <c r="N95" s="295"/>
    </row>
    <row r="96" spans="1:15" ht="16.5" thickTop="1" thickBot="1" x14ac:dyDescent="0.3">
      <c r="B96" s="85"/>
      <c r="C96" s="111" t="s">
        <v>69</v>
      </c>
      <c r="D96" s="112" t="str">
        <f>CONCATENATE("dif ",RIGHT(C95,2),"/",RIGHT(C95-1,2))</f>
        <v>dif 20/19</v>
      </c>
      <c r="E96" s="113" t="s">
        <v>69</v>
      </c>
      <c r="F96" s="112" t="str">
        <f>CONCATENATE("dif ",RIGHT(E95,2),"/",RIGHT(C95,2))</f>
        <v>dif 21/20</v>
      </c>
      <c r="G96" s="113" t="s">
        <v>69</v>
      </c>
      <c r="H96" s="112" t="str">
        <f>CONCATENATE("dif ",RIGHT(G95,2),"/",RIGHT(E95,2))</f>
        <v>dif 22/21</v>
      </c>
      <c r="I96" s="113" t="s">
        <v>69</v>
      </c>
      <c r="J96" s="112" t="str">
        <f>CONCATENATE("dif ",RIGHT(I95,2),"/",RIGHT(G95,2))</f>
        <v>dif 23/22</v>
      </c>
      <c r="K96" s="113" t="s">
        <v>69</v>
      </c>
      <c r="L96" s="112" t="str">
        <f>CONCATENATE("dif ",RIGHT(K95,2),"/",RIGHT(I95,2))</f>
        <v>dif 24/23</v>
      </c>
      <c r="M96" s="113" t="s">
        <v>69</v>
      </c>
      <c r="N96" s="112" t="str">
        <f>CONCATENATE("dif ",RIGHT(M95,2),"/",RIGHT(K95,2))</f>
        <v>dif 25/24</v>
      </c>
    </row>
    <row r="97" spans="2:14" x14ac:dyDescent="0.25">
      <c r="B97" s="114" t="s">
        <v>71</v>
      </c>
      <c r="C97" s="182">
        <v>9.2950458626781867</v>
      </c>
      <c r="D97" s="183">
        <v>-0.15258105585782289</v>
      </c>
      <c r="E97" s="182">
        <v>9.0109444669639238</v>
      </c>
      <c r="F97" s="183">
        <f t="shared" ref="F97:J99" si="12">IFERROR(E97-C97,"-")</f>
        <v>-0.28410139571426285</v>
      </c>
      <c r="G97" s="182">
        <v>8.512588031881247</v>
      </c>
      <c r="H97" s="183">
        <f t="shared" si="12"/>
        <v>-0.4983564350826768</v>
      </c>
      <c r="I97" s="182">
        <v>8.5206927412137485</v>
      </c>
      <c r="J97" s="183">
        <f t="shared" si="12"/>
        <v>8.104709332501514E-3</v>
      </c>
      <c r="K97" s="182">
        <v>8.4186966083058437</v>
      </c>
      <c r="L97" s="183">
        <f t="shared" ref="L97:L99" si="13">IFERROR(K97-I97,"-")</f>
        <v>-0.10199613290790488</v>
      </c>
      <c r="M97" s="182">
        <v>8.7072565993373949</v>
      </c>
      <c r="N97" s="183">
        <f t="shared" ref="N97" si="14">IFERROR(M97-K97,"-")</f>
        <v>0.28855999103155128</v>
      </c>
    </row>
    <row r="98" spans="2:14" x14ac:dyDescent="0.25">
      <c r="B98" s="114" t="s">
        <v>73</v>
      </c>
      <c r="C98" s="182">
        <v>8.7275993182116167</v>
      </c>
      <c r="D98" s="183">
        <v>-0.68688375614273056</v>
      </c>
      <c r="E98" s="182">
        <v>5.75520347934141</v>
      </c>
      <c r="F98" s="183">
        <f t="shared" si="12"/>
        <v>-2.9723958388702068</v>
      </c>
      <c r="G98" s="182">
        <v>6.9325526625670548</v>
      </c>
      <c r="H98" s="183">
        <f t="shared" si="12"/>
        <v>1.1773491832256449</v>
      </c>
      <c r="I98" s="182">
        <v>8.0176301452784511</v>
      </c>
      <c r="J98" s="183">
        <f t="shared" si="12"/>
        <v>1.0850774827113963</v>
      </c>
      <c r="K98" s="182">
        <v>8.1856063750311279</v>
      </c>
      <c r="L98" s="183">
        <f t="shared" si="13"/>
        <v>0.16797622975267679</v>
      </c>
      <c r="M98" s="182"/>
      <c r="N98" s="183"/>
    </row>
    <row r="99" spans="2:14" x14ac:dyDescent="0.25">
      <c r="B99" s="114" t="s">
        <v>75</v>
      </c>
      <c r="C99" s="182">
        <v>10.97488555442523</v>
      </c>
      <c r="D99" s="183">
        <v>2.9465410879150298</v>
      </c>
      <c r="E99" s="182">
        <v>5.500643500643501</v>
      </c>
      <c r="F99" s="183">
        <f t="shared" si="12"/>
        <v>-5.4742420537817287</v>
      </c>
      <c r="G99" s="182">
        <v>7.1364744571072176</v>
      </c>
      <c r="H99" s="183">
        <f t="shared" si="12"/>
        <v>1.6358309564637166</v>
      </c>
      <c r="I99" s="182">
        <v>7.6281529895908982</v>
      </c>
      <c r="J99" s="183">
        <f t="shared" si="12"/>
        <v>0.49167853248368054</v>
      </c>
      <c r="K99" s="182">
        <v>7.5469198757399916</v>
      </c>
      <c r="L99" s="183">
        <f t="shared" si="13"/>
        <v>-8.1233113850906591E-2</v>
      </c>
      <c r="M99" s="182"/>
      <c r="N99" s="183"/>
    </row>
    <row r="100" spans="2:14" x14ac:dyDescent="0.25">
      <c r="B100" s="114" t="s">
        <v>77</v>
      </c>
      <c r="C100" s="182" t="s">
        <v>235</v>
      </c>
      <c r="D100" s="183" t="s">
        <v>235</v>
      </c>
      <c r="E100" s="182">
        <v>5.3676544450025112</v>
      </c>
      <c r="F100" s="183" t="str">
        <f>IFERROR(E100-C100,"-")</f>
        <v>-</v>
      </c>
      <c r="G100" s="182">
        <v>7.0535005966009869</v>
      </c>
      <c r="H100" s="183">
        <f>IFERROR(G100-E100,"-")</f>
        <v>1.6858461515984757</v>
      </c>
      <c r="I100" s="182">
        <v>6.86671840418499</v>
      </c>
      <c r="J100" s="183">
        <f>IFERROR(I100-G100,"-")</f>
        <v>-0.18678219241599692</v>
      </c>
      <c r="K100" s="182">
        <v>7.6968225110574444</v>
      </c>
      <c r="L100" s="183">
        <f>IFERROR(K100-I100,"-")</f>
        <v>0.83010410687245439</v>
      </c>
      <c r="M100" s="182"/>
      <c r="N100" s="183"/>
    </row>
    <row r="101" spans="2:14" x14ac:dyDescent="0.25">
      <c r="B101" s="114" t="s">
        <v>79</v>
      </c>
      <c r="C101" s="182" t="s">
        <v>235</v>
      </c>
      <c r="D101" s="183" t="s">
        <v>235</v>
      </c>
      <c r="E101" s="182">
        <v>4.6154148128762102</v>
      </c>
      <c r="F101" s="183" t="str">
        <f t="shared" ref="F101:J109" si="15">IFERROR(E101-C101,"-")</f>
        <v>-</v>
      </c>
      <c r="G101" s="182">
        <v>6.8128675815362678</v>
      </c>
      <c r="H101" s="183">
        <f t="shared" si="15"/>
        <v>2.1974527686600576</v>
      </c>
      <c r="I101" s="182">
        <v>7.1880833271111779</v>
      </c>
      <c r="J101" s="183">
        <f t="shared" si="15"/>
        <v>0.37521574557491011</v>
      </c>
      <c r="K101" s="182">
        <v>6.8821328081035453</v>
      </c>
      <c r="L101" s="183">
        <f t="shared" ref="L101:L109" si="16">IFERROR(K101-I101,"-")</f>
        <v>-0.30595051900763259</v>
      </c>
      <c r="M101" s="182"/>
      <c r="N101" s="183"/>
    </row>
    <row r="102" spans="2:14" x14ac:dyDescent="0.25">
      <c r="B102" s="114" t="s">
        <v>81</v>
      </c>
      <c r="C102" s="182" t="s">
        <v>235</v>
      </c>
      <c r="D102" s="183" t="s">
        <v>235</v>
      </c>
      <c r="E102" s="182">
        <v>5.8911511354737662</v>
      </c>
      <c r="F102" s="183" t="str">
        <f t="shared" si="15"/>
        <v>-</v>
      </c>
      <c r="G102" s="182">
        <v>6.9117168591040752</v>
      </c>
      <c r="H102" s="183">
        <f t="shared" si="15"/>
        <v>1.020565723630309</v>
      </c>
      <c r="I102" s="182">
        <v>7.0050877724990732</v>
      </c>
      <c r="J102" s="183">
        <f t="shared" si="15"/>
        <v>9.3370913394998034E-2</v>
      </c>
      <c r="K102" s="182">
        <v>7.1391927083333337</v>
      </c>
      <c r="L102" s="183">
        <f t="shared" si="16"/>
        <v>0.13410493583426053</v>
      </c>
      <c r="M102" s="182"/>
      <c r="N102" s="183"/>
    </row>
    <row r="103" spans="2:14" x14ac:dyDescent="0.25">
      <c r="B103" s="114" t="s">
        <v>83</v>
      </c>
      <c r="C103" s="182" t="s">
        <v>235</v>
      </c>
      <c r="D103" s="183" t="s">
        <v>235</v>
      </c>
      <c r="E103" s="182">
        <v>7.0290555155010814</v>
      </c>
      <c r="F103" s="183" t="str">
        <f t="shared" si="15"/>
        <v>-</v>
      </c>
      <c r="G103" s="182">
        <v>7.1986132408827253</v>
      </c>
      <c r="H103" s="183">
        <f t="shared" si="15"/>
        <v>0.16955772538164382</v>
      </c>
      <c r="I103" s="182">
        <v>7.4568813279962329</v>
      </c>
      <c r="J103" s="183">
        <f t="shared" si="15"/>
        <v>0.25826808711350768</v>
      </c>
      <c r="K103" s="182">
        <v>7.4333944533577814</v>
      </c>
      <c r="L103" s="183">
        <f t="shared" si="16"/>
        <v>-2.348687463845156E-2</v>
      </c>
      <c r="M103" s="182"/>
      <c r="N103" s="183"/>
    </row>
    <row r="104" spans="2:14" x14ac:dyDescent="0.25">
      <c r="B104" s="114" t="s">
        <v>85</v>
      </c>
      <c r="C104" s="182">
        <v>6.9118342372409955</v>
      </c>
      <c r="D104" s="183">
        <v>-1.3590110761575094</v>
      </c>
      <c r="E104" s="182">
        <v>7.0977242302543511</v>
      </c>
      <c r="F104" s="183">
        <f t="shared" si="15"/>
        <v>0.18588999301335551</v>
      </c>
      <c r="G104" s="182">
        <v>7.778275396317623</v>
      </c>
      <c r="H104" s="183">
        <f t="shared" si="15"/>
        <v>0.68055116606327193</v>
      </c>
      <c r="I104" s="182">
        <v>7.7137433140259954</v>
      </c>
      <c r="J104" s="183">
        <f t="shared" si="15"/>
        <v>-6.4532082291627546E-2</v>
      </c>
      <c r="K104" s="182">
        <v>7.7794874272325423</v>
      </c>
      <c r="L104" s="183">
        <f t="shared" si="16"/>
        <v>6.5744113206546828E-2</v>
      </c>
      <c r="M104" s="182"/>
      <c r="N104" s="183"/>
    </row>
    <row r="105" spans="2:14" x14ac:dyDescent="0.25">
      <c r="B105" s="114" t="s">
        <v>87</v>
      </c>
      <c r="C105" s="182">
        <v>6.9931153184165229</v>
      </c>
      <c r="D105" s="183">
        <v>-1.1832510438568864</v>
      </c>
      <c r="E105" s="182">
        <v>7.1154244794120416</v>
      </c>
      <c r="F105" s="183">
        <f t="shared" si="15"/>
        <v>0.1223091609955187</v>
      </c>
      <c r="G105" s="182">
        <v>7.4606444617626133</v>
      </c>
      <c r="H105" s="183">
        <f t="shared" si="15"/>
        <v>0.34521998235057172</v>
      </c>
      <c r="I105" s="182">
        <v>7.5650837764891374</v>
      </c>
      <c r="J105" s="183">
        <f t="shared" si="15"/>
        <v>0.10443931472652412</v>
      </c>
      <c r="K105" s="182">
        <v>7.6637820736501734</v>
      </c>
      <c r="L105" s="183">
        <f t="shared" si="16"/>
        <v>9.8698297161035953E-2</v>
      </c>
      <c r="M105" s="182"/>
      <c r="N105" s="183"/>
    </row>
    <row r="106" spans="2:14" x14ac:dyDescent="0.25">
      <c r="B106" s="114" t="s">
        <v>89</v>
      </c>
      <c r="C106" s="182">
        <v>4.8194545015689112</v>
      </c>
      <c r="D106" s="183">
        <v>-2.8296068381790365</v>
      </c>
      <c r="E106" s="182">
        <v>6.7946358513446041</v>
      </c>
      <c r="F106" s="183">
        <f t="shared" si="15"/>
        <v>1.9751813497756929</v>
      </c>
      <c r="G106" s="182">
        <v>6.9897432857058162</v>
      </c>
      <c r="H106" s="183">
        <f t="shared" si="15"/>
        <v>0.19510743436121203</v>
      </c>
      <c r="I106" s="182">
        <v>7.1013933302878023</v>
      </c>
      <c r="J106" s="183">
        <f t="shared" si="15"/>
        <v>0.11165004458198613</v>
      </c>
      <c r="K106" s="182">
        <v>7.0632824322465266</v>
      </c>
      <c r="L106" s="183">
        <f t="shared" si="16"/>
        <v>-3.8110898041275654E-2</v>
      </c>
      <c r="M106" s="182"/>
      <c r="N106" s="183"/>
    </row>
    <row r="107" spans="2:14" x14ac:dyDescent="0.25">
      <c r="B107" s="114" t="s">
        <v>91</v>
      </c>
      <c r="C107" s="182">
        <v>7.8686336494555675</v>
      </c>
      <c r="D107" s="183">
        <v>-0.16840601227405294</v>
      </c>
      <c r="E107" s="182">
        <v>7.2640043044180072</v>
      </c>
      <c r="F107" s="183">
        <f t="shared" si="15"/>
        <v>-0.60462934503756038</v>
      </c>
      <c r="G107" s="182">
        <v>7.3783077425677881</v>
      </c>
      <c r="H107" s="183">
        <f t="shared" si="15"/>
        <v>0.11430343814978094</v>
      </c>
      <c r="I107" s="182">
        <v>7.8645584975111893</v>
      </c>
      <c r="J107" s="183">
        <f t="shared" si="15"/>
        <v>0.4862507549434012</v>
      </c>
      <c r="K107" s="182">
        <v>7.7764869118621602</v>
      </c>
      <c r="L107" s="183">
        <f t="shared" si="16"/>
        <v>-8.8071585649029061E-2</v>
      </c>
      <c r="M107" s="182"/>
      <c r="N107" s="183"/>
    </row>
    <row r="108" spans="2:14" x14ac:dyDescent="0.25">
      <c r="B108" s="114" t="s">
        <v>93</v>
      </c>
      <c r="C108" s="182">
        <v>7.6856927332159923</v>
      </c>
      <c r="D108" s="183">
        <v>-1.2620381605497482</v>
      </c>
      <c r="E108" s="182">
        <v>7.9840824979339589</v>
      </c>
      <c r="F108" s="183">
        <f t="shared" si="15"/>
        <v>0.29838976471796652</v>
      </c>
      <c r="G108" s="182">
        <v>7.8006234575918949</v>
      </c>
      <c r="H108" s="183">
        <f t="shared" si="15"/>
        <v>-0.18345904034206395</v>
      </c>
      <c r="I108" s="182">
        <v>8.2201690765464033</v>
      </c>
      <c r="J108" s="183">
        <f t="shared" si="15"/>
        <v>0.41954561895450837</v>
      </c>
      <c r="K108" s="182">
        <v>7.9917642598365486</v>
      </c>
      <c r="L108" s="183">
        <f t="shared" si="16"/>
        <v>-0.22840481670985469</v>
      </c>
      <c r="M108" s="182"/>
      <c r="N108" s="183"/>
    </row>
    <row r="109" spans="2:14" ht="15.75" x14ac:dyDescent="0.25">
      <c r="B109" s="117" t="s">
        <v>30</v>
      </c>
      <c r="C109" s="184">
        <v>8.7566950823947458</v>
      </c>
      <c r="D109" s="185">
        <v>0.44064319900376958</v>
      </c>
      <c r="E109" s="184">
        <v>6.9670919535565847</v>
      </c>
      <c r="F109" s="185">
        <f t="shared" si="15"/>
        <v>-1.7896031288381611</v>
      </c>
      <c r="G109" s="184">
        <v>7.3284504270391047</v>
      </c>
      <c r="H109" s="185">
        <f t="shared" si="15"/>
        <v>0.36135847348251993</v>
      </c>
      <c r="I109" s="184">
        <v>7.6377013763228598</v>
      </c>
      <c r="J109" s="185">
        <f t="shared" si="15"/>
        <v>0.30925094928375518</v>
      </c>
      <c r="K109" s="184">
        <v>7.6512960446817351</v>
      </c>
      <c r="L109" s="185">
        <f t="shared" si="16"/>
        <v>1.3594668358875239E-2</v>
      </c>
      <c r="M109" s="184">
        <v>8.7072565993373949</v>
      </c>
      <c r="N109" s="185">
        <v>0.28855999103155128</v>
      </c>
    </row>
    <row r="110" spans="2:14" ht="6" customHeight="1" x14ac:dyDescent="0.25"/>
    <row r="111" spans="2:14" x14ac:dyDescent="0.25">
      <c r="B111" s="105" t="s">
        <v>55</v>
      </c>
      <c r="C111" s="105"/>
      <c r="D111" s="105"/>
      <c r="E111" s="105"/>
      <c r="F111" s="105"/>
      <c r="G111" s="105"/>
      <c r="H111" s="105"/>
      <c r="I111" s="105"/>
      <c r="J111" s="105"/>
      <c r="K111" s="105"/>
      <c r="L111" s="105"/>
      <c r="M111" s="105"/>
      <c r="N111" s="105"/>
    </row>
    <row r="114" spans="1:15" ht="48.75" customHeight="1" thickBot="1" x14ac:dyDescent="0.3">
      <c r="B114" s="265" t="s">
        <v>291</v>
      </c>
      <c r="C114" s="265"/>
      <c r="D114" s="265"/>
      <c r="E114" s="265"/>
      <c r="F114" s="265"/>
      <c r="G114" s="265"/>
      <c r="H114" s="265"/>
      <c r="I114" s="265"/>
      <c r="J114" s="265"/>
      <c r="K114" s="265"/>
      <c r="L114" s="265"/>
      <c r="M114" s="265"/>
      <c r="N114" s="265"/>
      <c r="O114" s="1" t="s">
        <v>108</v>
      </c>
    </row>
    <row r="115" spans="1:15" ht="10.5" customHeight="1" thickBot="1" x14ac:dyDescent="0.3">
      <c r="B115" s="106"/>
      <c r="C115" s="107"/>
      <c r="D115" s="106"/>
      <c r="E115" s="106"/>
      <c r="F115" s="106"/>
      <c r="G115" s="106"/>
      <c r="H115" s="106"/>
      <c r="I115" s="106"/>
      <c r="J115" s="106"/>
      <c r="K115" s="106"/>
      <c r="L115" s="106"/>
      <c r="M115" s="4"/>
      <c r="N115" s="4"/>
      <c r="O115" s="1" t="s">
        <v>109</v>
      </c>
    </row>
    <row r="116" spans="1:15" ht="22.5" thickTop="1" thickBot="1" x14ac:dyDescent="0.3">
      <c r="B116" s="121" t="str">
        <f>C116</f>
        <v>Reino Unido</v>
      </c>
      <c r="C116" s="290" t="s">
        <v>110</v>
      </c>
      <c r="D116" s="291"/>
      <c r="E116" s="291"/>
      <c r="F116" s="291"/>
      <c r="G116" s="291"/>
      <c r="H116" s="291"/>
      <c r="I116" s="291"/>
      <c r="J116" s="291"/>
      <c r="K116" s="291"/>
      <c r="L116" s="291"/>
      <c r="M116" s="291"/>
      <c r="N116" s="291"/>
    </row>
    <row r="117" spans="1:15" ht="22.5" thickTop="1" thickBot="1" x14ac:dyDescent="0.3">
      <c r="B117" s="109"/>
      <c r="C117" s="292">
        <v>2020</v>
      </c>
      <c r="D117" s="293"/>
      <c r="E117" s="294">
        <v>2021</v>
      </c>
      <c r="F117" s="293"/>
      <c r="G117" s="294">
        <v>2022</v>
      </c>
      <c r="H117" s="293"/>
      <c r="I117" s="294">
        <v>2023</v>
      </c>
      <c r="J117" s="293"/>
      <c r="K117" s="294">
        <v>2024</v>
      </c>
      <c r="L117" s="293"/>
      <c r="M117" s="294">
        <v>2025</v>
      </c>
      <c r="N117" s="295"/>
    </row>
    <row r="118" spans="1:15" ht="16.5" thickTop="1" thickBot="1" x14ac:dyDescent="0.3">
      <c r="B118" s="85"/>
      <c r="C118" s="111" t="s">
        <v>69</v>
      </c>
      <c r="D118" s="112" t="str">
        <f>CONCATENATE("dif ",RIGHT(C117,2),"/",RIGHT(C117-1,2))</f>
        <v>dif 20/19</v>
      </c>
      <c r="E118" s="113" t="s">
        <v>69</v>
      </c>
      <c r="F118" s="112" t="str">
        <f>CONCATENATE("dif ",RIGHT(E117,2),"/",RIGHT(C117,2))</f>
        <v>dif 21/20</v>
      </c>
      <c r="G118" s="113" t="s">
        <v>69</v>
      </c>
      <c r="H118" s="112" t="str">
        <f>CONCATENATE("dif ",RIGHT(G117,2),"/",RIGHT(E117,2))</f>
        <v>dif 22/21</v>
      </c>
      <c r="I118" s="113" t="s">
        <v>69</v>
      </c>
      <c r="J118" s="112" t="str">
        <f>CONCATENATE("dif ",RIGHT(I117,2),"/",RIGHT(G117,2))</f>
        <v>dif 23/22</v>
      </c>
      <c r="K118" s="113" t="s">
        <v>69</v>
      </c>
      <c r="L118" s="112" t="str">
        <f>CONCATENATE("dif ",RIGHT(K117,2),"/",RIGHT(I117,2))</f>
        <v>dif 24/23</v>
      </c>
      <c r="M118" s="113" t="s">
        <v>69</v>
      </c>
      <c r="N118" s="112" t="str">
        <f>CONCATENATE("dif ",RIGHT(M117,2),"/",RIGHT(K117,2))</f>
        <v>dif 25/24</v>
      </c>
    </row>
    <row r="119" spans="1:15" x14ac:dyDescent="0.25">
      <c r="B119" s="114" t="s">
        <v>71</v>
      </c>
      <c r="C119" s="182">
        <v>7.9339108565041219</v>
      </c>
      <c r="D119" s="183">
        <v>-0.53819282612587571</v>
      </c>
      <c r="E119" s="182">
        <v>17.864253393665159</v>
      </c>
      <c r="F119" s="183">
        <f t="shared" ref="F119:J121" si="17">IFERROR(E119-C119,"-")</f>
        <v>9.930342537161037</v>
      </c>
      <c r="G119" s="182">
        <v>7.5997924593566237</v>
      </c>
      <c r="H119" s="183">
        <f t="shared" si="17"/>
        <v>-10.264460934308534</v>
      </c>
      <c r="I119" s="182">
        <v>7.4245295975827492</v>
      </c>
      <c r="J119" s="183">
        <f t="shared" si="17"/>
        <v>-0.17526286177387451</v>
      </c>
      <c r="K119" s="182">
        <v>7.6996077576814121</v>
      </c>
      <c r="L119" s="183">
        <f t="shared" ref="L119:L121" si="18">IFERROR(K119-I119,"-")</f>
        <v>0.27507816009866293</v>
      </c>
      <c r="M119" s="182">
        <v>7.7130570758405002</v>
      </c>
      <c r="N119" s="183">
        <f t="shared" ref="N119" si="19">IFERROR(M119-K119,"-")</f>
        <v>1.3449318159088008E-2</v>
      </c>
    </row>
    <row r="120" spans="1:15" x14ac:dyDescent="0.25">
      <c r="B120" s="114" t="s">
        <v>73</v>
      </c>
      <c r="C120" s="182">
        <v>7.1286418646346927</v>
      </c>
      <c r="D120" s="183">
        <v>-1.303539837220713</v>
      </c>
      <c r="E120" s="182">
        <v>11.735751295336788</v>
      </c>
      <c r="F120" s="183">
        <f t="shared" si="17"/>
        <v>4.6071094307020957</v>
      </c>
      <c r="G120" s="182">
        <v>6.5968031968031964</v>
      </c>
      <c r="H120" s="183">
        <f t="shared" si="17"/>
        <v>-5.138948098533592</v>
      </c>
      <c r="I120" s="182">
        <v>6.6255956432947585</v>
      </c>
      <c r="J120" s="183">
        <f t="shared" si="17"/>
        <v>2.8792446491562096E-2</v>
      </c>
      <c r="K120" s="182">
        <v>7.0288492360294903</v>
      </c>
      <c r="L120" s="183">
        <f t="shared" si="18"/>
        <v>0.40325359273473182</v>
      </c>
      <c r="M120" s="182"/>
      <c r="N120" s="183"/>
    </row>
    <row r="121" spans="1:15" x14ac:dyDescent="0.25">
      <c r="B121" s="114" t="s">
        <v>75</v>
      </c>
      <c r="C121" s="182">
        <v>9.3786440677966105</v>
      </c>
      <c r="D121" s="183">
        <v>2.0832270880821104</v>
      </c>
      <c r="E121" s="182">
        <v>8.6459854014598534</v>
      </c>
      <c r="F121" s="183">
        <f t="shared" si="17"/>
        <v>-0.73265866633675714</v>
      </c>
      <c r="G121" s="182">
        <v>7.11755751014885</v>
      </c>
      <c r="H121" s="183">
        <f t="shared" si="17"/>
        <v>-1.5284278913110034</v>
      </c>
      <c r="I121" s="182">
        <v>6.6871994801819366</v>
      </c>
      <c r="J121" s="183">
        <f t="shared" si="17"/>
        <v>-0.43035802996691341</v>
      </c>
      <c r="K121" s="182">
        <v>6.9662029881504379</v>
      </c>
      <c r="L121" s="183">
        <f t="shared" si="18"/>
        <v>0.27900350796850137</v>
      </c>
      <c r="M121" s="182"/>
      <c r="N121" s="183"/>
    </row>
    <row r="122" spans="1:15" x14ac:dyDescent="0.25">
      <c r="B122" s="114" t="s">
        <v>77</v>
      </c>
      <c r="C122" s="182" t="s">
        <v>235</v>
      </c>
      <c r="D122" s="183" t="s">
        <v>235</v>
      </c>
      <c r="E122" s="182">
        <v>2.8295964125560538</v>
      </c>
      <c r="F122" s="183" t="str">
        <f>IFERROR(E122-C122,"-")</f>
        <v>-</v>
      </c>
      <c r="G122" s="182">
        <v>6.9245819397993307</v>
      </c>
      <c r="H122" s="183">
        <f>IFERROR(G122-E122,"-")</f>
        <v>4.0949855272432769</v>
      </c>
      <c r="I122" s="182">
        <v>6.5770206022187008</v>
      </c>
      <c r="J122" s="183">
        <f>IFERROR(I122-G122,"-")</f>
        <v>-0.3475613375806299</v>
      </c>
      <c r="K122" s="182">
        <v>7.1351310407514017</v>
      </c>
      <c r="L122" s="183">
        <f>IFERROR(K122-I122,"-")</f>
        <v>0.55811043853270093</v>
      </c>
      <c r="M122" s="182"/>
      <c r="N122" s="183"/>
    </row>
    <row r="123" spans="1:15" x14ac:dyDescent="0.25">
      <c r="B123" s="114" t="s">
        <v>79</v>
      </c>
      <c r="C123" s="182" t="s">
        <v>235</v>
      </c>
      <c r="D123" s="183" t="s">
        <v>235</v>
      </c>
      <c r="E123" s="182">
        <v>3.0382293762575454</v>
      </c>
      <c r="F123" s="183" t="str">
        <f t="shared" ref="F123:J131" si="20">IFERROR(E123-C123,"-")</f>
        <v>-</v>
      </c>
      <c r="G123" s="182">
        <v>6.689313517338995</v>
      </c>
      <c r="H123" s="183">
        <f t="shared" si="20"/>
        <v>3.6510841410814496</v>
      </c>
      <c r="I123" s="182">
        <v>6.697749196141479</v>
      </c>
      <c r="J123" s="183">
        <f t="shared" si="20"/>
        <v>8.4356788024839702E-3</v>
      </c>
      <c r="K123" s="182">
        <v>6.6414432121297207</v>
      </c>
      <c r="L123" s="183">
        <f t="shared" ref="L123:L131" si="21">IFERROR(K123-I123,"-")</f>
        <v>-5.6305984011758348E-2</v>
      </c>
      <c r="M123" s="182"/>
      <c r="N123" s="183"/>
    </row>
    <row r="124" spans="1:15" x14ac:dyDescent="0.25">
      <c r="B124" s="114" t="s">
        <v>81</v>
      </c>
      <c r="C124" s="182" t="s">
        <v>235</v>
      </c>
      <c r="D124" s="183" t="s">
        <v>235</v>
      </c>
      <c r="E124" s="182">
        <v>3.3338345864661654</v>
      </c>
      <c r="F124" s="183" t="str">
        <f t="shared" si="20"/>
        <v>-</v>
      </c>
      <c r="G124" s="182">
        <v>6.5790438114276197</v>
      </c>
      <c r="H124" s="183">
        <f t="shared" si="20"/>
        <v>3.2452092249614544</v>
      </c>
      <c r="I124" s="182">
        <v>6.8809303758471962</v>
      </c>
      <c r="J124" s="183">
        <f t="shared" si="20"/>
        <v>0.30188656441957651</v>
      </c>
      <c r="K124" s="182">
        <v>6.686951631046119</v>
      </c>
      <c r="L124" s="183">
        <f t="shared" si="21"/>
        <v>-0.19397874480107724</v>
      </c>
      <c r="M124" s="182"/>
      <c r="N124" s="183"/>
    </row>
    <row r="125" spans="1:15" x14ac:dyDescent="0.25">
      <c r="B125" s="114" t="s">
        <v>83</v>
      </c>
      <c r="C125" s="182" t="s">
        <v>235</v>
      </c>
      <c r="D125" s="183" t="s">
        <v>235</v>
      </c>
      <c r="E125" s="182">
        <v>7.0270270270270272</v>
      </c>
      <c r="F125" s="183" t="str">
        <f t="shared" si="20"/>
        <v>-</v>
      </c>
      <c r="G125" s="182">
        <v>7.0274575832146091</v>
      </c>
      <c r="H125" s="183">
        <f t="shared" si="20"/>
        <v>4.3055618758192082E-4</v>
      </c>
      <c r="I125" s="182">
        <v>7.4940490648530487</v>
      </c>
      <c r="J125" s="183">
        <f t="shared" si="20"/>
        <v>0.46659148163843955</v>
      </c>
      <c r="K125" s="182">
        <v>7.0650243483242621</v>
      </c>
      <c r="L125" s="183">
        <f t="shared" si="21"/>
        <v>-0.4290247165287866</v>
      </c>
      <c r="M125" s="182"/>
      <c r="N125" s="183"/>
    </row>
    <row r="126" spans="1:15" x14ac:dyDescent="0.25">
      <c r="B126" s="114" t="s">
        <v>85</v>
      </c>
      <c r="C126" s="182">
        <v>6.3769470404984423</v>
      </c>
      <c r="D126" s="183">
        <v>-1.0206395446762953</v>
      </c>
      <c r="E126" s="182">
        <v>5.8403361344537812</v>
      </c>
      <c r="F126" s="183">
        <f t="shared" si="20"/>
        <v>-0.53661090604466111</v>
      </c>
      <c r="G126" s="182">
        <v>7.5700397097083387</v>
      </c>
      <c r="H126" s="183">
        <f t="shared" si="20"/>
        <v>1.7297035752545575</v>
      </c>
      <c r="I126" s="182">
        <v>7.5153215849141315</v>
      </c>
      <c r="J126" s="183">
        <f t="shared" si="20"/>
        <v>-5.4718124794207235E-2</v>
      </c>
      <c r="K126" s="182">
        <v>7.5282225780624499</v>
      </c>
      <c r="L126" s="183">
        <f t="shared" si="21"/>
        <v>1.2900993148318385E-2</v>
      </c>
      <c r="M126" s="182"/>
      <c r="N126" s="183"/>
    </row>
    <row r="127" spans="1:15" x14ac:dyDescent="0.25">
      <c r="B127" s="114" t="s">
        <v>87</v>
      </c>
      <c r="C127" s="182">
        <v>6.0221914008321775</v>
      </c>
      <c r="D127" s="183">
        <v>-1.7173625596907653</v>
      </c>
      <c r="E127" s="182">
        <v>6.9028243178554334</v>
      </c>
      <c r="F127" s="183">
        <f t="shared" si="20"/>
        <v>0.88063291702325586</v>
      </c>
      <c r="G127" s="182">
        <v>7.6120493666774927</v>
      </c>
      <c r="H127" s="183">
        <f t="shared" si="20"/>
        <v>0.70922504882205928</v>
      </c>
      <c r="I127" s="182">
        <v>7.4808184143222505</v>
      </c>
      <c r="J127" s="183">
        <f t="shared" si="20"/>
        <v>-0.13123095235524218</v>
      </c>
      <c r="K127" s="182">
        <v>7.3459357277882802</v>
      </c>
      <c r="L127" s="183">
        <f t="shared" si="21"/>
        <v>-0.13488268653397029</v>
      </c>
      <c r="M127" s="182"/>
      <c r="N127" s="183"/>
    </row>
    <row r="128" spans="1:15" x14ac:dyDescent="0.25">
      <c r="A128" s="120"/>
      <c r="B128" s="114" t="s">
        <v>89</v>
      </c>
      <c r="C128" s="182">
        <v>4.5007385524372232</v>
      </c>
      <c r="D128" s="183">
        <v>-3.2602724964503205</v>
      </c>
      <c r="E128" s="182">
        <v>6.6572815533980583</v>
      </c>
      <c r="F128" s="183">
        <f t="shared" si="20"/>
        <v>2.1565430009608351</v>
      </c>
      <c r="G128" s="182">
        <v>6.9833285010147872</v>
      </c>
      <c r="H128" s="183">
        <f t="shared" si="20"/>
        <v>0.32604694761672892</v>
      </c>
      <c r="I128" s="182">
        <v>6.9262397991211548</v>
      </c>
      <c r="J128" s="183">
        <f t="shared" si="20"/>
        <v>-5.7088701893632354E-2</v>
      </c>
      <c r="K128" s="182">
        <v>6.9094631059830647</v>
      </c>
      <c r="L128" s="183">
        <f t="shared" si="21"/>
        <v>-1.677669313809016E-2</v>
      </c>
      <c r="M128" s="182"/>
      <c r="N128" s="183"/>
    </row>
    <row r="129" spans="2:15" x14ac:dyDescent="0.25">
      <c r="B129" s="114" t="s">
        <v>91</v>
      </c>
      <c r="C129" s="182">
        <v>9.5982905982905979</v>
      </c>
      <c r="D129" s="183">
        <v>2.1208570395549478</v>
      </c>
      <c r="E129" s="182">
        <v>6.8495550611790881</v>
      </c>
      <c r="F129" s="183">
        <f t="shared" si="20"/>
        <v>-2.7487355371115099</v>
      </c>
      <c r="G129" s="182">
        <v>6.7162322274881516</v>
      </c>
      <c r="H129" s="183">
        <f t="shared" si="20"/>
        <v>-0.13332283369093645</v>
      </c>
      <c r="I129" s="182">
        <v>6.9560150805438132</v>
      </c>
      <c r="J129" s="183">
        <f t="shared" si="20"/>
        <v>0.2397828530556616</v>
      </c>
      <c r="K129" s="182">
        <v>6.8750572082379859</v>
      </c>
      <c r="L129" s="183">
        <f t="shared" si="21"/>
        <v>-8.0957872305827294E-2</v>
      </c>
      <c r="M129" s="182"/>
      <c r="N129" s="183"/>
    </row>
    <row r="130" spans="2:15" x14ac:dyDescent="0.25">
      <c r="B130" s="114" t="s">
        <v>93</v>
      </c>
      <c r="C130" s="182">
        <v>9.3348281016442449</v>
      </c>
      <c r="D130" s="183">
        <v>1.3361634132169451</v>
      </c>
      <c r="E130" s="182">
        <v>8.0141221374045806</v>
      </c>
      <c r="F130" s="183">
        <f t="shared" si="20"/>
        <v>-1.3207059642396644</v>
      </c>
      <c r="G130" s="182">
        <v>7.1400179318589361</v>
      </c>
      <c r="H130" s="183">
        <f t="shared" si="20"/>
        <v>-0.8741042055456445</v>
      </c>
      <c r="I130" s="182">
        <v>7.5589687989398868</v>
      </c>
      <c r="J130" s="183">
        <f t="shared" si="20"/>
        <v>0.41895086708095075</v>
      </c>
      <c r="K130" s="182">
        <v>7.5490196078431371</v>
      </c>
      <c r="L130" s="183">
        <f t="shared" si="21"/>
        <v>-9.9491910967497432E-3</v>
      </c>
      <c r="M130" s="182"/>
      <c r="N130" s="183"/>
    </row>
    <row r="131" spans="2:15" ht="15.75" x14ac:dyDescent="0.25">
      <c r="B131" s="117" t="s">
        <v>30</v>
      </c>
      <c r="C131" s="184">
        <v>7.6447121695105942</v>
      </c>
      <c r="D131" s="185">
        <v>-1.5403221767104291E-2</v>
      </c>
      <c r="E131" s="184">
        <v>6.8464210841569333</v>
      </c>
      <c r="F131" s="185">
        <f t="shared" si="20"/>
        <v>-0.79829108535366089</v>
      </c>
      <c r="G131" s="184">
        <v>7.0442463034910698</v>
      </c>
      <c r="H131" s="185">
        <f t="shared" si="20"/>
        <v>0.19782521933413655</v>
      </c>
      <c r="I131" s="184">
        <v>7.1014383123801403</v>
      </c>
      <c r="J131" s="185">
        <f t="shared" si="20"/>
        <v>5.71920088890705E-2</v>
      </c>
      <c r="K131" s="184">
        <v>7.1302838287418524</v>
      </c>
      <c r="L131" s="185">
        <f t="shared" si="21"/>
        <v>2.8845516361712065E-2</v>
      </c>
      <c r="M131" s="184">
        <v>7.7130570758405002</v>
      </c>
      <c r="N131" s="185">
        <v>1.3449318159088008E-2</v>
      </c>
    </row>
    <row r="132" spans="2:15" ht="6" customHeight="1" x14ac:dyDescent="0.25"/>
    <row r="133" spans="2:15" x14ac:dyDescent="0.25">
      <c r="B133" s="105" t="s">
        <v>55</v>
      </c>
      <c r="C133" s="105"/>
      <c r="D133" s="105"/>
      <c r="E133" s="105"/>
      <c r="F133" s="105"/>
      <c r="G133" s="105"/>
      <c r="H133" s="105"/>
      <c r="I133" s="105"/>
      <c r="J133" s="105"/>
      <c r="K133" s="105"/>
      <c r="L133" s="105"/>
      <c r="M133" s="105"/>
      <c r="N133" s="105"/>
    </row>
    <row r="134" spans="2:15" x14ac:dyDescent="0.25">
      <c r="K134" s="120"/>
      <c r="M134" s="120"/>
      <c r="N134" s="122"/>
    </row>
    <row r="136" spans="2:15" ht="48.75" customHeight="1" thickBot="1" x14ac:dyDescent="0.3">
      <c r="B136" s="265" t="s">
        <v>292</v>
      </c>
      <c r="C136" s="265"/>
      <c r="D136" s="265"/>
      <c r="E136" s="265"/>
      <c r="F136" s="265"/>
      <c r="G136" s="265"/>
      <c r="H136" s="265"/>
      <c r="I136" s="265"/>
      <c r="J136" s="265"/>
      <c r="K136" s="265"/>
      <c r="L136" s="265"/>
      <c r="M136" s="265"/>
      <c r="N136" s="265"/>
      <c r="O136" s="1" t="s">
        <v>111</v>
      </c>
    </row>
    <row r="137" spans="2:15" ht="10.5" customHeight="1" thickBot="1" x14ac:dyDescent="0.3">
      <c r="B137" s="106"/>
      <c r="C137" s="107"/>
      <c r="D137" s="106"/>
      <c r="E137" s="106"/>
      <c r="F137" s="106"/>
      <c r="G137" s="106"/>
      <c r="H137" s="106"/>
      <c r="I137" s="106"/>
      <c r="J137" s="106"/>
      <c r="K137" s="106"/>
      <c r="L137" s="106"/>
      <c r="M137" s="4"/>
      <c r="N137" s="4"/>
      <c r="O137" s="1" t="s">
        <v>112</v>
      </c>
    </row>
    <row r="138" spans="2:15" ht="22.5" thickTop="1" thickBot="1" x14ac:dyDescent="0.3">
      <c r="B138" s="121" t="str">
        <f>C138</f>
        <v>Alemania</v>
      </c>
      <c r="C138" s="290" t="s">
        <v>113</v>
      </c>
      <c r="D138" s="291"/>
      <c r="E138" s="291"/>
      <c r="F138" s="291"/>
      <c r="G138" s="291"/>
      <c r="H138" s="291"/>
      <c r="I138" s="291"/>
      <c r="J138" s="291"/>
      <c r="K138" s="291"/>
      <c r="L138" s="291"/>
      <c r="M138" s="291"/>
      <c r="N138" s="291"/>
    </row>
    <row r="139" spans="2:15" ht="22.5" thickTop="1" thickBot="1" x14ac:dyDescent="0.3">
      <c r="B139" s="109"/>
      <c r="C139" s="292">
        <v>2020</v>
      </c>
      <c r="D139" s="293"/>
      <c r="E139" s="294">
        <v>2021</v>
      </c>
      <c r="F139" s="293"/>
      <c r="G139" s="294">
        <v>2022</v>
      </c>
      <c r="H139" s="293"/>
      <c r="I139" s="294">
        <v>2023</v>
      </c>
      <c r="J139" s="293"/>
      <c r="K139" s="294">
        <v>2024</v>
      </c>
      <c r="L139" s="293"/>
      <c r="M139" s="294">
        <v>2025</v>
      </c>
      <c r="N139" s="295"/>
    </row>
    <row r="140" spans="2:15" ht="16.5" thickTop="1" thickBot="1" x14ac:dyDescent="0.3">
      <c r="B140" s="85"/>
      <c r="C140" s="111" t="s">
        <v>69</v>
      </c>
      <c r="D140" s="112" t="str">
        <f>CONCATENATE("dif ",RIGHT(C139,2),"/",RIGHT(C139-1,2))</f>
        <v>dif 20/19</v>
      </c>
      <c r="E140" s="113" t="s">
        <v>69</v>
      </c>
      <c r="F140" s="112" t="str">
        <f>CONCATENATE("dif ",RIGHT(E139,2),"/",RIGHT(C139,2))</f>
        <v>dif 21/20</v>
      </c>
      <c r="G140" s="113" t="s">
        <v>69</v>
      </c>
      <c r="H140" s="112" t="str">
        <f>CONCATENATE("dif ",RIGHT(G139,2),"/",RIGHT(E139,2))</f>
        <v>dif 22/21</v>
      </c>
      <c r="I140" s="113" t="s">
        <v>69</v>
      </c>
      <c r="J140" s="112" t="str">
        <f>CONCATENATE("dif ",RIGHT(I139,2),"/",RIGHT(G139,2))</f>
        <v>dif 23/22</v>
      </c>
      <c r="K140" s="113" t="s">
        <v>69</v>
      </c>
      <c r="L140" s="112" t="str">
        <f>CONCATENATE("dif ",RIGHT(K139,2),"/",RIGHT(I139,2))</f>
        <v>dif 24/23</v>
      </c>
      <c r="M140" s="113" t="s">
        <v>69</v>
      </c>
      <c r="N140" s="112" t="str">
        <f>CONCATENATE("dif ",RIGHT(M139,2),"/",RIGHT(K139,2))</f>
        <v>dif 25/24</v>
      </c>
    </row>
    <row r="141" spans="2:15" x14ac:dyDescent="0.25">
      <c r="B141" s="114" t="s">
        <v>71</v>
      </c>
      <c r="C141" s="182">
        <v>11.637256287086748</v>
      </c>
      <c r="D141" s="183">
        <v>0.46909023781291914</v>
      </c>
      <c r="E141" s="182">
        <v>15.971804511278195</v>
      </c>
      <c r="F141" s="183">
        <f t="shared" ref="F141:J143" si="22">IFERROR(E141-C141,"-")</f>
        <v>4.3345482241914475</v>
      </c>
      <c r="G141" s="182">
        <v>12.129041326960921</v>
      </c>
      <c r="H141" s="183">
        <f t="shared" si="22"/>
        <v>-3.842763184317274</v>
      </c>
      <c r="I141" s="182">
        <v>11.418379216750678</v>
      </c>
      <c r="J141" s="183">
        <f t="shared" si="22"/>
        <v>-0.71066211021024372</v>
      </c>
      <c r="K141" s="182">
        <v>10.98589065255732</v>
      </c>
      <c r="L141" s="183">
        <f t="shared" ref="L141:L143" si="23">IFERROR(K141-I141,"-")</f>
        <v>-0.43248856419335802</v>
      </c>
      <c r="M141" s="182">
        <v>11.050628442310408</v>
      </c>
      <c r="N141" s="183">
        <f t="shared" ref="N141" si="24">IFERROR(M141-K141,"-")</f>
        <v>6.4737789753088748E-2</v>
      </c>
    </row>
    <row r="142" spans="2:15" x14ac:dyDescent="0.25">
      <c r="B142" s="114" t="s">
        <v>73</v>
      </c>
      <c r="C142" s="182">
        <v>11.138817878999149</v>
      </c>
      <c r="D142" s="183">
        <v>8.3654404996556408E-2</v>
      </c>
      <c r="E142" s="182">
        <v>8.7712609970674489</v>
      </c>
      <c r="F142" s="183">
        <f t="shared" si="22"/>
        <v>-2.3675568819316997</v>
      </c>
      <c r="G142" s="182">
        <v>9.2217261904761898</v>
      </c>
      <c r="H142" s="183">
        <f t="shared" si="22"/>
        <v>0.45046519340874092</v>
      </c>
      <c r="I142" s="182">
        <v>10.34370308590492</v>
      </c>
      <c r="J142" s="183">
        <f t="shared" si="22"/>
        <v>1.1219768954287304</v>
      </c>
      <c r="K142" s="182">
        <v>10.596861547007361</v>
      </c>
      <c r="L142" s="183">
        <f t="shared" si="23"/>
        <v>0.25315846110244067</v>
      </c>
      <c r="M142" s="182"/>
      <c r="N142" s="183"/>
    </row>
    <row r="143" spans="2:15" x14ac:dyDescent="0.25">
      <c r="B143" s="114" t="s">
        <v>75</v>
      </c>
      <c r="C143" s="182">
        <v>12.882565337001376</v>
      </c>
      <c r="D143" s="183">
        <v>3.7799200205605281</v>
      </c>
      <c r="E143" s="182">
        <v>7.0540806293018683</v>
      </c>
      <c r="F143" s="183">
        <f t="shared" si="22"/>
        <v>-5.8284847076995074</v>
      </c>
      <c r="G143" s="182">
        <v>8.391152403682236</v>
      </c>
      <c r="H143" s="183">
        <f t="shared" si="22"/>
        <v>1.3370717743803677</v>
      </c>
      <c r="I143" s="182">
        <v>9.1222556390977445</v>
      </c>
      <c r="J143" s="183">
        <f t="shared" si="22"/>
        <v>0.73110323541550848</v>
      </c>
      <c r="K143" s="182">
        <v>9.0470304492010847</v>
      </c>
      <c r="L143" s="183">
        <f t="shared" si="23"/>
        <v>-7.5225189896659828E-2</v>
      </c>
      <c r="M143" s="182"/>
      <c r="N143" s="183"/>
    </row>
    <row r="144" spans="2:15" x14ac:dyDescent="0.25">
      <c r="B144" s="114" t="s">
        <v>77</v>
      </c>
      <c r="C144" s="182" t="s">
        <v>235</v>
      </c>
      <c r="D144" s="183" t="s">
        <v>235</v>
      </c>
      <c r="E144" s="182">
        <v>9.2820895522388067</v>
      </c>
      <c r="F144" s="183" t="str">
        <f>IFERROR(E144-C144,"-")</f>
        <v>-</v>
      </c>
      <c r="G144" s="182">
        <v>7.9562760261748959</v>
      </c>
      <c r="H144" s="183">
        <f>IFERROR(G144-E144,"-")</f>
        <v>-1.3258135260639108</v>
      </c>
      <c r="I144" s="182">
        <v>7.9372430802959713</v>
      </c>
      <c r="J144" s="183">
        <f>IFERROR(I144-G144,"-")</f>
        <v>-1.9032945878924679E-2</v>
      </c>
      <c r="K144" s="182">
        <v>9.8910386965376791</v>
      </c>
      <c r="L144" s="183">
        <f>IFERROR(K144-I144,"-")</f>
        <v>1.9537956162417078</v>
      </c>
      <c r="M144" s="182"/>
      <c r="N144" s="183"/>
    </row>
    <row r="145" spans="1:15" x14ac:dyDescent="0.25">
      <c r="B145" s="114" t="s">
        <v>79</v>
      </c>
      <c r="C145" s="182" t="s">
        <v>235</v>
      </c>
      <c r="D145" s="183" t="s">
        <v>235</v>
      </c>
      <c r="E145" s="182">
        <v>6.829085457271364</v>
      </c>
      <c r="F145" s="183" t="str">
        <f t="shared" ref="F145:J153" si="25">IFERROR(E145-C145,"-")</f>
        <v>-</v>
      </c>
      <c r="G145" s="182">
        <v>8.2949205932537087</v>
      </c>
      <c r="H145" s="183">
        <f t="shared" si="25"/>
        <v>1.4658351359823447</v>
      </c>
      <c r="I145" s="182">
        <v>9.1007148327801897</v>
      </c>
      <c r="J145" s="183">
        <f t="shared" si="25"/>
        <v>0.80579423952648099</v>
      </c>
      <c r="K145" s="182">
        <v>9.5351974757915343</v>
      </c>
      <c r="L145" s="183">
        <f t="shared" ref="L145:L153" si="26">IFERROR(K145-I145,"-")</f>
        <v>0.43448264301134465</v>
      </c>
      <c r="M145" s="182"/>
      <c r="N145" s="183"/>
    </row>
    <row r="146" spans="1:15" x14ac:dyDescent="0.25">
      <c r="B146" s="114" t="s">
        <v>81</v>
      </c>
      <c r="C146" s="182" t="s">
        <v>235</v>
      </c>
      <c r="D146" s="183" t="s">
        <v>235</v>
      </c>
      <c r="E146" s="182">
        <v>8.3425669436749761</v>
      </c>
      <c r="F146" s="183" t="str">
        <f t="shared" si="25"/>
        <v>-</v>
      </c>
      <c r="G146" s="182">
        <v>8.5031024439660623</v>
      </c>
      <c r="H146" s="183">
        <f t="shared" si="25"/>
        <v>0.16053550029108621</v>
      </c>
      <c r="I146" s="182">
        <v>8.989169198256505</v>
      </c>
      <c r="J146" s="183">
        <f t="shared" si="25"/>
        <v>0.48606675429044266</v>
      </c>
      <c r="K146" s="182">
        <v>9.7805171377029456</v>
      </c>
      <c r="L146" s="183">
        <f t="shared" si="26"/>
        <v>0.79134793944644066</v>
      </c>
      <c r="M146" s="182"/>
      <c r="N146" s="183"/>
    </row>
    <row r="147" spans="1:15" x14ac:dyDescent="0.25">
      <c r="B147" s="114" t="s">
        <v>83</v>
      </c>
      <c r="C147" s="182" t="s">
        <v>235</v>
      </c>
      <c r="D147" s="183" t="s">
        <v>235</v>
      </c>
      <c r="E147" s="182">
        <v>8.8326253186066275</v>
      </c>
      <c r="F147" s="183" t="str">
        <f t="shared" si="25"/>
        <v>-</v>
      </c>
      <c r="G147" s="182">
        <v>8.7805634182504377</v>
      </c>
      <c r="H147" s="183">
        <f t="shared" si="25"/>
        <v>-5.2061900356189739E-2</v>
      </c>
      <c r="I147" s="182">
        <v>8.5818105144784926</v>
      </c>
      <c r="J147" s="183">
        <f t="shared" si="25"/>
        <v>-0.1987529037719451</v>
      </c>
      <c r="K147" s="182">
        <v>9.7089457678661937</v>
      </c>
      <c r="L147" s="183">
        <f t="shared" si="26"/>
        <v>1.127135253387701</v>
      </c>
      <c r="M147" s="182"/>
      <c r="N147" s="183"/>
    </row>
    <row r="148" spans="1:15" x14ac:dyDescent="0.25">
      <c r="B148" s="114" t="s">
        <v>85</v>
      </c>
      <c r="C148" s="182">
        <v>8.9206424185167688</v>
      </c>
      <c r="D148" s="183">
        <v>-0.41501311279093578</v>
      </c>
      <c r="E148" s="182">
        <v>8.9125492925075385</v>
      </c>
      <c r="F148" s="183">
        <f t="shared" si="25"/>
        <v>-8.0931260092302892E-3</v>
      </c>
      <c r="G148" s="182">
        <v>9.1730716063035658</v>
      </c>
      <c r="H148" s="183">
        <f t="shared" si="25"/>
        <v>0.2605223137960273</v>
      </c>
      <c r="I148" s="182">
        <v>8.7677522690870262</v>
      </c>
      <c r="J148" s="183">
        <f t="shared" si="25"/>
        <v>-0.40531933721653957</v>
      </c>
      <c r="K148" s="182">
        <v>9.1128626308120282</v>
      </c>
      <c r="L148" s="183">
        <f t="shared" si="26"/>
        <v>0.34511036172500198</v>
      </c>
      <c r="M148" s="182"/>
      <c r="N148" s="183"/>
    </row>
    <row r="149" spans="1:15" x14ac:dyDescent="0.25">
      <c r="B149" s="114" t="s">
        <v>87</v>
      </c>
      <c r="C149" s="182">
        <v>12.752112676056338</v>
      </c>
      <c r="D149" s="183">
        <v>3.0308995849144651</v>
      </c>
      <c r="E149" s="182">
        <v>8.8154137529137522</v>
      </c>
      <c r="F149" s="183">
        <f t="shared" si="25"/>
        <v>-3.9366989231425862</v>
      </c>
      <c r="G149" s="182">
        <v>8.7724685922903465</v>
      </c>
      <c r="H149" s="183">
        <f t="shared" si="25"/>
        <v>-4.2945160623405698E-2</v>
      </c>
      <c r="I149" s="182">
        <v>9.3442921396444643</v>
      </c>
      <c r="J149" s="183">
        <f t="shared" si="25"/>
        <v>0.57182354735411778</v>
      </c>
      <c r="K149" s="182">
        <v>9.5348466746316216</v>
      </c>
      <c r="L149" s="183">
        <f t="shared" si="26"/>
        <v>0.19055453498715735</v>
      </c>
      <c r="M149" s="182"/>
      <c r="N149" s="183"/>
    </row>
    <row r="150" spans="1:15" x14ac:dyDescent="0.25">
      <c r="A150" s="120"/>
      <c r="B150" s="114" t="s">
        <v>89</v>
      </c>
      <c r="C150" s="182">
        <v>5.6313131313131315</v>
      </c>
      <c r="D150" s="183">
        <v>-3.7245401945313681</v>
      </c>
      <c r="E150" s="182">
        <v>8.717644473742034</v>
      </c>
      <c r="F150" s="183">
        <f t="shared" si="25"/>
        <v>3.0863313424289025</v>
      </c>
      <c r="G150" s="182">
        <v>8.7037592374424335</v>
      </c>
      <c r="H150" s="183">
        <f t="shared" si="25"/>
        <v>-1.3885236299600479E-2</v>
      </c>
      <c r="I150" s="182">
        <v>8.9645416823840058</v>
      </c>
      <c r="J150" s="183">
        <f t="shared" si="25"/>
        <v>0.26078244494157232</v>
      </c>
      <c r="K150" s="182">
        <v>8.671056782334384</v>
      </c>
      <c r="L150" s="183">
        <f t="shared" si="26"/>
        <v>-0.2934849000496218</v>
      </c>
      <c r="M150" s="182"/>
      <c r="N150" s="183"/>
    </row>
    <row r="151" spans="1:15" x14ac:dyDescent="0.25">
      <c r="B151" s="114" t="s">
        <v>91</v>
      </c>
      <c r="C151" s="182">
        <v>9.6477272727272734</v>
      </c>
      <c r="D151" s="183">
        <v>0.44916494218940883</v>
      </c>
      <c r="E151" s="182">
        <v>8.8209257098405285</v>
      </c>
      <c r="F151" s="183">
        <f t="shared" si="25"/>
        <v>-0.82680156288674489</v>
      </c>
      <c r="G151" s="182">
        <v>8.7484428086070221</v>
      </c>
      <c r="H151" s="183">
        <f t="shared" si="25"/>
        <v>-7.2482901233506425E-2</v>
      </c>
      <c r="I151" s="182">
        <v>9.3741670937980519</v>
      </c>
      <c r="J151" s="183">
        <f t="shared" si="25"/>
        <v>0.62572428519102985</v>
      </c>
      <c r="K151" s="182">
        <v>9.3356138350437092</v>
      </c>
      <c r="L151" s="183">
        <f t="shared" si="26"/>
        <v>-3.8553258754342679E-2</v>
      </c>
      <c r="M151" s="182"/>
      <c r="N151" s="183"/>
    </row>
    <row r="152" spans="1:15" x14ac:dyDescent="0.25">
      <c r="B152" s="114" t="s">
        <v>93</v>
      </c>
      <c r="C152" s="182">
        <v>11.419786096256685</v>
      </c>
      <c r="D152" s="183">
        <v>9.1327657217735947E-2</v>
      </c>
      <c r="E152" s="182">
        <v>9.8715930335530846</v>
      </c>
      <c r="F152" s="183">
        <f t="shared" si="25"/>
        <v>-1.5481930627036</v>
      </c>
      <c r="G152" s="182">
        <v>9.601999200319872</v>
      </c>
      <c r="H152" s="183">
        <f t="shared" si="25"/>
        <v>-0.26959383323321262</v>
      </c>
      <c r="I152" s="182">
        <v>10.795986093552465</v>
      </c>
      <c r="J152" s="183">
        <f t="shared" si="25"/>
        <v>1.1939868932325925</v>
      </c>
      <c r="K152" s="182">
        <v>10.171340457577278</v>
      </c>
      <c r="L152" s="183">
        <f t="shared" si="26"/>
        <v>-0.62464563597518641</v>
      </c>
      <c r="M152" s="182"/>
      <c r="N152" s="183"/>
    </row>
    <row r="153" spans="1:15" ht="15.75" x14ac:dyDescent="0.25">
      <c r="B153" s="117" t="s">
        <v>30</v>
      </c>
      <c r="C153" s="184">
        <v>11.259829968119023</v>
      </c>
      <c r="D153" s="185">
        <v>1.4528028461139275</v>
      </c>
      <c r="E153" s="184">
        <v>8.9848573092603381</v>
      </c>
      <c r="F153" s="185">
        <f t="shared" si="25"/>
        <v>-2.2749726588586849</v>
      </c>
      <c r="G153" s="184">
        <v>8.9641442715700137</v>
      </c>
      <c r="H153" s="185">
        <f t="shared" si="25"/>
        <v>-2.0713037690324398E-2</v>
      </c>
      <c r="I153" s="184">
        <v>9.5079662973403796</v>
      </c>
      <c r="J153" s="185">
        <f t="shared" si="25"/>
        <v>0.54382202577036587</v>
      </c>
      <c r="K153" s="184">
        <v>9.7232392971336417</v>
      </c>
      <c r="L153" s="185">
        <f t="shared" si="26"/>
        <v>0.21527299979326209</v>
      </c>
      <c r="M153" s="184">
        <v>11.050628442310408</v>
      </c>
      <c r="N153" s="185">
        <v>6.4737789753088748E-2</v>
      </c>
    </row>
    <row r="154" spans="1:15" ht="6" customHeight="1" x14ac:dyDescent="0.25"/>
    <row r="155" spans="1:15" x14ac:dyDescent="0.25">
      <c r="B155" s="105" t="s">
        <v>55</v>
      </c>
      <c r="C155" s="105"/>
      <c r="D155" s="105"/>
      <c r="E155" s="105"/>
      <c r="F155" s="105"/>
      <c r="G155" s="105"/>
      <c r="H155" s="105"/>
      <c r="I155" s="105"/>
      <c r="J155" s="105"/>
      <c r="K155" s="105"/>
      <c r="L155" s="105"/>
      <c r="M155" s="105"/>
      <c r="N155" s="105"/>
    </row>
    <row r="156" spans="1:15" x14ac:dyDescent="0.25">
      <c r="K156" s="120"/>
      <c r="N156" s="123"/>
    </row>
    <row r="158" spans="1:15" ht="48.75" customHeight="1" thickBot="1" x14ac:dyDescent="0.3">
      <c r="B158" s="265" t="s">
        <v>293</v>
      </c>
      <c r="C158" s="265"/>
      <c r="D158" s="265"/>
      <c r="E158" s="265"/>
      <c r="F158" s="265"/>
      <c r="G158" s="265"/>
      <c r="H158" s="265"/>
      <c r="I158" s="265"/>
      <c r="J158" s="265"/>
      <c r="K158" s="265"/>
      <c r="L158" s="265"/>
      <c r="M158" s="265"/>
      <c r="N158" s="265"/>
      <c r="O158" s="1" t="s">
        <v>114</v>
      </c>
    </row>
    <row r="159" spans="1:15" ht="10.5" customHeight="1" thickBot="1" x14ac:dyDescent="0.3">
      <c r="B159" s="106"/>
      <c r="C159" s="107"/>
      <c r="D159" s="106"/>
      <c r="E159" s="106"/>
      <c r="F159" s="106"/>
      <c r="G159" s="106"/>
      <c r="H159" s="106"/>
      <c r="I159" s="106"/>
      <c r="J159" s="106"/>
      <c r="K159" s="106"/>
      <c r="L159" s="106"/>
      <c r="M159" s="4"/>
      <c r="N159" s="4"/>
      <c r="O159" s="1" t="s">
        <v>115</v>
      </c>
    </row>
    <row r="160" spans="1:15" ht="22.5" thickTop="1" thickBot="1" x14ac:dyDescent="0.3">
      <c r="B160" s="121" t="str">
        <f>C160</f>
        <v>Francia</v>
      </c>
      <c r="C160" s="290" t="s">
        <v>116</v>
      </c>
      <c r="D160" s="291"/>
      <c r="E160" s="291"/>
      <c r="F160" s="291"/>
      <c r="G160" s="291"/>
      <c r="H160" s="291"/>
      <c r="I160" s="291"/>
      <c r="J160" s="291"/>
      <c r="K160" s="291"/>
      <c r="L160" s="291"/>
      <c r="M160" s="291"/>
      <c r="N160" s="291"/>
    </row>
    <row r="161" spans="2:14" ht="22.5" thickTop="1" thickBot="1" x14ac:dyDescent="0.3">
      <c r="B161" s="109"/>
      <c r="C161" s="292">
        <v>2020</v>
      </c>
      <c r="D161" s="293"/>
      <c r="E161" s="294">
        <v>2021</v>
      </c>
      <c r="F161" s="293"/>
      <c r="G161" s="294">
        <v>2022</v>
      </c>
      <c r="H161" s="293"/>
      <c r="I161" s="294">
        <v>2023</v>
      </c>
      <c r="J161" s="293"/>
      <c r="K161" s="294">
        <v>2024</v>
      </c>
      <c r="L161" s="293"/>
      <c r="M161" s="294">
        <v>2025</v>
      </c>
      <c r="N161" s="295"/>
    </row>
    <row r="162" spans="2:14" ht="16.5" thickTop="1" thickBot="1" x14ac:dyDescent="0.3">
      <c r="B162" s="85"/>
      <c r="C162" s="111" t="s">
        <v>69</v>
      </c>
      <c r="D162" s="112" t="str">
        <f>CONCATENATE("dif ",RIGHT(C161,2),"/",RIGHT(C161-1,2))</f>
        <v>dif 20/19</v>
      </c>
      <c r="E162" s="113" t="s">
        <v>69</v>
      </c>
      <c r="F162" s="112" t="str">
        <f>CONCATENATE("dif ",RIGHT(E161,2),"/",RIGHT(C161,2))</f>
        <v>dif 21/20</v>
      </c>
      <c r="G162" s="113" t="s">
        <v>69</v>
      </c>
      <c r="H162" s="112" t="str">
        <f>CONCATENATE("dif ",RIGHT(G161,2),"/",RIGHT(E161,2))</f>
        <v>dif 22/21</v>
      </c>
      <c r="I162" s="113" t="s">
        <v>69</v>
      </c>
      <c r="J162" s="112" t="str">
        <f>CONCATENATE("dif ",RIGHT(I161,2),"/",RIGHT(G161,2))</f>
        <v>dif 23/22</v>
      </c>
      <c r="K162" s="113" t="s">
        <v>69</v>
      </c>
      <c r="L162" s="112" t="str">
        <f>CONCATENATE("dif ",RIGHT(K161,2),"/",RIGHT(I161,2))</f>
        <v>dif 24/23</v>
      </c>
      <c r="M162" s="113" t="s">
        <v>69</v>
      </c>
      <c r="N162" s="112" t="str">
        <f>CONCATENATE("dif ",RIGHT(M161,2),"/",RIGHT(K161,2))</f>
        <v>dif 25/24</v>
      </c>
    </row>
    <row r="163" spans="2:14" x14ac:dyDescent="0.25">
      <c r="B163" s="114" t="s">
        <v>71</v>
      </c>
      <c r="C163" s="182">
        <v>6.216949152542373</v>
      </c>
      <c r="D163" s="183">
        <v>-1.295823433127409</v>
      </c>
      <c r="E163" s="182">
        <v>4.857397504456328</v>
      </c>
      <c r="F163" s="183">
        <f t="shared" ref="F163:J165" si="27">IFERROR(E163-C163,"-")</f>
        <v>-1.359551648086045</v>
      </c>
      <c r="G163" s="182">
        <v>5.5207373271889404</v>
      </c>
      <c r="H163" s="183">
        <f t="shared" si="27"/>
        <v>0.66333982273261238</v>
      </c>
      <c r="I163" s="182">
        <v>6.1614379084967323</v>
      </c>
      <c r="J163" s="183">
        <f t="shared" si="27"/>
        <v>0.64070058130779195</v>
      </c>
      <c r="K163" s="182">
        <v>7.102075154234436</v>
      </c>
      <c r="L163" s="183">
        <f t="shared" ref="L163:L165" si="28">IFERROR(K163-I163,"-")</f>
        <v>0.94063724573770369</v>
      </c>
      <c r="M163" s="182">
        <v>7.9187620889748551</v>
      </c>
      <c r="N163" s="183">
        <f t="shared" ref="N163" si="29">IFERROR(M163-K163,"-")</f>
        <v>0.81668693474041909</v>
      </c>
    </row>
    <row r="164" spans="2:14" x14ac:dyDescent="0.25">
      <c r="B164" s="114" t="s">
        <v>73</v>
      </c>
      <c r="C164" s="182">
        <v>5.6151019044437023</v>
      </c>
      <c r="D164" s="183">
        <v>-1.239113552230771</v>
      </c>
      <c r="E164" s="182">
        <v>3.9221902017291068</v>
      </c>
      <c r="F164" s="183">
        <f t="shared" si="27"/>
        <v>-1.6929117027145955</v>
      </c>
      <c r="G164" s="182">
        <v>4.9907069366080314</v>
      </c>
      <c r="H164" s="183">
        <f t="shared" si="27"/>
        <v>1.0685167348789246</v>
      </c>
      <c r="I164" s="182">
        <v>6.1137742718446599</v>
      </c>
      <c r="J164" s="183">
        <f t="shared" si="27"/>
        <v>1.1230673352366285</v>
      </c>
      <c r="K164" s="182">
        <v>6.2099571516017136</v>
      </c>
      <c r="L164" s="183">
        <f t="shared" si="28"/>
        <v>9.6182879757053641E-2</v>
      </c>
      <c r="M164" s="182"/>
      <c r="N164" s="183"/>
    </row>
    <row r="165" spans="2:14" x14ac:dyDescent="0.25">
      <c r="B165" s="114" t="s">
        <v>75</v>
      </c>
      <c r="C165" s="182">
        <v>7.6801007556675067</v>
      </c>
      <c r="D165" s="183">
        <v>1.8860724155865354</v>
      </c>
      <c r="E165" s="182">
        <v>4.1970519782777345</v>
      </c>
      <c r="F165" s="183">
        <f t="shared" si="27"/>
        <v>-3.4830487773897723</v>
      </c>
      <c r="G165" s="182">
        <v>5.4263868065967014</v>
      </c>
      <c r="H165" s="183">
        <f t="shared" si="27"/>
        <v>1.2293348283189669</v>
      </c>
      <c r="I165" s="182">
        <v>6.0897001303780964</v>
      </c>
      <c r="J165" s="183">
        <f t="shared" si="27"/>
        <v>0.66331332378139507</v>
      </c>
      <c r="K165" s="182">
        <v>6.2966198252943411</v>
      </c>
      <c r="L165" s="183">
        <f t="shared" si="28"/>
        <v>0.20691969491624462</v>
      </c>
      <c r="M165" s="182"/>
      <c r="N165" s="183"/>
    </row>
    <row r="166" spans="2:14" x14ac:dyDescent="0.25">
      <c r="B166" s="114" t="s">
        <v>77</v>
      </c>
      <c r="C166" s="182" t="s">
        <v>235</v>
      </c>
      <c r="D166" s="183" t="s">
        <v>235</v>
      </c>
      <c r="E166" s="182">
        <v>4.46218487394958</v>
      </c>
      <c r="F166" s="183" t="str">
        <f>IFERROR(E166-C166,"-")</f>
        <v>-</v>
      </c>
      <c r="G166" s="182">
        <v>5.6983885679537858</v>
      </c>
      <c r="H166" s="183">
        <f>IFERROR(G166-E166,"-")</f>
        <v>1.2362036940042058</v>
      </c>
      <c r="I166" s="182">
        <v>5.785571142284569</v>
      </c>
      <c r="J166" s="183">
        <f>IFERROR(I166-G166,"-")</f>
        <v>8.7182574330783247E-2</v>
      </c>
      <c r="K166" s="182">
        <v>6.4245002968533544</v>
      </c>
      <c r="L166" s="183">
        <f>IFERROR(K166-I166,"-")</f>
        <v>0.63892915456878541</v>
      </c>
      <c r="M166" s="182"/>
      <c r="N166" s="183"/>
    </row>
    <row r="167" spans="2:14" x14ac:dyDescent="0.25">
      <c r="B167" s="114" t="s">
        <v>79</v>
      </c>
      <c r="C167" s="182" t="s">
        <v>235</v>
      </c>
      <c r="D167" s="183" t="s">
        <v>235</v>
      </c>
      <c r="E167" s="182">
        <v>3.8213616489693942</v>
      </c>
      <c r="F167" s="183" t="str">
        <f t="shared" ref="F167:J175" si="30">IFERROR(E167-C167,"-")</f>
        <v>-</v>
      </c>
      <c r="G167" s="182">
        <v>5.5327833260963963</v>
      </c>
      <c r="H167" s="183">
        <f t="shared" si="30"/>
        <v>1.7114216771270021</v>
      </c>
      <c r="I167" s="182">
        <v>5.9001769911504427</v>
      </c>
      <c r="J167" s="183">
        <f t="shared" si="30"/>
        <v>0.36739366505404636</v>
      </c>
      <c r="K167" s="182">
        <v>6.2373262469337698</v>
      </c>
      <c r="L167" s="183">
        <f t="shared" ref="L167:L175" si="31">IFERROR(K167-I167,"-")</f>
        <v>0.33714925578332711</v>
      </c>
      <c r="M167" s="182"/>
      <c r="N167" s="183"/>
    </row>
    <row r="168" spans="2:14" x14ac:dyDescent="0.25">
      <c r="B168" s="114" t="s">
        <v>81</v>
      </c>
      <c r="C168" s="182" t="s">
        <v>235</v>
      </c>
      <c r="D168" s="183" t="s">
        <v>235</v>
      </c>
      <c r="E168" s="182">
        <v>5.2825719120135366</v>
      </c>
      <c r="F168" s="183" t="str">
        <f t="shared" si="30"/>
        <v>-</v>
      </c>
      <c r="G168" s="182">
        <v>6.1491277433877318</v>
      </c>
      <c r="H168" s="183">
        <f t="shared" si="30"/>
        <v>0.86655583137419523</v>
      </c>
      <c r="I168" s="182">
        <v>6.4738689547581902</v>
      </c>
      <c r="J168" s="183">
        <f t="shared" si="30"/>
        <v>0.32474121137045842</v>
      </c>
      <c r="K168" s="182">
        <v>5.9973009446693659</v>
      </c>
      <c r="L168" s="183">
        <f t="shared" si="31"/>
        <v>-0.47656801008882432</v>
      </c>
      <c r="M168" s="182"/>
      <c r="N168" s="183"/>
    </row>
    <row r="169" spans="2:14" x14ac:dyDescent="0.25">
      <c r="B169" s="114" t="s">
        <v>83</v>
      </c>
      <c r="C169" s="182" t="s">
        <v>235</v>
      </c>
      <c r="D169" s="183" t="s">
        <v>235</v>
      </c>
      <c r="E169" s="182">
        <v>5.7448173741362289</v>
      </c>
      <c r="F169" s="183" t="str">
        <f t="shared" si="30"/>
        <v>-</v>
      </c>
      <c r="G169" s="182">
        <v>6.5994865211810012</v>
      </c>
      <c r="H169" s="183">
        <f t="shared" si="30"/>
        <v>0.85466914704477226</v>
      </c>
      <c r="I169" s="182">
        <v>6.8715683180814136</v>
      </c>
      <c r="J169" s="183">
        <f t="shared" si="30"/>
        <v>0.27208179690041234</v>
      </c>
      <c r="K169" s="182">
        <v>7.223830734966592</v>
      </c>
      <c r="L169" s="183">
        <f t="shared" si="31"/>
        <v>0.35226241688517845</v>
      </c>
      <c r="M169" s="182"/>
      <c r="N169" s="183"/>
    </row>
    <row r="170" spans="2:14" x14ac:dyDescent="0.25">
      <c r="B170" s="114" t="s">
        <v>85</v>
      </c>
      <c r="C170" s="182">
        <v>6.9232053422370621</v>
      </c>
      <c r="D170" s="183">
        <v>-1.3338719339679885</v>
      </c>
      <c r="E170" s="182">
        <v>6.6801270417422867</v>
      </c>
      <c r="F170" s="183">
        <f t="shared" si="30"/>
        <v>-0.24307830049477541</v>
      </c>
      <c r="G170" s="182">
        <v>7.5064017660044149</v>
      </c>
      <c r="H170" s="183">
        <f t="shared" si="30"/>
        <v>0.82627472426212822</v>
      </c>
      <c r="I170" s="182">
        <v>8.2840572556762098</v>
      </c>
      <c r="J170" s="183">
        <f t="shared" si="30"/>
        <v>0.77765548967179488</v>
      </c>
      <c r="K170" s="182">
        <v>7.8188919164396005</v>
      </c>
      <c r="L170" s="183">
        <f t="shared" si="31"/>
        <v>-0.4651653392366093</v>
      </c>
      <c r="M170" s="182"/>
      <c r="N170" s="183"/>
    </row>
    <row r="171" spans="2:14" x14ac:dyDescent="0.25">
      <c r="B171" s="114" t="s">
        <v>87</v>
      </c>
      <c r="C171" s="182">
        <v>6.2905982905982905</v>
      </c>
      <c r="D171" s="183">
        <v>-1.3266691771364671</v>
      </c>
      <c r="E171" s="182">
        <v>5.9712918660287082</v>
      </c>
      <c r="F171" s="183">
        <f t="shared" si="30"/>
        <v>-0.31930642456958225</v>
      </c>
      <c r="G171" s="182">
        <v>6.4706119162640903</v>
      </c>
      <c r="H171" s="183">
        <f t="shared" si="30"/>
        <v>0.49932005023538206</v>
      </c>
      <c r="I171" s="182">
        <v>6.6430817610062896</v>
      </c>
      <c r="J171" s="183">
        <f t="shared" si="30"/>
        <v>0.17246984474219929</v>
      </c>
      <c r="K171" s="182">
        <v>7.2306136210384357</v>
      </c>
      <c r="L171" s="183">
        <f t="shared" si="31"/>
        <v>0.58753186003214619</v>
      </c>
      <c r="M171" s="182"/>
      <c r="N171" s="183"/>
    </row>
    <row r="172" spans="2:14" x14ac:dyDescent="0.25">
      <c r="B172" s="114" t="s">
        <v>89</v>
      </c>
      <c r="C172" s="182">
        <v>4.7901376146788994</v>
      </c>
      <c r="D172" s="183">
        <v>-1.2155506674598948</v>
      </c>
      <c r="E172" s="182">
        <v>5.052470187393526</v>
      </c>
      <c r="F172" s="183">
        <f t="shared" si="30"/>
        <v>0.26233257271462662</v>
      </c>
      <c r="G172" s="182">
        <v>5.5164873307879212</v>
      </c>
      <c r="H172" s="183">
        <f t="shared" si="30"/>
        <v>0.46401714339439515</v>
      </c>
      <c r="I172" s="182">
        <v>6.0223759153783565</v>
      </c>
      <c r="J172" s="183">
        <f t="shared" si="30"/>
        <v>0.50588858459043529</v>
      </c>
      <c r="K172" s="182">
        <v>6.217721518987342</v>
      </c>
      <c r="L172" s="183">
        <f t="shared" si="31"/>
        <v>0.19534560360898556</v>
      </c>
      <c r="M172" s="182"/>
      <c r="N172" s="183"/>
    </row>
    <row r="173" spans="2:14" x14ac:dyDescent="0.25">
      <c r="B173" s="114" t="s">
        <v>91</v>
      </c>
      <c r="C173" s="182">
        <v>7.1162790697674421</v>
      </c>
      <c r="D173" s="183">
        <v>1.8141811676695401</v>
      </c>
      <c r="E173" s="182">
        <v>5.5709446744448625</v>
      </c>
      <c r="F173" s="183">
        <f t="shared" si="30"/>
        <v>-1.5453343953225795</v>
      </c>
      <c r="G173" s="182">
        <v>5.9016909162406606</v>
      </c>
      <c r="H173" s="183">
        <f t="shared" si="30"/>
        <v>0.33074624179579803</v>
      </c>
      <c r="I173" s="182">
        <v>6.6880329314907376</v>
      </c>
      <c r="J173" s="183">
        <f t="shared" si="30"/>
        <v>0.78634201525007708</v>
      </c>
      <c r="K173" s="182">
        <v>6.2833206397562833</v>
      </c>
      <c r="L173" s="183">
        <f t="shared" si="31"/>
        <v>-0.40471229173445433</v>
      </c>
      <c r="M173" s="182"/>
      <c r="N173" s="183"/>
    </row>
    <row r="174" spans="2:14" x14ac:dyDescent="0.25">
      <c r="B174" s="114" t="s">
        <v>93</v>
      </c>
      <c r="C174" s="182">
        <v>4.2004132231404956</v>
      </c>
      <c r="D174" s="183">
        <v>-1.9249445330129102</v>
      </c>
      <c r="E174" s="182">
        <v>5.4954610606784522</v>
      </c>
      <c r="F174" s="183">
        <f t="shared" si="30"/>
        <v>1.2950478375379566</v>
      </c>
      <c r="G174" s="182">
        <v>5.3227191413237929</v>
      </c>
      <c r="H174" s="183">
        <f t="shared" si="30"/>
        <v>-0.17274191935465932</v>
      </c>
      <c r="I174" s="182">
        <v>6.5164683088845834</v>
      </c>
      <c r="J174" s="183">
        <f t="shared" si="30"/>
        <v>1.1937491675607905</v>
      </c>
      <c r="K174" s="182">
        <v>6.611312921639855</v>
      </c>
      <c r="L174" s="183">
        <f t="shared" si="31"/>
        <v>9.4844612755271562E-2</v>
      </c>
      <c r="M174" s="182"/>
      <c r="N174" s="183"/>
    </row>
    <row r="175" spans="2:14" ht="15.75" x14ac:dyDescent="0.25">
      <c r="B175" s="117" t="s">
        <v>30</v>
      </c>
      <c r="C175" s="184">
        <v>5.9098479362780596</v>
      </c>
      <c r="D175" s="185">
        <v>-0.9145321478182975</v>
      </c>
      <c r="E175" s="184">
        <v>5.311838209464546</v>
      </c>
      <c r="F175" s="185">
        <f t="shared" si="30"/>
        <v>-0.59800972681351361</v>
      </c>
      <c r="G175" s="184">
        <v>5.8327914688861435</v>
      </c>
      <c r="H175" s="185">
        <f t="shared" si="30"/>
        <v>0.52095325942159754</v>
      </c>
      <c r="I175" s="184">
        <v>6.4719669009614709</v>
      </c>
      <c r="J175" s="185">
        <f t="shared" si="30"/>
        <v>0.63917543207532734</v>
      </c>
      <c r="K175" s="184">
        <v>6.6328355632283129</v>
      </c>
      <c r="L175" s="185">
        <f t="shared" si="31"/>
        <v>0.16086866226684204</v>
      </c>
      <c r="M175" s="184">
        <v>7.9187620889748551</v>
      </c>
      <c r="N175" s="185">
        <v>0.81668693474041909</v>
      </c>
    </row>
    <row r="176" spans="2:14" ht="6" customHeight="1" x14ac:dyDescent="0.25"/>
    <row r="177" spans="1:15" x14ac:dyDescent="0.25">
      <c r="B177" s="105" t="s">
        <v>55</v>
      </c>
      <c r="C177" s="105"/>
      <c r="D177" s="105"/>
      <c r="E177" s="105"/>
      <c r="F177" s="105"/>
      <c r="G177" s="105"/>
      <c r="H177" s="105"/>
      <c r="I177" s="105"/>
      <c r="J177" s="105"/>
      <c r="K177" s="124"/>
      <c r="L177" s="105"/>
      <c r="M177" s="105"/>
      <c r="N177" s="105"/>
    </row>
    <row r="180" spans="1:15" ht="48.75" customHeight="1" thickBot="1" x14ac:dyDescent="0.3">
      <c r="B180" s="265" t="s">
        <v>294</v>
      </c>
      <c r="C180" s="265"/>
      <c r="D180" s="265"/>
      <c r="E180" s="265"/>
      <c r="F180" s="265"/>
      <c r="G180" s="265"/>
      <c r="H180" s="265"/>
      <c r="I180" s="265"/>
      <c r="J180" s="265"/>
      <c r="K180" s="265"/>
      <c r="L180" s="265"/>
      <c r="M180" s="265"/>
      <c r="N180" s="265"/>
      <c r="O180" s="1" t="s">
        <v>117</v>
      </c>
    </row>
    <row r="181" spans="1:15" ht="10.5" customHeight="1" thickBot="1" x14ac:dyDescent="0.3">
      <c r="B181" s="106"/>
      <c r="C181" s="107"/>
      <c r="D181" s="106"/>
      <c r="E181" s="106"/>
      <c r="F181" s="106"/>
      <c r="G181" s="106"/>
      <c r="H181" s="106"/>
      <c r="I181" s="106"/>
      <c r="J181" s="106"/>
      <c r="K181" s="106"/>
      <c r="L181" s="106"/>
      <c r="M181" s="4"/>
      <c r="N181" s="4"/>
      <c r="O181" s="1" t="s">
        <v>118</v>
      </c>
    </row>
    <row r="182" spans="1:15" ht="22.5" thickTop="1" thickBot="1" x14ac:dyDescent="0.3">
      <c r="B182" s="121" t="str">
        <f>C182</f>
        <v>Bélgica</v>
      </c>
      <c r="C182" s="290" t="s">
        <v>119</v>
      </c>
      <c r="D182" s="291"/>
      <c r="E182" s="291"/>
      <c r="F182" s="291"/>
      <c r="G182" s="291"/>
      <c r="H182" s="291"/>
      <c r="I182" s="291"/>
      <c r="J182" s="291"/>
      <c r="K182" s="291"/>
      <c r="L182" s="291"/>
      <c r="M182" s="291"/>
      <c r="N182" s="291"/>
    </row>
    <row r="183" spans="1:15" ht="22.5" thickTop="1" thickBot="1" x14ac:dyDescent="0.3">
      <c r="B183" s="109"/>
      <c r="C183" s="292">
        <v>2020</v>
      </c>
      <c r="D183" s="293"/>
      <c r="E183" s="294">
        <v>2021</v>
      </c>
      <c r="F183" s="293"/>
      <c r="G183" s="294">
        <v>2022</v>
      </c>
      <c r="H183" s="293"/>
      <c r="I183" s="294">
        <v>2023</v>
      </c>
      <c r="J183" s="293"/>
      <c r="K183" s="294">
        <v>2024</v>
      </c>
      <c r="L183" s="293"/>
      <c r="M183" s="294">
        <v>2025</v>
      </c>
      <c r="N183" s="295"/>
    </row>
    <row r="184" spans="1:15" ht="16.5" thickTop="1" thickBot="1" x14ac:dyDescent="0.3">
      <c r="B184" s="85"/>
      <c r="C184" s="111" t="s">
        <v>69</v>
      </c>
      <c r="D184" s="112" t="str">
        <f>CONCATENATE("dif ",RIGHT(C183,2),"/",RIGHT(C183-1,2))</f>
        <v>dif 20/19</v>
      </c>
      <c r="E184" s="113" t="s">
        <v>69</v>
      </c>
      <c r="F184" s="112" t="str">
        <f>CONCATENATE("dif ",RIGHT(E183,2),"/",RIGHT(C183,2))</f>
        <v>dif 21/20</v>
      </c>
      <c r="G184" s="113" t="s">
        <v>69</v>
      </c>
      <c r="H184" s="112" t="str">
        <f>CONCATENATE("dif ",RIGHT(G183,2),"/",RIGHT(E183,2))</f>
        <v>dif 22/21</v>
      </c>
      <c r="I184" s="113" t="s">
        <v>69</v>
      </c>
      <c r="J184" s="112" t="str">
        <f>CONCATENATE("dif ",RIGHT(I183,2),"/",RIGHT(G183,2))</f>
        <v>dif 23/22</v>
      </c>
      <c r="K184" s="113" t="s">
        <v>69</v>
      </c>
      <c r="L184" s="112" t="str">
        <f>CONCATENATE("dif ",RIGHT(K183,2),"/",RIGHT(I183,2))</f>
        <v>dif 24/23</v>
      </c>
      <c r="M184" s="113" t="s">
        <v>69</v>
      </c>
      <c r="N184" s="112" t="str">
        <f>CONCATENATE("dif ",RIGHT(M183,2),"/",RIGHT(K183,2))</f>
        <v>dif 25/24</v>
      </c>
    </row>
    <row r="185" spans="1:15" x14ac:dyDescent="0.25">
      <c r="A185" s="120"/>
      <c r="B185" s="114" t="s">
        <v>71</v>
      </c>
      <c r="C185" s="182">
        <v>6.6836027713625867</v>
      </c>
      <c r="D185" s="183">
        <v>-0.47544968210611049</v>
      </c>
      <c r="E185" s="182">
        <v>3.0506329113924049</v>
      </c>
      <c r="F185" s="183">
        <f t="shared" ref="F185:J187" si="32">IFERROR(E185-C185,"-")</f>
        <v>-3.6329698599701818</v>
      </c>
      <c r="G185" s="182">
        <v>5.4547069271758435</v>
      </c>
      <c r="H185" s="183">
        <f t="shared" si="32"/>
        <v>2.4040740157834386</v>
      </c>
      <c r="I185" s="182">
        <v>6.2166377816291165</v>
      </c>
      <c r="J185" s="183">
        <f t="shared" si="32"/>
        <v>0.76193085445327302</v>
      </c>
      <c r="K185" s="182">
        <v>6.5090579710144931</v>
      </c>
      <c r="L185" s="183">
        <f t="shared" ref="L185:L187" si="33">IFERROR(K185-I185,"-")</f>
        <v>0.29242018938537662</v>
      </c>
      <c r="M185" s="182">
        <v>6.3674242424242422</v>
      </c>
      <c r="N185" s="183">
        <f t="shared" ref="N185" si="34">IFERROR(M185-K185,"-")</f>
        <v>-0.14163372859025092</v>
      </c>
    </row>
    <row r="186" spans="1:15" x14ac:dyDescent="0.25">
      <c r="B186" s="114" t="s">
        <v>73</v>
      </c>
      <c r="C186" s="182">
        <v>6.6892230576441101</v>
      </c>
      <c r="D186" s="183">
        <v>-1.442497372463416</v>
      </c>
      <c r="E186" s="182">
        <v>4.5471698113207548</v>
      </c>
      <c r="F186" s="183">
        <f t="shared" si="32"/>
        <v>-2.1420532463233553</v>
      </c>
      <c r="G186" s="182">
        <v>5.1804635761589406</v>
      </c>
      <c r="H186" s="183">
        <f t="shared" si="32"/>
        <v>0.63329376483818578</v>
      </c>
      <c r="I186" s="182">
        <v>5.8491379310344831</v>
      </c>
      <c r="J186" s="183">
        <f t="shared" si="32"/>
        <v>0.6686743548755425</v>
      </c>
      <c r="K186" s="182">
        <v>6.1761102603369062</v>
      </c>
      <c r="L186" s="183">
        <f t="shared" si="33"/>
        <v>0.32697232930242315</v>
      </c>
      <c r="M186" s="182"/>
      <c r="N186" s="183"/>
    </row>
    <row r="187" spans="1:15" x14ac:dyDescent="0.25">
      <c r="B187" s="114" t="s">
        <v>75</v>
      </c>
      <c r="C187" s="182">
        <v>8.0549019607843135</v>
      </c>
      <c r="D187" s="183">
        <v>0.46134059257505822</v>
      </c>
      <c r="E187" s="182">
        <v>4.4814814814814818</v>
      </c>
      <c r="F187" s="183">
        <f t="shared" si="32"/>
        <v>-3.5734204793028317</v>
      </c>
      <c r="G187" s="182">
        <v>5.3488843813387428</v>
      </c>
      <c r="H187" s="183">
        <f t="shared" si="32"/>
        <v>0.86740289985726093</v>
      </c>
      <c r="I187" s="182">
        <v>6.2137404580152671</v>
      </c>
      <c r="J187" s="183">
        <f t="shared" si="32"/>
        <v>0.86485607667652431</v>
      </c>
      <c r="K187" s="182">
        <v>6.0576923076923075</v>
      </c>
      <c r="L187" s="183">
        <f t="shared" si="33"/>
        <v>-0.1560481503229596</v>
      </c>
      <c r="M187" s="182"/>
      <c r="N187" s="183"/>
    </row>
    <row r="188" spans="1:15" x14ac:dyDescent="0.25">
      <c r="B188" s="114" t="s">
        <v>77</v>
      </c>
      <c r="C188" s="182" t="s">
        <v>235</v>
      </c>
      <c r="D188" s="183" t="s">
        <v>235</v>
      </c>
      <c r="E188" s="182">
        <v>4.3181818181818183</v>
      </c>
      <c r="F188" s="183" t="str">
        <f>IFERROR(E188-C188,"-")</f>
        <v>-</v>
      </c>
      <c r="G188" s="182">
        <v>5.7170172084130018</v>
      </c>
      <c r="H188" s="183">
        <f>IFERROR(G188-E188,"-")</f>
        <v>1.3988353902311834</v>
      </c>
      <c r="I188" s="182">
        <v>6.225609756097561</v>
      </c>
      <c r="J188" s="183">
        <f>IFERROR(I188-G188,"-")</f>
        <v>0.50859254768455919</v>
      </c>
      <c r="K188" s="182">
        <v>7.2930693069306933</v>
      </c>
      <c r="L188" s="183">
        <f>IFERROR(K188-I188,"-")</f>
        <v>1.0674595508331324</v>
      </c>
      <c r="M188" s="182"/>
      <c r="N188" s="183"/>
    </row>
    <row r="189" spans="1:15" x14ac:dyDescent="0.25">
      <c r="B189" s="114" t="s">
        <v>79</v>
      </c>
      <c r="C189" s="182" t="s">
        <v>235</v>
      </c>
      <c r="D189" s="183" t="s">
        <v>235</v>
      </c>
      <c r="E189" s="182">
        <v>3.703846153846154</v>
      </c>
      <c r="F189" s="183" t="str">
        <f t="shared" ref="F189:J197" si="35">IFERROR(E189-C189,"-")</f>
        <v>-</v>
      </c>
      <c r="G189" s="182">
        <v>5.3867924528301883</v>
      </c>
      <c r="H189" s="183">
        <f t="shared" si="35"/>
        <v>1.6829462989840343</v>
      </c>
      <c r="I189" s="182">
        <v>6.3229461756373935</v>
      </c>
      <c r="J189" s="183">
        <f t="shared" si="35"/>
        <v>0.93615372280720521</v>
      </c>
      <c r="K189" s="182">
        <v>6.0445544554455441</v>
      </c>
      <c r="L189" s="183">
        <f t="shared" ref="L189:L197" si="36">IFERROR(K189-I189,"-")</f>
        <v>-0.27839172019184932</v>
      </c>
      <c r="M189" s="182"/>
      <c r="N189" s="183"/>
    </row>
    <row r="190" spans="1:15" x14ac:dyDescent="0.25">
      <c r="B190" s="114" t="s">
        <v>120</v>
      </c>
      <c r="C190" s="182" t="s">
        <v>235</v>
      </c>
      <c r="D190" s="183" t="s">
        <v>235</v>
      </c>
      <c r="E190" s="182">
        <v>6.5076923076923077</v>
      </c>
      <c r="F190" s="183" t="str">
        <f t="shared" si="35"/>
        <v>-</v>
      </c>
      <c r="G190" s="182">
        <v>5.4486215538847116</v>
      </c>
      <c r="H190" s="183">
        <f t="shared" si="35"/>
        <v>-1.0590707538075961</v>
      </c>
      <c r="I190" s="182">
        <v>7.3047858942065496</v>
      </c>
      <c r="J190" s="183">
        <f t="shared" si="35"/>
        <v>1.856164340321838</v>
      </c>
      <c r="K190" s="182">
        <v>6.8105413105413106</v>
      </c>
      <c r="L190" s="183">
        <f t="shared" si="36"/>
        <v>-0.49424458366523893</v>
      </c>
      <c r="M190" s="182"/>
      <c r="N190" s="183"/>
    </row>
    <row r="191" spans="1:15" x14ac:dyDescent="0.25">
      <c r="B191" s="114" t="s">
        <v>83</v>
      </c>
      <c r="C191" s="182" t="s">
        <v>235</v>
      </c>
      <c r="D191" s="183" t="s">
        <v>235</v>
      </c>
      <c r="E191" s="182">
        <v>5.8668341708542711</v>
      </c>
      <c r="F191" s="183" t="str">
        <f t="shared" si="35"/>
        <v>-</v>
      </c>
      <c r="G191" s="182">
        <v>6.2380952380952381</v>
      </c>
      <c r="H191" s="183">
        <f t="shared" si="35"/>
        <v>0.37126106724096708</v>
      </c>
      <c r="I191" s="182">
        <v>6.6871088861076347</v>
      </c>
      <c r="J191" s="183">
        <f t="shared" si="35"/>
        <v>0.44901364801239652</v>
      </c>
      <c r="K191" s="182">
        <v>7.3509060955518946</v>
      </c>
      <c r="L191" s="183">
        <f t="shared" si="36"/>
        <v>0.66379720944425991</v>
      </c>
      <c r="M191" s="182"/>
      <c r="N191" s="183"/>
    </row>
    <row r="192" spans="1:15" x14ac:dyDescent="0.25">
      <c r="B192" s="114" t="s">
        <v>85</v>
      </c>
      <c r="C192" s="182">
        <v>5.3166666666666664</v>
      </c>
      <c r="D192" s="183">
        <v>-3.4559236947791163</v>
      </c>
      <c r="E192" s="182">
        <v>11.090909090909092</v>
      </c>
      <c r="F192" s="183">
        <f t="shared" si="35"/>
        <v>5.7742424242424253</v>
      </c>
      <c r="G192" s="182">
        <v>7</v>
      </c>
      <c r="H192" s="183">
        <f t="shared" si="35"/>
        <v>-4.0909090909090917</v>
      </c>
      <c r="I192" s="182">
        <v>7.7</v>
      </c>
      <c r="J192" s="183">
        <f t="shared" si="35"/>
        <v>0.70000000000000018</v>
      </c>
      <c r="K192" s="182">
        <v>7.4824120603015079</v>
      </c>
      <c r="L192" s="183">
        <f t="shared" si="36"/>
        <v>-0.21758793969849233</v>
      </c>
      <c r="M192" s="182"/>
      <c r="N192" s="183"/>
    </row>
    <row r="193" spans="2:15" x14ac:dyDescent="0.25">
      <c r="B193" s="114" t="s">
        <v>87</v>
      </c>
      <c r="C193" s="182">
        <v>7.760089686098655</v>
      </c>
      <c r="D193" s="183">
        <v>-0.15998466334372452</v>
      </c>
      <c r="E193" s="182">
        <v>6.9529120198265177</v>
      </c>
      <c r="F193" s="183">
        <f t="shared" si="35"/>
        <v>-0.80717766627213727</v>
      </c>
      <c r="G193" s="182">
        <v>6.4234800838574424</v>
      </c>
      <c r="H193" s="183">
        <f t="shared" si="35"/>
        <v>-0.52943193596907534</v>
      </c>
      <c r="I193" s="182">
        <v>7.0376506024096388</v>
      </c>
      <c r="J193" s="183">
        <f t="shared" si="35"/>
        <v>0.6141705185521964</v>
      </c>
      <c r="K193" s="182">
        <v>6.6914634146341463</v>
      </c>
      <c r="L193" s="183">
        <f t="shared" si="36"/>
        <v>-0.34618718777549251</v>
      </c>
      <c r="M193" s="182"/>
      <c r="N193" s="183"/>
    </row>
    <row r="194" spans="2:15" x14ac:dyDescent="0.25">
      <c r="B194" s="114" t="s">
        <v>89</v>
      </c>
      <c r="C194" s="182">
        <v>10.689922480620154</v>
      </c>
      <c r="D194" s="183">
        <v>2.7205347255181138</v>
      </c>
      <c r="E194" s="182">
        <v>5.4377593360995853</v>
      </c>
      <c r="F194" s="183">
        <f t="shared" si="35"/>
        <v>-5.2521631445205692</v>
      </c>
      <c r="G194" s="182">
        <v>5.0327102803738315</v>
      </c>
      <c r="H194" s="183">
        <f t="shared" si="35"/>
        <v>-0.40504905572575378</v>
      </c>
      <c r="I194" s="182">
        <v>5.7731811697574891</v>
      </c>
      <c r="J194" s="183">
        <f t="shared" si="35"/>
        <v>0.74047088938365757</v>
      </c>
      <c r="K194" s="182">
        <v>6.5517241379310347</v>
      </c>
      <c r="L194" s="183">
        <f t="shared" si="36"/>
        <v>0.77854296817354562</v>
      </c>
      <c r="M194" s="182"/>
      <c r="N194" s="183"/>
    </row>
    <row r="195" spans="2:15" x14ac:dyDescent="0.25">
      <c r="B195" s="114" t="s">
        <v>91</v>
      </c>
      <c r="C195" s="182">
        <v>17.657894736842106</v>
      </c>
      <c r="D195" s="183">
        <v>11.377980206927576</v>
      </c>
      <c r="E195" s="182">
        <v>5.9419862340216323</v>
      </c>
      <c r="F195" s="183">
        <f t="shared" si="35"/>
        <v>-11.715908502820474</v>
      </c>
      <c r="G195" s="182">
        <v>6.1750972762645917</v>
      </c>
      <c r="H195" s="183">
        <f t="shared" si="35"/>
        <v>0.23311104224295942</v>
      </c>
      <c r="I195" s="182">
        <v>6.7342419080068145</v>
      </c>
      <c r="J195" s="183">
        <f t="shared" si="35"/>
        <v>0.55914463174222284</v>
      </c>
      <c r="K195" s="182">
        <v>6.0607734806629834</v>
      </c>
      <c r="L195" s="183">
        <f t="shared" si="36"/>
        <v>-0.67346842734383117</v>
      </c>
      <c r="M195" s="182"/>
      <c r="N195" s="183"/>
    </row>
    <row r="196" spans="2:15" x14ac:dyDescent="0.25">
      <c r="B196" s="114" t="s">
        <v>93</v>
      </c>
      <c r="C196" s="182">
        <v>3.3366336633663365</v>
      </c>
      <c r="D196" s="183">
        <v>-3.5859015479012695</v>
      </c>
      <c r="E196" s="182">
        <v>5.6928675400291118</v>
      </c>
      <c r="F196" s="183">
        <f t="shared" si="35"/>
        <v>2.3562338766627753</v>
      </c>
      <c r="G196" s="182">
        <v>5.7333333333333334</v>
      </c>
      <c r="H196" s="183">
        <f t="shared" si="35"/>
        <v>4.046579330422162E-2</v>
      </c>
      <c r="I196" s="182">
        <v>5.8972267536704734</v>
      </c>
      <c r="J196" s="183">
        <f t="shared" si="35"/>
        <v>0.16389342033714005</v>
      </c>
      <c r="K196" s="182">
        <v>5.8216867469879521</v>
      </c>
      <c r="L196" s="183">
        <f t="shared" si="36"/>
        <v>-7.5540006682521366E-2</v>
      </c>
      <c r="M196" s="182"/>
      <c r="N196" s="183"/>
    </row>
    <row r="197" spans="2:15" ht="15.75" x14ac:dyDescent="0.25">
      <c r="B197" s="117" t="s">
        <v>30</v>
      </c>
      <c r="C197" s="184">
        <v>7.1863592699327565</v>
      </c>
      <c r="D197" s="185">
        <v>-0.30539941145626592</v>
      </c>
      <c r="E197" s="184">
        <v>6.4026148817535091</v>
      </c>
      <c r="F197" s="185">
        <f t="shared" si="35"/>
        <v>-0.78374438817924741</v>
      </c>
      <c r="G197" s="184">
        <v>5.7455722070844688</v>
      </c>
      <c r="H197" s="185">
        <f t="shared" si="35"/>
        <v>-0.65704267466904032</v>
      </c>
      <c r="I197" s="184">
        <v>6.5394661308840414</v>
      </c>
      <c r="J197" s="185">
        <f t="shared" si="35"/>
        <v>0.79389392379957258</v>
      </c>
      <c r="K197" s="184">
        <v>6.6119604316546763</v>
      </c>
      <c r="L197" s="185">
        <f t="shared" si="36"/>
        <v>7.2494300770634901E-2</v>
      </c>
      <c r="M197" s="184">
        <v>6.3674242424242422</v>
      </c>
      <c r="N197" s="185">
        <v>-0.14163372859025092</v>
      </c>
    </row>
    <row r="198" spans="2:15" ht="6" customHeight="1" x14ac:dyDescent="0.25"/>
    <row r="199" spans="2:15" x14ac:dyDescent="0.25">
      <c r="B199" s="105" t="s">
        <v>55</v>
      </c>
      <c r="C199" s="105"/>
      <c r="D199" s="105"/>
      <c r="E199" s="105"/>
      <c r="F199" s="105"/>
      <c r="G199" s="105"/>
      <c r="H199" s="105"/>
      <c r="I199" s="105"/>
      <c r="J199" s="105"/>
      <c r="K199" s="105"/>
      <c r="L199" s="105"/>
      <c r="M199" s="105"/>
      <c r="N199" s="105"/>
    </row>
    <row r="200" spans="2:15" x14ac:dyDescent="0.25">
      <c r="K200" s="120"/>
    </row>
    <row r="201" spans="2:15" x14ac:dyDescent="0.25">
      <c r="C201" s="79"/>
      <c r="D201" s="79"/>
      <c r="E201" s="79"/>
      <c r="F201" s="79"/>
      <c r="G201" s="79"/>
      <c r="H201" s="79"/>
      <c r="I201" s="79"/>
      <c r="J201" s="79"/>
      <c r="K201" s="79"/>
      <c r="L201" s="79"/>
      <c r="M201" s="79"/>
      <c r="N201" s="79"/>
    </row>
    <row r="202" spans="2:15" ht="48.75" customHeight="1" thickBot="1" x14ac:dyDescent="0.3">
      <c r="B202" s="265" t="s">
        <v>295</v>
      </c>
      <c r="C202" s="265"/>
      <c r="D202" s="265"/>
      <c r="E202" s="265"/>
      <c r="F202" s="265"/>
      <c r="G202" s="265"/>
      <c r="H202" s="265"/>
      <c r="I202" s="265"/>
      <c r="J202" s="265"/>
      <c r="K202" s="265"/>
      <c r="L202" s="265"/>
      <c r="M202" s="265"/>
      <c r="N202" s="265"/>
      <c r="O202" s="1" t="s">
        <v>121</v>
      </c>
    </row>
    <row r="203" spans="2:15" ht="10.5" customHeight="1" thickBot="1" x14ac:dyDescent="0.3">
      <c r="B203" s="106"/>
      <c r="C203" s="107"/>
      <c r="D203" s="106"/>
      <c r="E203" s="106"/>
      <c r="F203" s="106"/>
      <c r="G203" s="106"/>
      <c r="H203" s="106"/>
      <c r="I203" s="106"/>
      <c r="J203" s="106"/>
      <c r="K203" s="106"/>
      <c r="L203" s="106"/>
      <c r="M203" s="4"/>
      <c r="N203" s="4"/>
      <c r="O203" s="1" t="s">
        <v>122</v>
      </c>
    </row>
    <row r="204" spans="2:15" ht="22.5" thickTop="1" thickBot="1" x14ac:dyDescent="0.3">
      <c r="B204" s="121" t="str">
        <f>C204</f>
        <v>Países Bajos</v>
      </c>
      <c r="C204" s="290" t="s">
        <v>123</v>
      </c>
      <c r="D204" s="291"/>
      <c r="E204" s="291"/>
      <c r="F204" s="291"/>
      <c r="G204" s="291"/>
      <c r="H204" s="291"/>
      <c r="I204" s="291"/>
      <c r="J204" s="291"/>
      <c r="K204" s="291"/>
      <c r="L204" s="291"/>
      <c r="M204" s="291"/>
      <c r="N204" s="291"/>
    </row>
    <row r="205" spans="2:15" ht="22.5" thickTop="1" thickBot="1" x14ac:dyDescent="0.3">
      <c r="B205" s="109"/>
      <c r="C205" s="292">
        <v>2020</v>
      </c>
      <c r="D205" s="293"/>
      <c r="E205" s="294">
        <v>2021</v>
      </c>
      <c r="F205" s="293"/>
      <c r="G205" s="294">
        <v>2022</v>
      </c>
      <c r="H205" s="293"/>
      <c r="I205" s="294">
        <v>2023</v>
      </c>
      <c r="J205" s="293"/>
      <c r="K205" s="294">
        <v>2024</v>
      </c>
      <c r="L205" s="293"/>
      <c r="M205" s="294">
        <v>2025</v>
      </c>
      <c r="N205" s="295"/>
    </row>
    <row r="206" spans="2:15" ht="16.5" thickTop="1" thickBot="1" x14ac:dyDescent="0.3">
      <c r="B206" s="85"/>
      <c r="C206" s="111" t="s">
        <v>69</v>
      </c>
      <c r="D206" s="112" t="str">
        <f>CONCATENATE("dif ",RIGHT(C205,2),"/",RIGHT(C205-1,2))</f>
        <v>dif 20/19</v>
      </c>
      <c r="E206" s="113" t="s">
        <v>69</v>
      </c>
      <c r="F206" s="112" t="str">
        <f>CONCATENATE("dif ",RIGHT(E205,2),"/",RIGHT(C205,2))</f>
        <v>dif 21/20</v>
      </c>
      <c r="G206" s="113" t="s">
        <v>69</v>
      </c>
      <c r="H206" s="112" t="str">
        <f>CONCATENATE("dif ",RIGHT(G205,2),"/",RIGHT(E205,2))</f>
        <v>dif 22/21</v>
      </c>
      <c r="I206" s="113" t="s">
        <v>69</v>
      </c>
      <c r="J206" s="112" t="str">
        <f>CONCATENATE("dif ",RIGHT(I205,2),"/",RIGHT(G205,2))</f>
        <v>dif 23/22</v>
      </c>
      <c r="K206" s="113" t="s">
        <v>69</v>
      </c>
      <c r="L206" s="112" t="str">
        <f>CONCATENATE("dif ",RIGHT(K205,2),"/",RIGHT(I205,2))</f>
        <v>dif 24/23</v>
      </c>
      <c r="M206" s="113" t="s">
        <v>69</v>
      </c>
      <c r="N206" s="112" t="str">
        <f>CONCATENATE("dif ",RIGHT(M205,2),"/",RIGHT(K205,2))</f>
        <v>dif 25/24</v>
      </c>
    </row>
    <row r="207" spans="2:15" x14ac:dyDescent="0.25">
      <c r="B207" s="114" t="s">
        <v>71</v>
      </c>
      <c r="C207" s="182">
        <v>8.1841620626151013</v>
      </c>
      <c r="D207" s="183">
        <v>0.95681951269190613</v>
      </c>
      <c r="E207" s="182">
        <v>9.1199999999999992</v>
      </c>
      <c r="F207" s="183">
        <f t="shared" ref="F207:J209" si="37">IFERROR(E207-C207,"-")</f>
        <v>0.93583793738489796</v>
      </c>
      <c r="G207" s="182">
        <v>6.1940594059405942</v>
      </c>
      <c r="H207" s="183">
        <f t="shared" si="37"/>
        <v>-2.925940594059405</v>
      </c>
      <c r="I207" s="182">
        <v>7.4954441913439638</v>
      </c>
      <c r="J207" s="183">
        <f t="shared" si="37"/>
        <v>1.3013847854033695</v>
      </c>
      <c r="K207" s="182">
        <v>6.8130841121495331</v>
      </c>
      <c r="L207" s="183">
        <f t="shared" ref="L207:L209" si="38">IFERROR(K207-I207,"-")</f>
        <v>-0.68236007919443065</v>
      </c>
      <c r="M207" s="182">
        <v>7.738790035587189</v>
      </c>
      <c r="N207" s="183">
        <f t="shared" ref="N207" si="39">IFERROR(M207-K207,"-")</f>
        <v>0.9257059234376559</v>
      </c>
    </row>
    <row r="208" spans="2:15" x14ac:dyDescent="0.25">
      <c r="B208" s="114" t="s">
        <v>73</v>
      </c>
      <c r="C208" s="182">
        <v>5.9428571428571431</v>
      </c>
      <c r="D208" s="183">
        <v>-1.797177519187918</v>
      </c>
      <c r="E208" s="182">
        <v>5.0677966101694913</v>
      </c>
      <c r="F208" s="183">
        <f t="shared" si="37"/>
        <v>-0.87506053268765172</v>
      </c>
      <c r="G208" s="182">
        <v>6.1375661375661377</v>
      </c>
      <c r="H208" s="183">
        <f t="shared" si="37"/>
        <v>1.0697695273966463</v>
      </c>
      <c r="I208" s="182">
        <v>7.31989247311828</v>
      </c>
      <c r="J208" s="183">
        <f t="shared" si="37"/>
        <v>1.1823263355521423</v>
      </c>
      <c r="K208" s="182">
        <v>6.6363636363636367</v>
      </c>
      <c r="L208" s="183">
        <f t="shared" si="38"/>
        <v>-0.68352883675464327</v>
      </c>
      <c r="M208" s="182"/>
      <c r="N208" s="183"/>
    </row>
    <row r="209" spans="2:15" x14ac:dyDescent="0.25">
      <c r="B209" s="114" t="s">
        <v>75</v>
      </c>
      <c r="C209" s="182">
        <v>9.87109375</v>
      </c>
      <c r="D209" s="183">
        <v>3.0842085040983607</v>
      </c>
      <c r="E209" s="182">
        <v>5.1428571428571432</v>
      </c>
      <c r="F209" s="183">
        <f t="shared" si="37"/>
        <v>-4.7282366071428568</v>
      </c>
      <c r="G209" s="182">
        <v>6.5629053177691308</v>
      </c>
      <c r="H209" s="183">
        <f t="shared" si="37"/>
        <v>1.4200481749119875</v>
      </c>
      <c r="I209" s="182">
        <v>6.0713450292397662</v>
      </c>
      <c r="J209" s="183">
        <f t="shared" si="37"/>
        <v>-0.49156028852936462</v>
      </c>
      <c r="K209" s="182">
        <v>7.0371428571428574</v>
      </c>
      <c r="L209" s="183">
        <f t="shared" si="38"/>
        <v>0.96579782790309121</v>
      </c>
      <c r="M209" s="182"/>
      <c r="N209" s="183"/>
    </row>
    <row r="210" spans="2:15" x14ac:dyDescent="0.25">
      <c r="B210" s="114" t="s">
        <v>77</v>
      </c>
      <c r="C210" s="182" t="s">
        <v>235</v>
      </c>
      <c r="D210" s="183" t="s">
        <v>235</v>
      </c>
      <c r="E210" s="182">
        <v>3.24</v>
      </c>
      <c r="F210" s="183" t="str">
        <f>IFERROR(E210-C210,"-")</f>
        <v>-</v>
      </c>
      <c r="G210" s="182">
        <v>6.0729281767955801</v>
      </c>
      <c r="H210" s="183">
        <f>IFERROR(G210-E210,"-")</f>
        <v>2.8329281767955798</v>
      </c>
      <c r="I210" s="182">
        <v>6.6473087818696888</v>
      </c>
      <c r="J210" s="183">
        <f>IFERROR(I210-G210,"-")</f>
        <v>0.57438060507410871</v>
      </c>
      <c r="K210" s="182">
        <v>6.7803223070398646</v>
      </c>
      <c r="L210" s="183">
        <f>IFERROR(K210-I210,"-")</f>
        <v>0.13301352517017584</v>
      </c>
      <c r="M210" s="182"/>
      <c r="N210" s="183"/>
    </row>
    <row r="211" spans="2:15" x14ac:dyDescent="0.25">
      <c r="B211" s="114" t="s">
        <v>79</v>
      </c>
      <c r="C211" s="182" t="s">
        <v>235</v>
      </c>
      <c r="D211" s="183" t="s">
        <v>235</v>
      </c>
      <c r="E211" s="182">
        <v>3.4927536231884058</v>
      </c>
      <c r="F211" s="183" t="str">
        <f t="shared" ref="F211:J219" si="40">IFERROR(E211-C211,"-")</f>
        <v>-</v>
      </c>
      <c r="G211" s="182">
        <v>6.373608903020668</v>
      </c>
      <c r="H211" s="183">
        <f t="shared" si="40"/>
        <v>2.8808552798322622</v>
      </c>
      <c r="I211" s="182">
        <v>6.8310911808669657</v>
      </c>
      <c r="J211" s="183">
        <f t="shared" si="40"/>
        <v>0.45748227784629769</v>
      </c>
      <c r="K211" s="182">
        <v>6.5109090909090908</v>
      </c>
      <c r="L211" s="183">
        <f t="shared" ref="L211:L219" si="41">IFERROR(K211-I211,"-")</f>
        <v>-0.32018208995787489</v>
      </c>
      <c r="M211" s="182"/>
      <c r="N211" s="183"/>
    </row>
    <row r="212" spans="2:15" x14ac:dyDescent="0.25">
      <c r="B212" s="114" t="s">
        <v>81</v>
      </c>
      <c r="C212" s="182" t="s">
        <v>235</v>
      </c>
      <c r="D212" s="183" t="s">
        <v>235</v>
      </c>
      <c r="E212" s="182">
        <v>5.0040983606557381</v>
      </c>
      <c r="F212" s="183" t="str">
        <f t="shared" si="40"/>
        <v>-</v>
      </c>
      <c r="G212" s="182">
        <v>7.4421641791044779</v>
      </c>
      <c r="H212" s="183">
        <f t="shared" si="40"/>
        <v>2.4380658184487398</v>
      </c>
      <c r="I212" s="182">
        <v>6.7452513966480447</v>
      </c>
      <c r="J212" s="183">
        <f t="shared" si="40"/>
        <v>-0.69691278245643318</v>
      </c>
      <c r="K212" s="182">
        <v>7.1186094069529648</v>
      </c>
      <c r="L212" s="183">
        <f t="shared" si="41"/>
        <v>0.37335801030492011</v>
      </c>
      <c r="M212" s="182"/>
      <c r="N212" s="183"/>
    </row>
    <row r="213" spans="2:15" x14ac:dyDescent="0.25">
      <c r="B213" s="114" t="s">
        <v>83</v>
      </c>
      <c r="C213" s="182" t="s">
        <v>235</v>
      </c>
      <c r="D213" s="183" t="s">
        <v>235</v>
      </c>
      <c r="E213" s="182">
        <v>7.0204460966542754</v>
      </c>
      <c r="F213" s="183" t="str">
        <f t="shared" si="40"/>
        <v>-</v>
      </c>
      <c r="G213" s="182">
        <v>7.129666011787819</v>
      </c>
      <c r="H213" s="183">
        <f t="shared" si="40"/>
        <v>0.10921991513354357</v>
      </c>
      <c r="I213" s="182">
        <v>8.7765363128491618</v>
      </c>
      <c r="J213" s="183">
        <f t="shared" si="40"/>
        <v>1.6468703010613428</v>
      </c>
      <c r="K213" s="182">
        <v>7.2642276422764231</v>
      </c>
      <c r="L213" s="183">
        <f t="shared" si="41"/>
        <v>-1.5123086705727387</v>
      </c>
      <c r="M213" s="182"/>
      <c r="N213" s="183"/>
    </row>
    <row r="214" spans="2:15" x14ac:dyDescent="0.25">
      <c r="B214" s="114" t="s">
        <v>85</v>
      </c>
      <c r="C214" s="182">
        <v>7.2149999999999999</v>
      </c>
      <c r="D214" s="183">
        <v>-2.1733299798792753</v>
      </c>
      <c r="E214" s="182">
        <v>6.7904040404040407</v>
      </c>
      <c r="F214" s="183">
        <f t="shared" si="40"/>
        <v>-0.42459595959595919</v>
      </c>
      <c r="G214" s="182">
        <v>8.3278955954323006</v>
      </c>
      <c r="H214" s="183">
        <f t="shared" si="40"/>
        <v>1.53749155502826</v>
      </c>
      <c r="I214" s="182">
        <v>7.8383545770567791</v>
      </c>
      <c r="J214" s="183">
        <f t="shared" si="40"/>
        <v>-0.48954101837552155</v>
      </c>
      <c r="K214" s="182">
        <v>8.5658653846153854</v>
      </c>
      <c r="L214" s="183">
        <f t="shared" si="41"/>
        <v>0.72751080755860631</v>
      </c>
      <c r="M214" s="182"/>
      <c r="N214" s="183"/>
    </row>
    <row r="215" spans="2:15" x14ac:dyDescent="0.25">
      <c r="B215" s="114" t="s">
        <v>87</v>
      </c>
      <c r="C215" s="182">
        <v>6.9473684210526319</v>
      </c>
      <c r="D215" s="183">
        <v>-1.6408668730650149</v>
      </c>
      <c r="E215" s="182">
        <v>7.7776096822995457</v>
      </c>
      <c r="F215" s="183">
        <f t="shared" si="40"/>
        <v>0.83024126124691389</v>
      </c>
      <c r="G215" s="182">
        <v>8.568154402895054</v>
      </c>
      <c r="H215" s="183">
        <f t="shared" si="40"/>
        <v>0.79054472059550829</v>
      </c>
      <c r="I215" s="182">
        <v>7.7614607614607616</v>
      </c>
      <c r="J215" s="183">
        <f t="shared" si="40"/>
        <v>-0.80669364143429245</v>
      </c>
      <c r="K215" s="182">
        <v>7.8050389922015597</v>
      </c>
      <c r="L215" s="183">
        <f t="shared" si="41"/>
        <v>4.3578230740798141E-2</v>
      </c>
      <c r="M215" s="182"/>
      <c r="N215" s="183"/>
    </row>
    <row r="216" spans="2:15" x14ac:dyDescent="0.25">
      <c r="B216" s="114" t="s">
        <v>89</v>
      </c>
      <c r="C216" s="182">
        <v>4.541666666666667</v>
      </c>
      <c r="D216" s="183">
        <v>-3.4423216885007273</v>
      </c>
      <c r="E216" s="182">
        <v>6.545696539485359</v>
      </c>
      <c r="F216" s="183">
        <f t="shared" si="40"/>
        <v>2.004029872818692</v>
      </c>
      <c r="G216" s="182">
        <v>7.2943820224719103</v>
      </c>
      <c r="H216" s="183">
        <f t="shared" si="40"/>
        <v>0.74868548298655124</v>
      </c>
      <c r="I216" s="182">
        <v>6.5623229461756374</v>
      </c>
      <c r="J216" s="183">
        <f t="shared" si="40"/>
        <v>-0.73205907629627287</v>
      </c>
      <c r="K216" s="182">
        <v>7.0728318160038333</v>
      </c>
      <c r="L216" s="183">
        <f t="shared" si="41"/>
        <v>0.51050886982819588</v>
      </c>
      <c r="M216" s="182"/>
      <c r="N216" s="183"/>
    </row>
    <row r="217" spans="2:15" x14ac:dyDescent="0.25">
      <c r="B217" s="114" t="s">
        <v>91</v>
      </c>
      <c r="C217" s="182">
        <v>6.6727272727272728</v>
      </c>
      <c r="D217" s="183">
        <v>-1.0828997369190292</v>
      </c>
      <c r="E217" s="182">
        <v>5.6608333333333336</v>
      </c>
      <c r="F217" s="183">
        <f t="shared" si="40"/>
        <v>-1.0118939393939392</v>
      </c>
      <c r="G217" s="182">
        <v>6.7575169738118328</v>
      </c>
      <c r="H217" s="183">
        <f t="shared" si="40"/>
        <v>1.0966836404784992</v>
      </c>
      <c r="I217" s="182">
        <v>6.2689922480620153</v>
      </c>
      <c r="J217" s="183">
        <f t="shared" si="40"/>
        <v>-0.48852472574981753</v>
      </c>
      <c r="K217" s="182">
        <v>7.3297872340425529</v>
      </c>
      <c r="L217" s="183">
        <f t="shared" si="41"/>
        <v>1.0607949859805377</v>
      </c>
      <c r="M217" s="182"/>
      <c r="N217" s="183"/>
    </row>
    <row r="218" spans="2:15" x14ac:dyDescent="0.25">
      <c r="B218" s="114" t="s">
        <v>93</v>
      </c>
      <c r="C218" s="182">
        <v>8.0144927536231876</v>
      </c>
      <c r="D218" s="183">
        <v>-6.4274369664483189E-2</v>
      </c>
      <c r="E218" s="182">
        <v>6.4076433121019107</v>
      </c>
      <c r="F218" s="183">
        <f t="shared" si="40"/>
        <v>-1.6068494415212768</v>
      </c>
      <c r="G218" s="182">
        <v>7.4463705308775729</v>
      </c>
      <c r="H218" s="183">
        <f t="shared" si="40"/>
        <v>1.0387272187756622</v>
      </c>
      <c r="I218" s="182">
        <v>5.48</v>
      </c>
      <c r="J218" s="183">
        <f t="shared" si="40"/>
        <v>-1.9663705308775725</v>
      </c>
      <c r="K218" s="182">
        <v>7.132173913043478</v>
      </c>
      <c r="L218" s="183">
        <f t="shared" si="41"/>
        <v>1.6521739130434776</v>
      </c>
      <c r="M218" s="182"/>
      <c r="N218" s="183"/>
    </row>
    <row r="219" spans="2:15" ht="15.75" x14ac:dyDescent="0.25">
      <c r="B219" s="117" t="s">
        <v>30</v>
      </c>
      <c r="C219" s="184">
        <v>7.2815814850530378</v>
      </c>
      <c r="D219" s="185">
        <v>-0.81168443577312477</v>
      </c>
      <c r="E219" s="184">
        <v>6.3749166110740489</v>
      </c>
      <c r="F219" s="185">
        <f t="shared" si="40"/>
        <v>-0.90666487397898887</v>
      </c>
      <c r="G219" s="184">
        <v>7.0487258471016521</v>
      </c>
      <c r="H219" s="185">
        <f t="shared" si="40"/>
        <v>0.67380923602760312</v>
      </c>
      <c r="I219" s="184">
        <v>6.997908759972117</v>
      </c>
      <c r="J219" s="185">
        <f t="shared" si="40"/>
        <v>-5.0817087129535032E-2</v>
      </c>
      <c r="K219" s="184">
        <v>7.2584063141961295</v>
      </c>
      <c r="L219" s="185">
        <f t="shared" si="41"/>
        <v>0.26049755422401244</v>
      </c>
      <c r="M219" s="184">
        <v>7.738790035587189</v>
      </c>
      <c r="N219" s="185">
        <v>0.9257059234376559</v>
      </c>
    </row>
    <row r="220" spans="2:15" ht="6" customHeight="1" x14ac:dyDescent="0.25"/>
    <row r="221" spans="2:15" x14ac:dyDescent="0.25">
      <c r="B221" s="105" t="s">
        <v>55</v>
      </c>
      <c r="C221" s="105"/>
      <c r="D221" s="105"/>
      <c r="E221" s="105"/>
      <c r="F221" s="105"/>
      <c r="G221" s="105"/>
      <c r="H221" s="105"/>
      <c r="I221" s="105"/>
      <c r="J221" s="105"/>
      <c r="K221" s="105"/>
      <c r="L221" s="105"/>
      <c r="M221" s="105"/>
      <c r="N221" s="105"/>
    </row>
    <row r="222" spans="2:15" x14ac:dyDescent="0.25">
      <c r="K222" s="120"/>
      <c r="M222" s="122"/>
    </row>
    <row r="224" spans="2:15" ht="48.75" customHeight="1" thickBot="1" x14ac:dyDescent="0.3">
      <c r="B224" s="265" t="s">
        <v>294</v>
      </c>
      <c r="C224" s="265"/>
      <c r="D224" s="265"/>
      <c r="E224" s="265"/>
      <c r="F224" s="265"/>
      <c r="G224" s="265"/>
      <c r="H224" s="265"/>
      <c r="I224" s="265"/>
      <c r="J224" s="265"/>
      <c r="K224" s="265"/>
      <c r="L224" s="265"/>
      <c r="M224" s="265"/>
      <c r="N224" s="265"/>
      <c r="O224" s="1" t="s">
        <v>124</v>
      </c>
    </row>
    <row r="225" spans="2:15" ht="10.5" customHeight="1" thickBot="1" x14ac:dyDescent="0.3">
      <c r="B225" s="106"/>
      <c r="C225" s="107"/>
      <c r="D225" s="106"/>
      <c r="E225" s="106"/>
      <c r="F225" s="106"/>
      <c r="G225" s="106"/>
      <c r="H225" s="106"/>
      <c r="I225" s="106"/>
      <c r="J225" s="106"/>
      <c r="K225" s="106"/>
      <c r="L225" s="106"/>
      <c r="M225" s="4"/>
      <c r="N225" s="4"/>
      <c r="O225" s="1" t="s">
        <v>125</v>
      </c>
    </row>
    <row r="226" spans="2:15" ht="22.5" thickTop="1" thickBot="1" x14ac:dyDescent="0.3">
      <c r="B226" s="121" t="str">
        <f>C226</f>
        <v>Bélgica</v>
      </c>
      <c r="C226" s="290" t="s">
        <v>119</v>
      </c>
      <c r="D226" s="291"/>
      <c r="E226" s="291"/>
      <c r="F226" s="291"/>
      <c r="G226" s="291"/>
      <c r="H226" s="291"/>
      <c r="I226" s="291"/>
      <c r="J226" s="291"/>
      <c r="K226" s="291"/>
      <c r="L226" s="291"/>
      <c r="M226" s="291"/>
      <c r="N226" s="291"/>
    </row>
    <row r="227" spans="2:15" ht="22.5" thickTop="1" thickBot="1" x14ac:dyDescent="0.3">
      <c r="B227" s="109"/>
      <c r="C227" s="292">
        <v>2020</v>
      </c>
      <c r="D227" s="293"/>
      <c r="E227" s="294">
        <v>2021</v>
      </c>
      <c r="F227" s="293"/>
      <c r="G227" s="294">
        <v>2022</v>
      </c>
      <c r="H227" s="293"/>
      <c r="I227" s="294">
        <v>2023</v>
      </c>
      <c r="J227" s="293"/>
      <c r="K227" s="294">
        <v>2024</v>
      </c>
      <c r="L227" s="293"/>
      <c r="M227" s="294">
        <v>2025</v>
      </c>
      <c r="N227" s="295"/>
    </row>
    <row r="228" spans="2:15" ht="16.5" thickTop="1" thickBot="1" x14ac:dyDescent="0.3">
      <c r="B228" s="85"/>
      <c r="C228" s="111" t="s">
        <v>69</v>
      </c>
      <c r="D228" s="112" t="str">
        <f>CONCATENATE("dif ",RIGHT(C227,2),"/",RIGHT(C227-1,2))</f>
        <v>dif 20/19</v>
      </c>
      <c r="E228" s="113" t="s">
        <v>69</v>
      </c>
      <c r="F228" s="112" t="str">
        <f>CONCATENATE("dif ",RIGHT(E227,2),"/",RIGHT(C227,2))</f>
        <v>dif 21/20</v>
      </c>
      <c r="G228" s="113" t="s">
        <v>69</v>
      </c>
      <c r="H228" s="112" t="str">
        <f>CONCATENATE("dif ",RIGHT(G227,2),"/",RIGHT(E227,2))</f>
        <v>dif 22/21</v>
      </c>
      <c r="I228" s="113" t="s">
        <v>69</v>
      </c>
      <c r="J228" s="112" t="str">
        <f>CONCATENATE("dif ",RIGHT(I227,2),"/",RIGHT(G227,2))</f>
        <v>dif 23/22</v>
      </c>
      <c r="K228" s="113" t="s">
        <v>69</v>
      </c>
      <c r="L228" s="112" t="str">
        <f>CONCATENATE("dif ",RIGHT(K227,2),"/",RIGHT(I227,2))</f>
        <v>dif 24/23</v>
      </c>
      <c r="M228" s="113" t="s">
        <v>69</v>
      </c>
      <c r="N228" s="112" t="str">
        <f>CONCATENATE("dif ",RIGHT(M227,2),"/",RIGHT(K227,2))</f>
        <v>dif 25/24</v>
      </c>
    </row>
    <row r="229" spans="2:15" x14ac:dyDescent="0.25">
      <c r="B229" s="114" t="s">
        <v>71</v>
      </c>
      <c r="C229" s="182">
        <v>6.6836027713625867</v>
      </c>
      <c r="D229" s="183">
        <v>-0.47544968210611049</v>
      </c>
      <c r="E229" s="182">
        <v>3.0506329113924049</v>
      </c>
      <c r="F229" s="183">
        <f t="shared" ref="F229:J231" si="42">IFERROR(E229-C229,"-")</f>
        <v>-3.6329698599701818</v>
      </c>
      <c r="G229" s="182">
        <v>5.4547069271758435</v>
      </c>
      <c r="H229" s="183">
        <f t="shared" si="42"/>
        <v>2.4040740157834386</v>
      </c>
      <c r="I229" s="182">
        <v>6.2166377816291165</v>
      </c>
      <c r="J229" s="183">
        <f t="shared" si="42"/>
        <v>0.76193085445327302</v>
      </c>
      <c r="K229" s="182">
        <v>6.5090579710144931</v>
      </c>
      <c r="L229" s="183">
        <f t="shared" ref="L229:L231" si="43">IFERROR(K229-I229,"-")</f>
        <v>0.29242018938537662</v>
      </c>
      <c r="M229" s="182">
        <v>6.3674242424242422</v>
      </c>
      <c r="N229" s="183">
        <f t="shared" ref="N229" si="44">IFERROR(M229-K229,"-")</f>
        <v>-0.14163372859025092</v>
      </c>
    </row>
    <row r="230" spans="2:15" x14ac:dyDescent="0.25">
      <c r="B230" s="114" t="s">
        <v>73</v>
      </c>
      <c r="C230" s="182">
        <v>6.6892230576441101</v>
      </c>
      <c r="D230" s="183">
        <v>-1.442497372463416</v>
      </c>
      <c r="E230" s="182">
        <v>4.5471698113207548</v>
      </c>
      <c r="F230" s="183">
        <f t="shared" si="42"/>
        <v>-2.1420532463233553</v>
      </c>
      <c r="G230" s="182">
        <v>5.1804635761589406</v>
      </c>
      <c r="H230" s="183">
        <f t="shared" si="42"/>
        <v>0.63329376483818578</v>
      </c>
      <c r="I230" s="182">
        <v>5.8491379310344831</v>
      </c>
      <c r="J230" s="183">
        <f t="shared" si="42"/>
        <v>0.6686743548755425</v>
      </c>
      <c r="K230" s="182">
        <v>6.1761102603369062</v>
      </c>
      <c r="L230" s="183">
        <f t="shared" si="43"/>
        <v>0.32697232930242315</v>
      </c>
      <c r="M230" s="182"/>
      <c r="N230" s="183"/>
    </row>
    <row r="231" spans="2:15" x14ac:dyDescent="0.25">
      <c r="B231" s="114" t="s">
        <v>75</v>
      </c>
      <c r="C231" s="182">
        <v>8.0549019607843135</v>
      </c>
      <c r="D231" s="183">
        <v>0.46134059257505822</v>
      </c>
      <c r="E231" s="182">
        <v>4.4814814814814818</v>
      </c>
      <c r="F231" s="183">
        <f t="shared" si="42"/>
        <v>-3.5734204793028317</v>
      </c>
      <c r="G231" s="182">
        <v>5.3488843813387428</v>
      </c>
      <c r="H231" s="183">
        <f t="shared" si="42"/>
        <v>0.86740289985726093</v>
      </c>
      <c r="I231" s="182">
        <v>6.2137404580152671</v>
      </c>
      <c r="J231" s="183">
        <f t="shared" si="42"/>
        <v>0.86485607667652431</v>
      </c>
      <c r="K231" s="182">
        <v>6.0576923076923075</v>
      </c>
      <c r="L231" s="183">
        <f t="shared" si="43"/>
        <v>-0.1560481503229596</v>
      </c>
      <c r="M231" s="182"/>
      <c r="N231" s="183"/>
    </row>
    <row r="232" spans="2:15" x14ac:dyDescent="0.25">
      <c r="B232" s="114" t="s">
        <v>77</v>
      </c>
      <c r="C232" s="182" t="s">
        <v>235</v>
      </c>
      <c r="D232" s="183" t="s">
        <v>235</v>
      </c>
      <c r="E232" s="182">
        <v>4.3181818181818183</v>
      </c>
      <c r="F232" s="183" t="str">
        <f>IFERROR(E232-C232,"-")</f>
        <v>-</v>
      </c>
      <c r="G232" s="182">
        <v>5.7170172084130018</v>
      </c>
      <c r="H232" s="183">
        <f>IFERROR(G232-E232,"-")</f>
        <v>1.3988353902311834</v>
      </c>
      <c r="I232" s="182">
        <v>6.225609756097561</v>
      </c>
      <c r="J232" s="183">
        <f>IFERROR(I232-G232,"-")</f>
        <v>0.50859254768455919</v>
      </c>
      <c r="K232" s="182">
        <v>7.2930693069306933</v>
      </c>
      <c r="L232" s="183">
        <f>IFERROR(K232-I232,"-")</f>
        <v>1.0674595508331324</v>
      </c>
      <c r="M232" s="182"/>
      <c r="N232" s="183"/>
    </row>
    <row r="233" spans="2:15" x14ac:dyDescent="0.25">
      <c r="B233" s="114" t="s">
        <v>79</v>
      </c>
      <c r="C233" s="182" t="s">
        <v>235</v>
      </c>
      <c r="D233" s="183" t="s">
        <v>235</v>
      </c>
      <c r="E233" s="182">
        <v>3.703846153846154</v>
      </c>
      <c r="F233" s="183" t="str">
        <f t="shared" ref="F233:J241" si="45">IFERROR(E233-C233,"-")</f>
        <v>-</v>
      </c>
      <c r="G233" s="182">
        <v>5.3867924528301883</v>
      </c>
      <c r="H233" s="183">
        <f t="shared" si="45"/>
        <v>1.6829462989840343</v>
      </c>
      <c r="I233" s="182">
        <v>6.3229461756373935</v>
      </c>
      <c r="J233" s="183">
        <f t="shared" si="45"/>
        <v>0.93615372280720521</v>
      </c>
      <c r="K233" s="182">
        <v>6.0445544554455441</v>
      </c>
      <c r="L233" s="183">
        <f t="shared" ref="L233:L241" si="46">IFERROR(K233-I233,"-")</f>
        <v>-0.27839172019184932</v>
      </c>
      <c r="M233" s="182"/>
      <c r="N233" s="183"/>
    </row>
    <row r="234" spans="2:15" x14ac:dyDescent="0.25">
      <c r="B234" s="114" t="s">
        <v>81</v>
      </c>
      <c r="C234" s="182" t="s">
        <v>235</v>
      </c>
      <c r="D234" s="183" t="s">
        <v>235</v>
      </c>
      <c r="E234" s="182">
        <v>6.5076923076923077</v>
      </c>
      <c r="F234" s="183" t="str">
        <f t="shared" si="45"/>
        <v>-</v>
      </c>
      <c r="G234" s="182">
        <v>5.4486215538847116</v>
      </c>
      <c r="H234" s="183">
        <f t="shared" si="45"/>
        <v>-1.0590707538075961</v>
      </c>
      <c r="I234" s="182">
        <v>7.3047858942065496</v>
      </c>
      <c r="J234" s="183">
        <f t="shared" si="45"/>
        <v>1.856164340321838</v>
      </c>
      <c r="K234" s="182">
        <v>6.8105413105413106</v>
      </c>
      <c r="L234" s="183">
        <f t="shared" si="46"/>
        <v>-0.49424458366523893</v>
      </c>
      <c r="M234" s="182"/>
      <c r="N234" s="183"/>
    </row>
    <row r="235" spans="2:15" x14ac:dyDescent="0.25">
      <c r="B235" s="114" t="s">
        <v>83</v>
      </c>
      <c r="C235" s="182" t="s">
        <v>235</v>
      </c>
      <c r="D235" s="183" t="s">
        <v>235</v>
      </c>
      <c r="E235" s="182">
        <v>5.8668341708542711</v>
      </c>
      <c r="F235" s="183" t="str">
        <f t="shared" si="45"/>
        <v>-</v>
      </c>
      <c r="G235" s="182">
        <v>6.2380952380952381</v>
      </c>
      <c r="H235" s="183">
        <f t="shared" si="45"/>
        <v>0.37126106724096708</v>
      </c>
      <c r="I235" s="182">
        <v>6.6871088861076347</v>
      </c>
      <c r="J235" s="183">
        <f t="shared" si="45"/>
        <v>0.44901364801239652</v>
      </c>
      <c r="K235" s="182">
        <v>7.3509060955518946</v>
      </c>
      <c r="L235" s="183">
        <f t="shared" si="46"/>
        <v>0.66379720944425991</v>
      </c>
      <c r="M235" s="182"/>
      <c r="N235" s="183"/>
    </row>
    <row r="236" spans="2:15" x14ac:dyDescent="0.25">
      <c r="B236" s="114" t="s">
        <v>85</v>
      </c>
      <c r="C236" s="182">
        <v>5.3166666666666664</v>
      </c>
      <c r="D236" s="183">
        <v>-3.4559236947791163</v>
      </c>
      <c r="E236" s="182">
        <v>11.090909090909092</v>
      </c>
      <c r="F236" s="183">
        <f t="shared" si="45"/>
        <v>5.7742424242424253</v>
      </c>
      <c r="G236" s="182">
        <v>7</v>
      </c>
      <c r="H236" s="183">
        <f t="shared" si="45"/>
        <v>-4.0909090909090917</v>
      </c>
      <c r="I236" s="182">
        <v>7.7</v>
      </c>
      <c r="J236" s="183">
        <f t="shared" si="45"/>
        <v>0.70000000000000018</v>
      </c>
      <c r="K236" s="182">
        <v>7.4824120603015079</v>
      </c>
      <c r="L236" s="183">
        <f t="shared" si="46"/>
        <v>-0.21758793969849233</v>
      </c>
      <c r="M236" s="182"/>
      <c r="N236" s="183"/>
    </row>
    <row r="237" spans="2:15" x14ac:dyDescent="0.25">
      <c r="B237" s="114" t="s">
        <v>87</v>
      </c>
      <c r="C237" s="182">
        <v>7.760089686098655</v>
      </c>
      <c r="D237" s="183">
        <v>-0.15998466334372452</v>
      </c>
      <c r="E237" s="182">
        <v>6.9529120198265177</v>
      </c>
      <c r="F237" s="183">
        <f t="shared" si="45"/>
        <v>-0.80717766627213727</v>
      </c>
      <c r="G237" s="182">
        <v>6.4234800838574424</v>
      </c>
      <c r="H237" s="183">
        <f t="shared" si="45"/>
        <v>-0.52943193596907534</v>
      </c>
      <c r="I237" s="182">
        <v>7.0376506024096388</v>
      </c>
      <c r="J237" s="183">
        <f t="shared" si="45"/>
        <v>0.6141705185521964</v>
      </c>
      <c r="K237" s="182">
        <v>6.6914634146341463</v>
      </c>
      <c r="L237" s="183">
        <f t="shared" si="46"/>
        <v>-0.34618718777549251</v>
      </c>
      <c r="M237" s="182"/>
      <c r="N237" s="183"/>
    </row>
    <row r="238" spans="2:15" x14ac:dyDescent="0.25">
      <c r="B238" s="114" t="s">
        <v>89</v>
      </c>
      <c r="C238" s="182">
        <v>10.689922480620154</v>
      </c>
      <c r="D238" s="183">
        <v>2.7205347255181138</v>
      </c>
      <c r="E238" s="182">
        <v>5.4377593360995853</v>
      </c>
      <c r="F238" s="183">
        <f t="shared" si="45"/>
        <v>-5.2521631445205692</v>
      </c>
      <c r="G238" s="182">
        <v>5.0327102803738315</v>
      </c>
      <c r="H238" s="183">
        <f t="shared" si="45"/>
        <v>-0.40504905572575378</v>
      </c>
      <c r="I238" s="182">
        <v>5.7731811697574891</v>
      </c>
      <c r="J238" s="183">
        <f t="shared" si="45"/>
        <v>0.74047088938365757</v>
      </c>
      <c r="K238" s="182">
        <v>6.5517241379310347</v>
      </c>
      <c r="L238" s="183">
        <f t="shared" si="46"/>
        <v>0.77854296817354562</v>
      </c>
      <c r="M238" s="182"/>
      <c r="N238" s="183"/>
    </row>
    <row r="239" spans="2:15" x14ac:dyDescent="0.25">
      <c r="B239" s="114" t="s">
        <v>91</v>
      </c>
      <c r="C239" s="182">
        <v>17.657894736842106</v>
      </c>
      <c r="D239" s="183">
        <v>11.377980206927576</v>
      </c>
      <c r="E239" s="182">
        <v>5.9419862340216323</v>
      </c>
      <c r="F239" s="183">
        <f t="shared" si="45"/>
        <v>-11.715908502820474</v>
      </c>
      <c r="G239" s="182">
        <v>6.1750972762645917</v>
      </c>
      <c r="H239" s="183">
        <f t="shared" si="45"/>
        <v>0.23311104224295942</v>
      </c>
      <c r="I239" s="182">
        <v>6.7342419080068145</v>
      </c>
      <c r="J239" s="183">
        <f t="shared" si="45"/>
        <v>0.55914463174222284</v>
      </c>
      <c r="K239" s="182">
        <v>6.0607734806629834</v>
      </c>
      <c r="L239" s="183">
        <f t="shared" si="46"/>
        <v>-0.67346842734383117</v>
      </c>
      <c r="M239" s="182"/>
      <c r="N239" s="183"/>
    </row>
    <row r="240" spans="2:15" x14ac:dyDescent="0.25">
      <c r="B240" s="114" t="s">
        <v>93</v>
      </c>
      <c r="C240" s="182">
        <v>3.3366336633663365</v>
      </c>
      <c r="D240" s="183">
        <v>-3.5859015479012695</v>
      </c>
      <c r="E240" s="182">
        <v>5.6928675400291118</v>
      </c>
      <c r="F240" s="183">
        <f t="shared" si="45"/>
        <v>2.3562338766627753</v>
      </c>
      <c r="G240" s="182">
        <v>5.7333333333333334</v>
      </c>
      <c r="H240" s="183">
        <f t="shared" si="45"/>
        <v>4.046579330422162E-2</v>
      </c>
      <c r="I240" s="182">
        <v>5.8972267536704734</v>
      </c>
      <c r="J240" s="183">
        <f t="shared" si="45"/>
        <v>0.16389342033714005</v>
      </c>
      <c r="K240" s="182">
        <v>5.8216867469879521</v>
      </c>
      <c r="L240" s="183">
        <f t="shared" si="46"/>
        <v>-7.5540006682521366E-2</v>
      </c>
      <c r="M240" s="182"/>
      <c r="N240" s="183"/>
    </row>
    <row r="241" spans="2:15" ht="15.75" x14ac:dyDescent="0.25">
      <c r="B241" s="117" t="s">
        <v>30</v>
      </c>
      <c r="C241" s="184">
        <v>7.1863592699327565</v>
      </c>
      <c r="D241" s="185">
        <v>-0.30539941145626592</v>
      </c>
      <c r="E241" s="184">
        <v>6.4026148817535091</v>
      </c>
      <c r="F241" s="185">
        <f t="shared" si="45"/>
        <v>-0.78374438817924741</v>
      </c>
      <c r="G241" s="184">
        <v>5.7455722070844688</v>
      </c>
      <c r="H241" s="185">
        <f t="shared" si="45"/>
        <v>-0.65704267466904032</v>
      </c>
      <c r="I241" s="184">
        <v>6.5394661308840414</v>
      </c>
      <c r="J241" s="185">
        <f t="shared" si="45"/>
        <v>0.79389392379957258</v>
      </c>
      <c r="K241" s="184">
        <v>6.6119604316546763</v>
      </c>
      <c r="L241" s="185">
        <f t="shared" si="46"/>
        <v>7.2494300770634901E-2</v>
      </c>
      <c r="M241" s="184">
        <v>6.3674242424242422</v>
      </c>
      <c r="N241" s="185">
        <v>-0.14163372859025092</v>
      </c>
    </row>
    <row r="242" spans="2:15" ht="6" customHeight="1" x14ac:dyDescent="0.25"/>
    <row r="243" spans="2:15" x14ac:dyDescent="0.25">
      <c r="B243" s="105" t="s">
        <v>55</v>
      </c>
      <c r="C243" s="105"/>
      <c r="D243" s="105"/>
      <c r="E243" s="105"/>
      <c r="F243" s="105"/>
      <c r="G243" s="105"/>
      <c r="H243" s="105"/>
      <c r="I243" s="105"/>
      <c r="J243" s="105"/>
      <c r="K243" s="105"/>
      <c r="L243" s="105"/>
      <c r="M243" s="105"/>
      <c r="N243" s="105"/>
    </row>
    <row r="244" spans="2:15" x14ac:dyDescent="0.25">
      <c r="C244" s="120"/>
      <c r="K244" s="120"/>
      <c r="M244" s="105"/>
    </row>
    <row r="246" spans="2:15" ht="48.75" customHeight="1" thickBot="1" x14ac:dyDescent="0.3">
      <c r="B246" s="265" t="s">
        <v>296</v>
      </c>
      <c r="C246" s="265"/>
      <c r="D246" s="265"/>
      <c r="E246" s="265"/>
      <c r="F246" s="265"/>
      <c r="G246" s="265"/>
      <c r="H246" s="265"/>
      <c r="I246" s="265"/>
      <c r="J246" s="265"/>
      <c r="K246" s="265"/>
      <c r="L246" s="265"/>
      <c r="M246" s="265"/>
      <c r="N246" s="265"/>
      <c r="O246" s="1" t="s">
        <v>126</v>
      </c>
    </row>
    <row r="247" spans="2:15" ht="10.5" customHeight="1" thickBot="1" x14ac:dyDescent="0.3">
      <c r="B247" s="106"/>
      <c r="C247" s="107"/>
      <c r="D247" s="106"/>
      <c r="E247" s="106"/>
      <c r="F247" s="106"/>
      <c r="G247" s="106"/>
      <c r="H247" s="106"/>
      <c r="I247" s="106"/>
      <c r="J247" s="106"/>
      <c r="K247" s="106"/>
      <c r="L247" s="106"/>
      <c r="M247" s="4"/>
      <c r="N247" s="4"/>
      <c r="O247" s="1" t="s">
        <v>127</v>
      </c>
    </row>
    <row r="248" spans="2:15" ht="22.5" thickTop="1" thickBot="1" x14ac:dyDescent="0.3">
      <c r="B248" s="121" t="str">
        <f>C248</f>
        <v>Dinamarca</v>
      </c>
      <c r="C248" s="290" t="s">
        <v>128</v>
      </c>
      <c r="D248" s="291"/>
      <c r="E248" s="291"/>
      <c r="F248" s="291"/>
      <c r="G248" s="291"/>
      <c r="H248" s="291"/>
      <c r="I248" s="291"/>
      <c r="J248" s="291"/>
      <c r="K248" s="291"/>
      <c r="L248" s="291"/>
      <c r="M248" s="291"/>
      <c r="N248" s="291"/>
    </row>
    <row r="249" spans="2:15" ht="22.5" thickTop="1" thickBot="1" x14ac:dyDescent="0.3">
      <c r="B249" s="109"/>
      <c r="C249" s="292">
        <v>2020</v>
      </c>
      <c r="D249" s="293"/>
      <c r="E249" s="294">
        <v>2021</v>
      </c>
      <c r="F249" s="293"/>
      <c r="G249" s="294">
        <v>2022</v>
      </c>
      <c r="H249" s="293"/>
      <c r="I249" s="294">
        <v>2023</v>
      </c>
      <c r="J249" s="293"/>
      <c r="K249" s="294">
        <v>2024</v>
      </c>
      <c r="L249" s="293"/>
      <c r="M249" s="294">
        <v>2025</v>
      </c>
      <c r="N249" s="295"/>
    </row>
    <row r="250" spans="2:15" ht="16.5" thickTop="1" thickBot="1" x14ac:dyDescent="0.3">
      <c r="B250" s="85"/>
      <c r="C250" s="111" t="s">
        <v>69</v>
      </c>
      <c r="D250" s="112" t="str">
        <f>CONCATENATE("dif ",RIGHT(C249,2),"/",RIGHT(C249-1,2))</f>
        <v>dif 20/19</v>
      </c>
      <c r="E250" s="113" t="s">
        <v>69</v>
      </c>
      <c r="F250" s="112" t="str">
        <f>CONCATENATE("dif ",RIGHT(E249,2),"/",RIGHT(C249,2))</f>
        <v>dif 21/20</v>
      </c>
      <c r="G250" s="113" t="s">
        <v>69</v>
      </c>
      <c r="H250" s="112" t="str">
        <f>CONCATENATE("dif ",RIGHT(G249,2),"/",RIGHT(E249,2))</f>
        <v>dif 22/21</v>
      </c>
      <c r="I250" s="113" t="s">
        <v>69</v>
      </c>
      <c r="J250" s="112" t="str">
        <f>CONCATENATE("dif ",RIGHT(I249,2),"/",RIGHT(G249,2))</f>
        <v>dif 23/22</v>
      </c>
      <c r="K250" s="113" t="s">
        <v>69</v>
      </c>
      <c r="L250" s="112" t="str">
        <f>CONCATENATE("dif ",RIGHT(K249,2),"/",RIGHT(I249,2))</f>
        <v>dif 24/23</v>
      </c>
      <c r="M250" s="113" t="s">
        <v>69</v>
      </c>
      <c r="N250" s="112" t="str">
        <f>CONCATENATE("dif ",RIGHT(M249,2),"/",RIGHT(K249,2))</f>
        <v>dif 25/24</v>
      </c>
    </row>
    <row r="251" spans="2:15" x14ac:dyDescent="0.25">
      <c r="B251" s="114" t="s">
        <v>71</v>
      </c>
      <c r="C251" s="182">
        <v>10.133493205435652</v>
      </c>
      <c r="D251" s="183">
        <v>0.95747102941347606</v>
      </c>
      <c r="E251" s="182">
        <v>14.692307692307692</v>
      </c>
      <c r="F251" s="183">
        <f t="shared" ref="F251:J253" si="47">IFERROR(E251-C251,"-")</f>
        <v>4.5588144868720395</v>
      </c>
      <c r="G251" s="182">
        <v>9.5601799775028127</v>
      </c>
      <c r="H251" s="183">
        <f t="shared" si="47"/>
        <v>-5.1321277148048789</v>
      </c>
      <c r="I251" s="182">
        <v>8.4134045077105579</v>
      </c>
      <c r="J251" s="183">
        <f t="shared" si="47"/>
        <v>-1.1467754697922548</v>
      </c>
      <c r="K251" s="182">
        <v>8.7924667651403254</v>
      </c>
      <c r="L251" s="183">
        <f t="shared" ref="L251:L253" si="48">IFERROR(K251-I251,"-")</f>
        <v>0.37906225742976751</v>
      </c>
      <c r="M251" s="182">
        <v>9.8285243198680963</v>
      </c>
      <c r="N251" s="183">
        <f t="shared" ref="N251" si="49">IFERROR(M251-K251,"-")</f>
        <v>1.0360575547277708</v>
      </c>
    </row>
    <row r="252" spans="2:15" x14ac:dyDescent="0.25">
      <c r="B252" s="114" t="s">
        <v>73</v>
      </c>
      <c r="C252" s="182">
        <v>8.9423728813559329</v>
      </c>
      <c r="D252" s="183">
        <v>-0.73589616850295769</v>
      </c>
      <c r="E252" s="182">
        <v>7.0588235294117645</v>
      </c>
      <c r="F252" s="183">
        <f t="shared" si="47"/>
        <v>-1.8835493519441684</v>
      </c>
      <c r="G252" s="182">
        <v>9.1644144144144146</v>
      </c>
      <c r="H252" s="183">
        <f t="shared" si="47"/>
        <v>2.1055908850026501</v>
      </c>
      <c r="I252" s="182">
        <v>9.496240601503759</v>
      </c>
      <c r="J252" s="183">
        <f t="shared" si="47"/>
        <v>0.33182618708934442</v>
      </c>
      <c r="K252" s="182">
        <v>10.563145353455123</v>
      </c>
      <c r="L252" s="183">
        <f t="shared" si="48"/>
        <v>1.0669047519513644</v>
      </c>
      <c r="M252" s="182"/>
      <c r="N252" s="183"/>
    </row>
    <row r="253" spans="2:15" x14ac:dyDescent="0.25">
      <c r="B253" s="114" t="s">
        <v>75</v>
      </c>
      <c r="C253" s="182">
        <v>12.185639229422067</v>
      </c>
      <c r="D253" s="183">
        <v>3.9088414003854322</v>
      </c>
      <c r="E253" s="182">
        <v>8.3571428571428577</v>
      </c>
      <c r="F253" s="183">
        <f t="shared" si="47"/>
        <v>-3.8284963722792096</v>
      </c>
      <c r="G253" s="182">
        <v>7.5493107104984096</v>
      </c>
      <c r="H253" s="183">
        <f t="shared" si="47"/>
        <v>-0.80783214664444802</v>
      </c>
      <c r="I253" s="182">
        <v>10.062709030100335</v>
      </c>
      <c r="J253" s="183">
        <f t="shared" si="47"/>
        <v>2.5133983196019249</v>
      </c>
      <c r="K253" s="182">
        <v>10.274442538593481</v>
      </c>
      <c r="L253" s="183">
        <f t="shared" si="48"/>
        <v>0.21173350849314687</v>
      </c>
      <c r="M253" s="182"/>
      <c r="N253" s="183"/>
    </row>
    <row r="254" spans="2:15" x14ac:dyDescent="0.25">
      <c r="B254" s="114" t="s">
        <v>77</v>
      </c>
      <c r="C254" s="182" t="s">
        <v>235</v>
      </c>
      <c r="D254" s="183" t="s">
        <v>235</v>
      </c>
      <c r="E254" s="182">
        <v>12.714285714285714</v>
      </c>
      <c r="F254" s="183" t="str">
        <f>IFERROR(E254-C254,"-")</f>
        <v>-</v>
      </c>
      <c r="G254" s="182">
        <v>8.5870020964360592</v>
      </c>
      <c r="H254" s="183">
        <f>IFERROR(G254-E254,"-")</f>
        <v>-4.1272836178496544</v>
      </c>
      <c r="I254" s="182">
        <v>8.5347490347490353</v>
      </c>
      <c r="J254" s="183">
        <f>IFERROR(I254-G254,"-")</f>
        <v>-5.2253061687023816E-2</v>
      </c>
      <c r="K254" s="182">
        <v>9.3033333333333328</v>
      </c>
      <c r="L254" s="183">
        <f>IFERROR(K254-I254,"-")</f>
        <v>0.76858429858429744</v>
      </c>
      <c r="M254" s="182"/>
      <c r="N254" s="183"/>
    </row>
    <row r="255" spans="2:15" x14ac:dyDescent="0.25">
      <c r="B255" s="114" t="s">
        <v>79</v>
      </c>
      <c r="C255" s="182" t="s">
        <v>235</v>
      </c>
      <c r="D255" s="183" t="s">
        <v>235</v>
      </c>
      <c r="E255" s="182">
        <v>5.2727272727272725</v>
      </c>
      <c r="F255" s="183" t="str">
        <f t="shared" ref="F255:J263" si="50">IFERROR(E255-C255,"-")</f>
        <v>-</v>
      </c>
      <c r="G255" s="182">
        <v>7.4805194805194803</v>
      </c>
      <c r="H255" s="183">
        <f t="shared" si="50"/>
        <v>2.2077922077922079</v>
      </c>
      <c r="I255" s="182">
        <v>7.7313432835820892</v>
      </c>
      <c r="J255" s="183">
        <f t="shared" si="50"/>
        <v>0.25082380306260887</v>
      </c>
      <c r="K255" s="182">
        <v>12.324324324324325</v>
      </c>
      <c r="L255" s="183">
        <f t="shared" ref="L255:L263" si="51">IFERROR(K255-I255,"-")</f>
        <v>4.5929810407422353</v>
      </c>
      <c r="M255" s="182"/>
      <c r="N255" s="183"/>
    </row>
    <row r="256" spans="2:15" x14ac:dyDescent="0.25">
      <c r="B256" s="114" t="s">
        <v>81</v>
      </c>
      <c r="C256" s="182" t="s">
        <v>235</v>
      </c>
      <c r="D256" s="183" t="s">
        <v>235</v>
      </c>
      <c r="E256" s="182">
        <v>7.9523809523809526</v>
      </c>
      <c r="F256" s="183" t="str">
        <f t="shared" si="50"/>
        <v>-</v>
      </c>
      <c r="G256" s="182">
        <v>6.5588235294117645</v>
      </c>
      <c r="H256" s="183">
        <f t="shared" si="50"/>
        <v>-1.3935574229691881</v>
      </c>
      <c r="I256" s="182">
        <v>7.1062500000000002</v>
      </c>
      <c r="J256" s="183">
        <f t="shared" si="50"/>
        <v>0.54742647058823568</v>
      </c>
      <c r="K256" s="182">
        <v>7.359375</v>
      </c>
      <c r="L256" s="183">
        <f t="shared" si="51"/>
        <v>0.25312499999999982</v>
      </c>
      <c r="M256" s="182"/>
      <c r="N256" s="183"/>
    </row>
    <row r="257" spans="2:15" x14ac:dyDescent="0.25">
      <c r="B257" s="114" t="s">
        <v>83</v>
      </c>
      <c r="C257" s="182" t="s">
        <v>235</v>
      </c>
      <c r="D257" s="183" t="s">
        <v>235</v>
      </c>
      <c r="E257" s="182">
        <v>6.6304347826086953</v>
      </c>
      <c r="F257" s="183" t="str">
        <f t="shared" si="50"/>
        <v>-</v>
      </c>
      <c r="G257" s="182">
        <v>6.9949622166246854</v>
      </c>
      <c r="H257" s="183">
        <f t="shared" si="50"/>
        <v>0.36452743401599008</v>
      </c>
      <c r="I257" s="182">
        <v>8.7642857142857142</v>
      </c>
      <c r="J257" s="183">
        <f t="shared" si="50"/>
        <v>1.7693234976610288</v>
      </c>
      <c r="K257" s="182">
        <v>7.4109589041095889</v>
      </c>
      <c r="L257" s="183">
        <f t="shared" si="51"/>
        <v>-1.3533268101761253</v>
      </c>
      <c r="M257" s="182"/>
      <c r="N257" s="183"/>
    </row>
    <row r="258" spans="2:15" x14ac:dyDescent="0.25">
      <c r="B258" s="114" t="s">
        <v>85</v>
      </c>
      <c r="C258" s="182">
        <v>4.5</v>
      </c>
      <c r="D258" s="183">
        <v>-4.5276679841897227</v>
      </c>
      <c r="E258" s="182">
        <v>6.8292682926829267</v>
      </c>
      <c r="F258" s="183">
        <f t="shared" si="50"/>
        <v>2.3292682926829267</v>
      </c>
      <c r="G258" s="182">
        <v>8.3677685950413228</v>
      </c>
      <c r="H258" s="183">
        <f t="shared" si="50"/>
        <v>1.5385003023583961</v>
      </c>
      <c r="I258" s="182">
        <v>7.4968152866242042</v>
      </c>
      <c r="J258" s="183">
        <f t="shared" si="50"/>
        <v>-0.8709533084171186</v>
      </c>
      <c r="K258" s="182">
        <v>7.0512820512820511</v>
      </c>
      <c r="L258" s="183">
        <f t="shared" si="51"/>
        <v>-0.44553323534215306</v>
      </c>
      <c r="M258" s="182"/>
      <c r="N258" s="183"/>
    </row>
    <row r="259" spans="2:15" x14ac:dyDescent="0.25">
      <c r="B259" s="114" t="s">
        <v>87</v>
      </c>
      <c r="C259" s="182">
        <v>5</v>
      </c>
      <c r="D259" s="183">
        <v>-3.1308016877637126</v>
      </c>
      <c r="E259" s="182">
        <v>6.3693693693693696</v>
      </c>
      <c r="F259" s="183">
        <f t="shared" si="50"/>
        <v>1.3693693693693696</v>
      </c>
      <c r="G259" s="182">
        <v>6.8025210084033612</v>
      </c>
      <c r="H259" s="183">
        <f t="shared" si="50"/>
        <v>0.43315163903399156</v>
      </c>
      <c r="I259" s="182">
        <v>7.2480000000000002</v>
      </c>
      <c r="J259" s="183">
        <f t="shared" si="50"/>
        <v>0.44547899159663906</v>
      </c>
      <c r="K259" s="182">
        <v>9.0243902439024382</v>
      </c>
      <c r="L259" s="183">
        <f t="shared" si="51"/>
        <v>1.7763902439024379</v>
      </c>
      <c r="M259" s="182"/>
      <c r="N259" s="183"/>
    </row>
    <row r="260" spans="2:15" x14ac:dyDescent="0.25">
      <c r="B260" s="114" t="s">
        <v>89</v>
      </c>
      <c r="C260" s="182">
        <v>2.6</v>
      </c>
      <c r="D260" s="183">
        <v>-4.8550195567144723</v>
      </c>
      <c r="E260" s="182">
        <v>6.5376344086021509</v>
      </c>
      <c r="F260" s="183">
        <f t="shared" si="50"/>
        <v>3.9376344086021509</v>
      </c>
      <c r="G260" s="182">
        <v>7.2698048220436284</v>
      </c>
      <c r="H260" s="183">
        <f t="shared" si="50"/>
        <v>0.73217041344147749</v>
      </c>
      <c r="I260" s="182">
        <v>6.4125560538116595</v>
      </c>
      <c r="J260" s="183">
        <f t="shared" si="50"/>
        <v>-0.85724876823196894</v>
      </c>
      <c r="K260" s="182">
        <v>7.2110939907550078</v>
      </c>
      <c r="L260" s="183">
        <f t="shared" si="51"/>
        <v>0.79853793694334829</v>
      </c>
      <c r="M260" s="182"/>
      <c r="N260" s="183"/>
    </row>
    <row r="261" spans="2:15" x14ac:dyDescent="0.25">
      <c r="B261" s="114" t="s">
        <v>91</v>
      </c>
      <c r="C261" s="182">
        <v>8.3333333333333339</v>
      </c>
      <c r="D261" s="183">
        <v>-0.41268510757194754</v>
      </c>
      <c r="E261" s="182">
        <v>7.9464980544747084</v>
      </c>
      <c r="F261" s="183">
        <f t="shared" si="50"/>
        <v>-0.38683527885862556</v>
      </c>
      <c r="G261" s="182">
        <v>7.8936464088397793</v>
      </c>
      <c r="H261" s="183">
        <f t="shared" si="50"/>
        <v>-5.2851645634929056E-2</v>
      </c>
      <c r="I261" s="182">
        <v>8.7702589807852966</v>
      </c>
      <c r="J261" s="183">
        <f t="shared" si="50"/>
        <v>0.87661257194551734</v>
      </c>
      <c r="K261" s="182">
        <v>9.8787313432835813</v>
      </c>
      <c r="L261" s="183">
        <f t="shared" si="51"/>
        <v>1.1084723624982846</v>
      </c>
      <c r="M261" s="182"/>
      <c r="N261" s="183"/>
    </row>
    <row r="262" spans="2:15" x14ac:dyDescent="0.25">
      <c r="B262" s="114" t="s">
        <v>93</v>
      </c>
      <c r="C262" s="182">
        <v>10</v>
      </c>
      <c r="D262" s="183">
        <v>1.7064579256360073</v>
      </c>
      <c r="E262" s="182">
        <v>10.456521739130435</v>
      </c>
      <c r="F262" s="183">
        <f t="shared" si="50"/>
        <v>0.45652173913043548</v>
      </c>
      <c r="G262" s="182">
        <v>10.09217046580773</v>
      </c>
      <c r="H262" s="183">
        <f t="shared" si="50"/>
        <v>-0.36435127332270589</v>
      </c>
      <c r="I262" s="182">
        <v>9.4980237154150196</v>
      </c>
      <c r="J262" s="183">
        <f t="shared" si="50"/>
        <v>-0.59414675039271003</v>
      </c>
      <c r="K262" s="182">
        <v>8.5391304347826082</v>
      </c>
      <c r="L262" s="183">
        <f t="shared" si="51"/>
        <v>-0.9588932806324113</v>
      </c>
      <c r="M262" s="182"/>
      <c r="N262" s="183"/>
    </row>
    <row r="263" spans="2:15" ht="15.75" x14ac:dyDescent="0.25">
      <c r="B263" s="117" t="s">
        <v>30</v>
      </c>
      <c r="C263" s="184">
        <v>10</v>
      </c>
      <c r="D263" s="185">
        <v>1.2191314553990615</v>
      </c>
      <c r="E263" s="184">
        <v>8.1052427184466023</v>
      </c>
      <c r="F263" s="185">
        <f t="shared" si="50"/>
        <v>-1.8947572815533977</v>
      </c>
      <c r="G263" s="184">
        <v>8.3713230444532378</v>
      </c>
      <c r="H263" s="185">
        <f t="shared" si="50"/>
        <v>0.26608032600663556</v>
      </c>
      <c r="I263" s="184">
        <v>8.7910605349601134</v>
      </c>
      <c r="J263" s="185">
        <f t="shared" si="50"/>
        <v>0.41973749050687559</v>
      </c>
      <c r="K263" s="184">
        <v>9.29595015576324</v>
      </c>
      <c r="L263" s="185">
        <f t="shared" si="51"/>
        <v>0.5048896208031266</v>
      </c>
      <c r="M263" s="184">
        <v>9.8285243198680963</v>
      </c>
      <c r="N263" s="185">
        <v>1.0360575547277708</v>
      </c>
    </row>
    <row r="264" spans="2:15" ht="6" customHeight="1" x14ac:dyDescent="0.25"/>
    <row r="265" spans="2:15" x14ac:dyDescent="0.25">
      <c r="B265" s="105" t="s">
        <v>55</v>
      </c>
      <c r="C265" s="105"/>
      <c r="D265" s="105"/>
      <c r="E265" s="105"/>
      <c r="F265" s="105"/>
      <c r="G265" s="105"/>
      <c r="H265" s="105"/>
      <c r="I265" s="105"/>
      <c r="J265" s="105"/>
      <c r="K265" s="105"/>
      <c r="L265" s="105"/>
      <c r="M265" s="105"/>
      <c r="N265" s="105"/>
    </row>
    <row r="266" spans="2:15" x14ac:dyDescent="0.25">
      <c r="K266" s="120"/>
    </row>
    <row r="268" spans="2:15" ht="48.75" customHeight="1" thickBot="1" x14ac:dyDescent="0.3">
      <c r="B268" s="265" t="s">
        <v>297</v>
      </c>
      <c r="C268" s="265"/>
      <c r="D268" s="265"/>
      <c r="E268" s="265"/>
      <c r="F268" s="265"/>
      <c r="G268" s="265"/>
      <c r="H268" s="265"/>
      <c r="I268" s="265"/>
      <c r="J268" s="265"/>
      <c r="K268" s="265"/>
      <c r="L268" s="265"/>
      <c r="M268" s="265"/>
      <c r="N268" s="265"/>
      <c r="O268" s="1" t="s">
        <v>129</v>
      </c>
    </row>
    <row r="269" spans="2:15" ht="10.5" customHeight="1" thickBot="1" x14ac:dyDescent="0.3">
      <c r="B269" s="106"/>
      <c r="C269" s="107"/>
      <c r="D269" s="106"/>
      <c r="E269" s="106"/>
      <c r="F269" s="106"/>
      <c r="G269" s="106"/>
      <c r="H269" s="106"/>
      <c r="I269" s="106"/>
      <c r="J269" s="106"/>
      <c r="K269" s="106"/>
      <c r="L269" s="106"/>
      <c r="M269" s="4"/>
      <c r="N269" s="4"/>
      <c r="O269" s="1" t="s">
        <v>130</v>
      </c>
    </row>
    <row r="270" spans="2:15" ht="22.5" thickTop="1" thickBot="1" x14ac:dyDescent="0.3">
      <c r="B270" s="121" t="str">
        <f>C270</f>
        <v>Suecia</v>
      </c>
      <c r="C270" s="290" t="s">
        <v>131</v>
      </c>
      <c r="D270" s="291"/>
      <c r="E270" s="291"/>
      <c r="F270" s="291"/>
      <c r="G270" s="291"/>
      <c r="H270" s="291"/>
      <c r="I270" s="291"/>
      <c r="J270" s="291"/>
      <c r="K270" s="291"/>
      <c r="L270" s="291"/>
      <c r="M270" s="291"/>
      <c r="N270" s="291"/>
    </row>
    <row r="271" spans="2:15" ht="22.5" thickTop="1" thickBot="1" x14ac:dyDescent="0.3">
      <c r="B271" s="109"/>
      <c r="C271" s="292">
        <v>2020</v>
      </c>
      <c r="D271" s="293"/>
      <c r="E271" s="294">
        <v>2021</v>
      </c>
      <c r="F271" s="293"/>
      <c r="G271" s="294">
        <v>2022</v>
      </c>
      <c r="H271" s="293"/>
      <c r="I271" s="294">
        <v>2023</v>
      </c>
      <c r="J271" s="293"/>
      <c r="K271" s="294">
        <v>2024</v>
      </c>
      <c r="L271" s="293"/>
      <c r="M271" s="294">
        <v>2025</v>
      </c>
      <c r="N271" s="295"/>
    </row>
    <row r="272" spans="2:15" ht="16.5" thickTop="1" thickBot="1" x14ac:dyDescent="0.3">
      <c r="B272" s="85"/>
      <c r="C272" s="111" t="s">
        <v>69</v>
      </c>
      <c r="D272" s="112" t="str">
        <f>CONCATENATE("dif ",RIGHT(C271,2),"/",RIGHT(C271-1,2))</f>
        <v>dif 20/19</v>
      </c>
      <c r="E272" s="113" t="s">
        <v>69</v>
      </c>
      <c r="F272" s="112" t="str">
        <f>CONCATENATE("dif ",RIGHT(E271,2),"/",RIGHT(C271,2))</f>
        <v>dif 21/20</v>
      </c>
      <c r="G272" s="113" t="s">
        <v>69</v>
      </c>
      <c r="H272" s="112" t="str">
        <f>CONCATENATE("dif ",RIGHT(G271,2),"/",RIGHT(E271,2))</f>
        <v>dif 22/21</v>
      </c>
      <c r="I272" s="113" t="s">
        <v>69</v>
      </c>
      <c r="J272" s="112" t="str">
        <f>CONCATENATE("dif ",RIGHT(I271,2),"/",RIGHT(G271,2))</f>
        <v>dif 23/22</v>
      </c>
      <c r="K272" s="113" t="s">
        <v>69</v>
      </c>
      <c r="L272" s="112" t="str">
        <f>CONCATENATE("dif ",RIGHT(K271,2),"/",RIGHT(I271,2))</f>
        <v>dif 24/23</v>
      </c>
      <c r="M272" s="113" t="s">
        <v>69</v>
      </c>
      <c r="N272" s="112" t="str">
        <f>CONCATENATE("dif ",RIGHT(M271,2),"/",RIGHT(K271,2))</f>
        <v>dif 25/24</v>
      </c>
    </row>
    <row r="273" spans="2:14" x14ac:dyDescent="0.25">
      <c r="B273" s="114" t="s">
        <v>71</v>
      </c>
      <c r="C273" s="182">
        <v>10.432530667878238</v>
      </c>
      <c r="D273" s="183">
        <v>1.1657413394513743</v>
      </c>
      <c r="E273" s="182">
        <v>5.5945945945945947</v>
      </c>
      <c r="F273" s="183">
        <f t="shared" ref="F273:J275" si="52">IFERROR(E273-C273,"-")</f>
        <v>-4.8379360732836432</v>
      </c>
      <c r="G273" s="182">
        <v>8.8008705114254617</v>
      </c>
      <c r="H273" s="183">
        <f t="shared" si="52"/>
        <v>3.206275916830867</v>
      </c>
      <c r="I273" s="182">
        <v>8.1389693109438337</v>
      </c>
      <c r="J273" s="183">
        <f t="shared" si="52"/>
        <v>-0.66190120048162804</v>
      </c>
      <c r="K273" s="182">
        <v>8.8081096516276407</v>
      </c>
      <c r="L273" s="183">
        <f t="shared" ref="L273:L275" si="53">IFERROR(K273-I273,"-")</f>
        <v>0.66914034068380701</v>
      </c>
      <c r="M273" s="182">
        <v>10.442715700141443</v>
      </c>
      <c r="N273" s="183">
        <f t="shared" ref="N273" si="54">IFERROR(M273-K273,"-")</f>
        <v>1.6346060485138025</v>
      </c>
    </row>
    <row r="274" spans="2:14" x14ac:dyDescent="0.25">
      <c r="B274" s="114" t="s">
        <v>73</v>
      </c>
      <c r="C274" s="182">
        <v>9.7348002316155178</v>
      </c>
      <c r="D274" s="183">
        <v>0.35748827107297743</v>
      </c>
      <c r="E274" s="182">
        <v>5.2272727272727275</v>
      </c>
      <c r="F274" s="183">
        <f t="shared" si="52"/>
        <v>-4.5075275043427903</v>
      </c>
      <c r="G274" s="182">
        <v>8.0541310541310533</v>
      </c>
      <c r="H274" s="183">
        <f t="shared" si="52"/>
        <v>2.8268583268583258</v>
      </c>
      <c r="I274" s="182">
        <v>8.5094637223974772</v>
      </c>
      <c r="J274" s="183">
        <f t="shared" si="52"/>
        <v>0.45533266826642382</v>
      </c>
      <c r="K274" s="182">
        <v>8.6939151813153046</v>
      </c>
      <c r="L274" s="183">
        <f t="shared" si="53"/>
        <v>0.18445145891782744</v>
      </c>
      <c r="M274" s="182"/>
      <c r="N274" s="183"/>
    </row>
    <row r="275" spans="2:14" x14ac:dyDescent="0.25">
      <c r="B275" s="114" t="s">
        <v>75</v>
      </c>
      <c r="C275" s="182">
        <v>12.519774011299434</v>
      </c>
      <c r="D275" s="183">
        <v>4.9006790336763615</v>
      </c>
      <c r="E275" s="182">
        <v>6.3513513513513518</v>
      </c>
      <c r="F275" s="183">
        <f t="shared" si="52"/>
        <v>-6.1684226599480825</v>
      </c>
      <c r="G275" s="182">
        <v>8.6628930817610055</v>
      </c>
      <c r="H275" s="183">
        <f t="shared" si="52"/>
        <v>2.3115417304096537</v>
      </c>
      <c r="I275" s="182">
        <v>8.5167827739075364</v>
      </c>
      <c r="J275" s="183">
        <f t="shared" si="52"/>
        <v>-0.14611030785346912</v>
      </c>
      <c r="K275" s="182">
        <v>7.8153126826417303</v>
      </c>
      <c r="L275" s="183">
        <f t="shared" si="53"/>
        <v>-0.70147009126580606</v>
      </c>
      <c r="M275" s="182"/>
      <c r="N275" s="183"/>
    </row>
    <row r="276" spans="2:14" x14ac:dyDescent="0.25">
      <c r="B276" s="114" t="s">
        <v>77</v>
      </c>
      <c r="C276" s="182" t="s">
        <v>235</v>
      </c>
      <c r="D276" s="183" t="s">
        <v>235</v>
      </c>
      <c r="E276" s="182">
        <v>11.684210526315789</v>
      </c>
      <c r="F276" s="183" t="str">
        <f>IFERROR(E276-C276,"-")</f>
        <v>-</v>
      </c>
      <c r="G276" s="182">
        <v>8.3247999999999998</v>
      </c>
      <c r="H276" s="183">
        <f>IFERROR(G276-E276,"-")</f>
        <v>-3.3594105263157896</v>
      </c>
      <c r="I276" s="182">
        <v>8.1567436208991495</v>
      </c>
      <c r="J276" s="183">
        <f>IFERROR(I276-G276,"-")</f>
        <v>-0.16805637910085025</v>
      </c>
      <c r="K276" s="182">
        <v>9.968036529680365</v>
      </c>
      <c r="L276" s="183">
        <f>IFERROR(K276-I276,"-")</f>
        <v>1.8112929087812155</v>
      </c>
      <c r="M276" s="182"/>
      <c r="N276" s="183"/>
    </row>
    <row r="277" spans="2:14" x14ac:dyDescent="0.25">
      <c r="B277" s="114" t="s">
        <v>79</v>
      </c>
      <c r="C277" s="182" t="s">
        <v>235</v>
      </c>
      <c r="D277" s="183" t="s">
        <v>235</v>
      </c>
      <c r="E277" s="182">
        <v>9.1962616822429908</v>
      </c>
      <c r="F277" s="183" t="str">
        <f t="shared" ref="F277:J285" si="55">IFERROR(E277-C277,"-")</f>
        <v>-</v>
      </c>
      <c r="G277" s="182">
        <v>10.846153846153847</v>
      </c>
      <c r="H277" s="183">
        <f t="shared" si="55"/>
        <v>1.6498921639108559</v>
      </c>
      <c r="I277" s="182">
        <v>8.5614035087719298</v>
      </c>
      <c r="J277" s="183">
        <f t="shared" si="55"/>
        <v>-2.2847503373819169</v>
      </c>
      <c r="K277" s="182">
        <v>7.6216216216216219</v>
      </c>
      <c r="L277" s="183">
        <f t="shared" ref="L277:L285" si="56">IFERROR(K277-I277,"-")</f>
        <v>-0.93978188715030786</v>
      </c>
      <c r="M277" s="182"/>
      <c r="N277" s="183"/>
    </row>
    <row r="278" spans="2:14" x14ac:dyDescent="0.25">
      <c r="B278" s="114" t="s">
        <v>81</v>
      </c>
      <c r="C278" s="182" t="s">
        <v>235</v>
      </c>
      <c r="D278" s="183" t="s">
        <v>235</v>
      </c>
      <c r="E278" s="182">
        <v>22.302325581395348</v>
      </c>
      <c r="F278" s="183" t="str">
        <f t="shared" si="55"/>
        <v>-</v>
      </c>
      <c r="G278" s="182">
        <v>6.3466666666666667</v>
      </c>
      <c r="H278" s="183">
        <f t="shared" si="55"/>
        <v>-15.95565891472868</v>
      </c>
      <c r="I278" s="182">
        <v>7.9863945578231297</v>
      </c>
      <c r="J278" s="183">
        <f t="shared" si="55"/>
        <v>1.639727891156463</v>
      </c>
      <c r="K278" s="182">
        <v>6.5042016806722689</v>
      </c>
      <c r="L278" s="183">
        <f t="shared" si="56"/>
        <v>-1.4821928771508608</v>
      </c>
      <c r="M278" s="182"/>
      <c r="N278" s="183"/>
    </row>
    <row r="279" spans="2:14" x14ac:dyDescent="0.25">
      <c r="B279" s="114" t="s">
        <v>83</v>
      </c>
      <c r="C279" s="182" t="s">
        <v>235</v>
      </c>
      <c r="D279" s="183" t="s">
        <v>235</v>
      </c>
      <c r="E279" s="182">
        <v>5.3</v>
      </c>
      <c r="F279" s="183" t="str">
        <f t="shared" si="55"/>
        <v>-</v>
      </c>
      <c r="G279" s="182">
        <v>6.798657718120805</v>
      </c>
      <c r="H279" s="183">
        <f t="shared" si="55"/>
        <v>1.4986577181208052</v>
      </c>
      <c r="I279" s="182">
        <v>9.247863247863247</v>
      </c>
      <c r="J279" s="183">
        <f t="shared" si="55"/>
        <v>2.449205529742442</v>
      </c>
      <c r="K279" s="182">
        <v>6.2028985507246377</v>
      </c>
      <c r="L279" s="183">
        <f t="shared" si="56"/>
        <v>-3.0449646971386093</v>
      </c>
      <c r="M279" s="182"/>
      <c r="N279" s="183"/>
    </row>
    <row r="280" spans="2:14" x14ac:dyDescent="0.25">
      <c r="B280" s="114" t="s">
        <v>85</v>
      </c>
      <c r="C280" s="182">
        <v>2.9130434782608696</v>
      </c>
      <c r="D280" s="183">
        <v>-5.4715719063545158</v>
      </c>
      <c r="E280" s="182">
        <v>7.1923076923076925</v>
      </c>
      <c r="F280" s="183">
        <f t="shared" si="55"/>
        <v>4.2792642140468224</v>
      </c>
      <c r="G280" s="182">
        <v>6.5476190476190474</v>
      </c>
      <c r="H280" s="183">
        <f t="shared" si="55"/>
        <v>-0.64468864468864506</v>
      </c>
      <c r="I280" s="182">
        <v>6.8297872340425529</v>
      </c>
      <c r="J280" s="183">
        <f t="shared" si="55"/>
        <v>0.2821681864235055</v>
      </c>
      <c r="K280" s="182">
        <v>6.564516129032258</v>
      </c>
      <c r="L280" s="183">
        <f t="shared" si="56"/>
        <v>-0.26527110501029494</v>
      </c>
      <c r="M280" s="182"/>
      <c r="N280" s="183"/>
    </row>
    <row r="281" spans="2:14" x14ac:dyDescent="0.25">
      <c r="B281" s="114" t="s">
        <v>87</v>
      </c>
      <c r="C281" s="182">
        <v>5.583333333333333</v>
      </c>
      <c r="D281" s="183">
        <v>-2.8220720720720722</v>
      </c>
      <c r="E281" s="182">
        <v>7.2073170731707314</v>
      </c>
      <c r="F281" s="183">
        <f t="shared" si="55"/>
        <v>1.6239837398373984</v>
      </c>
      <c r="G281" s="182">
        <v>5.1529411764705886</v>
      </c>
      <c r="H281" s="183">
        <f t="shared" si="55"/>
        <v>-2.0543758967001429</v>
      </c>
      <c r="I281" s="182">
        <v>6.7029702970297027</v>
      </c>
      <c r="J281" s="183">
        <f t="shared" si="55"/>
        <v>1.5500291205591141</v>
      </c>
      <c r="K281" s="182">
        <v>9.7278106508875748</v>
      </c>
      <c r="L281" s="183">
        <f t="shared" si="56"/>
        <v>3.0248403538578721</v>
      </c>
      <c r="M281" s="182"/>
      <c r="N281" s="183"/>
    </row>
    <row r="282" spans="2:14" x14ac:dyDescent="0.25">
      <c r="B282" s="114" t="s">
        <v>89</v>
      </c>
      <c r="C282" s="182">
        <v>5.2173913043478262</v>
      </c>
      <c r="D282" s="183">
        <v>-1.373165425743788</v>
      </c>
      <c r="E282" s="182">
        <v>5.2435530085959883</v>
      </c>
      <c r="F282" s="183">
        <f t="shared" si="55"/>
        <v>2.616170424816211E-2</v>
      </c>
      <c r="G282" s="182">
        <v>6.176154672395274</v>
      </c>
      <c r="H282" s="183">
        <f t="shared" si="55"/>
        <v>0.93260166379928577</v>
      </c>
      <c r="I282" s="182">
        <v>6.3087885985748215</v>
      </c>
      <c r="J282" s="183">
        <f t="shared" si="55"/>
        <v>0.1326339261795475</v>
      </c>
      <c r="K282" s="182">
        <v>5.7896389324960751</v>
      </c>
      <c r="L282" s="183">
        <f t="shared" si="56"/>
        <v>-0.51914966607874646</v>
      </c>
      <c r="M282" s="182"/>
      <c r="N282" s="183"/>
    </row>
    <row r="283" spans="2:14" x14ac:dyDescent="0.25">
      <c r="B283" s="114" t="s">
        <v>91</v>
      </c>
      <c r="C283" s="182">
        <v>9.1702127659574462</v>
      </c>
      <c r="D283" s="183">
        <v>0.74318088450257491</v>
      </c>
      <c r="E283" s="182">
        <v>7.6117886178861784</v>
      </c>
      <c r="F283" s="183">
        <f t="shared" si="55"/>
        <v>-1.5584241480712677</v>
      </c>
      <c r="G283" s="182">
        <v>7.768624641833811</v>
      </c>
      <c r="H283" s="183">
        <f t="shared" si="55"/>
        <v>0.15683602394763252</v>
      </c>
      <c r="I283" s="182">
        <v>9.0835714285714282</v>
      </c>
      <c r="J283" s="183">
        <f t="shared" si="55"/>
        <v>1.3149467867376172</v>
      </c>
      <c r="K283" s="182">
        <v>8.9146238377007609</v>
      </c>
      <c r="L283" s="183">
        <f t="shared" si="56"/>
        <v>-0.16894759087066724</v>
      </c>
      <c r="M283" s="182"/>
      <c r="N283" s="183"/>
    </row>
    <row r="284" spans="2:14" x14ac:dyDescent="0.25">
      <c r="B284" s="114" t="s">
        <v>93</v>
      </c>
      <c r="C284" s="182">
        <v>9.0740740740740744</v>
      </c>
      <c r="D284" s="183">
        <v>0.26648723677974218</v>
      </c>
      <c r="E284" s="182">
        <v>9.2411575562700961</v>
      </c>
      <c r="F284" s="183">
        <f t="shared" si="55"/>
        <v>0.16708348219602165</v>
      </c>
      <c r="G284" s="182">
        <v>8.3785276073619634</v>
      </c>
      <c r="H284" s="183">
        <f t="shared" si="55"/>
        <v>-0.8626299489081326</v>
      </c>
      <c r="I284" s="182">
        <v>8.0674671240708982</v>
      </c>
      <c r="J284" s="183">
        <f t="shared" si="55"/>
        <v>-0.31106048329106528</v>
      </c>
      <c r="K284" s="182">
        <v>8.1882591093117405</v>
      </c>
      <c r="L284" s="183">
        <f t="shared" si="56"/>
        <v>0.12079198524084234</v>
      </c>
      <c r="M284" s="182"/>
      <c r="N284" s="183"/>
    </row>
    <row r="285" spans="2:14" ht="15.75" x14ac:dyDescent="0.25">
      <c r="B285" s="117" t="s">
        <v>30</v>
      </c>
      <c r="C285" s="184">
        <v>10.33891299855342</v>
      </c>
      <c r="D285" s="185">
        <v>1.7853131199402643</v>
      </c>
      <c r="E285" s="184">
        <v>7.9606243348705217</v>
      </c>
      <c r="F285" s="185">
        <f t="shared" si="55"/>
        <v>-2.3782886636828984</v>
      </c>
      <c r="G285" s="184">
        <v>7.8920910646137648</v>
      </c>
      <c r="H285" s="185">
        <f t="shared" si="55"/>
        <v>-6.8533270256756929E-2</v>
      </c>
      <c r="I285" s="184">
        <v>8.2016865776528469</v>
      </c>
      <c r="J285" s="185">
        <f t="shared" si="55"/>
        <v>0.30959551303908217</v>
      </c>
      <c r="K285" s="184">
        <v>8.3508018027460427</v>
      </c>
      <c r="L285" s="185">
        <f t="shared" si="56"/>
        <v>0.14911522509319575</v>
      </c>
      <c r="M285" s="184">
        <v>10.442715700141443</v>
      </c>
      <c r="N285" s="185">
        <v>1.6346060485138025</v>
      </c>
    </row>
    <row r="286" spans="2:14" ht="6" customHeight="1" x14ac:dyDescent="0.25"/>
    <row r="287" spans="2:14" x14ac:dyDescent="0.25">
      <c r="B287" s="105" t="s">
        <v>55</v>
      </c>
      <c r="C287" s="105"/>
      <c r="D287" s="105"/>
      <c r="E287" s="105"/>
      <c r="F287" s="105"/>
      <c r="G287" s="105"/>
      <c r="H287" s="105"/>
      <c r="I287" s="105"/>
      <c r="J287" s="105"/>
      <c r="K287" s="105"/>
      <c r="L287" s="105"/>
      <c r="M287" s="105"/>
      <c r="N287" s="105"/>
    </row>
    <row r="288" spans="2:14" x14ac:dyDescent="0.25">
      <c r="C288" s="120"/>
      <c r="K288" s="120"/>
      <c r="N288" s="79"/>
    </row>
    <row r="290" spans="3:13" x14ac:dyDescent="0.25">
      <c r="C290" s="79"/>
      <c r="E290" s="79"/>
      <c r="G290" s="79"/>
      <c r="I290" s="79"/>
      <c r="K290" s="79"/>
      <c r="M290" s="79"/>
    </row>
  </sheetData>
  <mergeCells count="104">
    <mergeCell ref="B268:N268"/>
    <mergeCell ref="C270:N270"/>
    <mergeCell ref="C271:D271"/>
    <mergeCell ref="E271:F271"/>
    <mergeCell ref="G271:H271"/>
    <mergeCell ref="I271:J271"/>
    <mergeCell ref="K271:L271"/>
    <mergeCell ref="M271:N271"/>
    <mergeCell ref="B246:N246"/>
    <mergeCell ref="C248:N248"/>
    <mergeCell ref="C249:D249"/>
    <mergeCell ref="E249:F249"/>
    <mergeCell ref="G249:H249"/>
    <mergeCell ref="I249:J249"/>
    <mergeCell ref="K249:L249"/>
    <mergeCell ref="M249:N249"/>
    <mergeCell ref="B224:N224"/>
    <mergeCell ref="C226:N226"/>
    <mergeCell ref="C227:D227"/>
    <mergeCell ref="E227:F227"/>
    <mergeCell ref="G227:H227"/>
    <mergeCell ref="I227:J227"/>
    <mergeCell ref="K227:L227"/>
    <mergeCell ref="M227:N227"/>
    <mergeCell ref="B202:N202"/>
    <mergeCell ref="C204:N204"/>
    <mergeCell ref="C205:D205"/>
    <mergeCell ref="E205:F205"/>
    <mergeCell ref="G205:H205"/>
    <mergeCell ref="I205:J205"/>
    <mergeCell ref="K205:L205"/>
    <mergeCell ref="M205:N205"/>
    <mergeCell ref="B180:N180"/>
    <mergeCell ref="C182:N182"/>
    <mergeCell ref="C183:D183"/>
    <mergeCell ref="E183:F183"/>
    <mergeCell ref="G183:H183"/>
    <mergeCell ref="I183:J183"/>
    <mergeCell ref="K183:L183"/>
    <mergeCell ref="M183:N183"/>
    <mergeCell ref="B158:N158"/>
    <mergeCell ref="C160:N160"/>
    <mergeCell ref="C161:D161"/>
    <mergeCell ref="E161:F161"/>
    <mergeCell ref="G161:H161"/>
    <mergeCell ref="I161:J161"/>
    <mergeCell ref="K161:L161"/>
    <mergeCell ref="M161:N161"/>
    <mergeCell ref="B136:N136"/>
    <mergeCell ref="C138:N138"/>
    <mergeCell ref="C139:D139"/>
    <mergeCell ref="E139:F139"/>
    <mergeCell ref="G139:H139"/>
    <mergeCell ref="I139:J139"/>
    <mergeCell ref="K139:L139"/>
    <mergeCell ref="M139:N139"/>
    <mergeCell ref="B114:N114"/>
    <mergeCell ref="C116:N116"/>
    <mergeCell ref="C117:D117"/>
    <mergeCell ref="E117:F117"/>
    <mergeCell ref="G117:H117"/>
    <mergeCell ref="I117:J117"/>
    <mergeCell ref="K117:L117"/>
    <mergeCell ref="M117:N117"/>
    <mergeCell ref="B92:N92"/>
    <mergeCell ref="C94:N94"/>
    <mergeCell ref="C95:D95"/>
    <mergeCell ref="E95:F95"/>
    <mergeCell ref="G95:H95"/>
    <mergeCell ref="I95:J95"/>
    <mergeCell ref="K95:L95"/>
    <mergeCell ref="M95:N95"/>
    <mergeCell ref="B70:N70"/>
    <mergeCell ref="C72:N72"/>
    <mergeCell ref="C73:D73"/>
    <mergeCell ref="E73:F73"/>
    <mergeCell ref="G73:H73"/>
    <mergeCell ref="I73:J73"/>
    <mergeCell ref="K73:L73"/>
    <mergeCell ref="M73:N73"/>
    <mergeCell ref="C50:N50"/>
    <mergeCell ref="C51:D51"/>
    <mergeCell ref="E51:F51"/>
    <mergeCell ref="G51:H51"/>
    <mergeCell ref="I51:J51"/>
    <mergeCell ref="K51:L51"/>
    <mergeCell ref="M51:N51"/>
    <mergeCell ref="B26:N26"/>
    <mergeCell ref="C28:N28"/>
    <mergeCell ref="C29:D29"/>
    <mergeCell ref="E29:F29"/>
    <mergeCell ref="G29:H29"/>
    <mergeCell ref="I29:J29"/>
    <mergeCell ref="K29:L29"/>
    <mergeCell ref="M29:N29"/>
    <mergeCell ref="B4:N4"/>
    <mergeCell ref="C6:N6"/>
    <mergeCell ref="C7:D7"/>
    <mergeCell ref="E7:F7"/>
    <mergeCell ref="G7:H7"/>
    <mergeCell ref="I7:J7"/>
    <mergeCell ref="K7:L7"/>
    <mergeCell ref="M7:N7"/>
    <mergeCell ref="B48:N48"/>
  </mergeCells>
  <pageMargins left="0.7" right="0.7" top="0.75" bottom="0.75" header="0.3" footer="0.3"/>
  <pageSetup paperSize="9"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A53065-57AF-4865-A287-E2EC37C6D3E7}">
  <sheetPr codeName="Hoja31">
    <tabColor theme="4" tint="0.79998168889431442"/>
  </sheetPr>
  <dimension ref="A4:O111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3" max="13" width="11.42578125" style="187"/>
    <col min="14" max="14" width="13.5703125" style="187" bestFit="1" customWidth="1"/>
  </cols>
  <sheetData>
    <row r="4" spans="1:15" ht="48.75" customHeight="1" thickBot="1" x14ac:dyDescent="0.3">
      <c r="B4" s="265" t="s">
        <v>286</v>
      </c>
      <c r="C4" s="265"/>
      <c r="D4" s="265"/>
      <c r="E4" s="265"/>
      <c r="F4" s="265"/>
      <c r="G4" s="265"/>
      <c r="H4" s="265"/>
      <c r="I4" s="265"/>
      <c r="J4" s="265"/>
      <c r="K4" s="265"/>
      <c r="L4" s="265"/>
      <c r="M4" s="265"/>
      <c r="N4" s="265"/>
      <c r="O4" s="1" t="s">
        <v>66</v>
      </c>
    </row>
    <row r="5" spans="1:15" ht="10.5" customHeight="1" thickBot="1" x14ac:dyDescent="0.3">
      <c r="B5" s="106"/>
      <c r="C5" s="186"/>
      <c r="D5" s="186"/>
      <c r="E5" s="186"/>
      <c r="F5" s="186"/>
      <c r="G5" s="186"/>
      <c r="H5" s="186"/>
      <c r="I5" s="186"/>
      <c r="J5" s="186"/>
      <c r="K5" s="186"/>
      <c r="L5" s="186"/>
      <c r="M5" s="39"/>
      <c r="N5" s="39"/>
      <c r="O5" s="1" t="s">
        <v>67</v>
      </c>
    </row>
    <row r="6" spans="1:15" ht="22.5" thickTop="1" thickBot="1" x14ac:dyDescent="0.3">
      <c r="B6" s="108" t="s">
        <v>30</v>
      </c>
      <c r="C6" s="300" t="s">
        <v>132</v>
      </c>
      <c r="D6" s="301"/>
      <c r="E6" s="301"/>
      <c r="F6" s="301"/>
      <c r="G6" s="301"/>
      <c r="H6" s="301"/>
      <c r="I6" s="301"/>
      <c r="J6" s="301"/>
      <c r="K6" s="301"/>
      <c r="L6" s="301"/>
      <c r="M6" s="301"/>
      <c r="N6" s="301"/>
    </row>
    <row r="7" spans="1:15" ht="22.5" thickTop="1" thickBot="1" x14ac:dyDescent="0.3">
      <c r="B7" s="109"/>
      <c r="C7" s="292">
        <v>2020</v>
      </c>
      <c r="D7" s="293"/>
      <c r="E7" s="294">
        <v>2021</v>
      </c>
      <c r="F7" s="293"/>
      <c r="G7" s="294">
        <v>2022</v>
      </c>
      <c r="H7" s="293"/>
      <c r="I7" s="294">
        <v>2023</v>
      </c>
      <c r="J7" s="293"/>
      <c r="K7" s="294">
        <v>2024</v>
      </c>
      <c r="L7" s="293"/>
      <c r="M7" s="294">
        <v>2025</v>
      </c>
      <c r="N7" s="295"/>
    </row>
    <row r="8" spans="1:15" ht="16.5" thickTop="1" thickBot="1" x14ac:dyDescent="0.3">
      <c r="B8" s="85"/>
      <c r="C8" s="111" t="s">
        <v>69</v>
      </c>
      <c r="D8" s="112" t="str">
        <f>CONCATENATE("dif ",RIGHT(C7,2),"/",RIGHT(C7-1,2))</f>
        <v>dif 20/19</v>
      </c>
      <c r="E8" s="113" t="s">
        <v>69</v>
      </c>
      <c r="F8" s="112" t="str">
        <f>CONCATENATE("dif ",RIGHT(E7,2),"/",RIGHT(C7,2))</f>
        <v>dif 21/20</v>
      </c>
      <c r="G8" s="113" t="s">
        <v>69</v>
      </c>
      <c r="H8" s="112" t="str">
        <f>CONCATENATE("dif ",RIGHT(G7,2),"/",RIGHT(E7,2))</f>
        <v>dif 22/21</v>
      </c>
      <c r="I8" s="113" t="s">
        <v>69</v>
      </c>
      <c r="J8" s="112" t="str">
        <f>CONCATENATE("dif ",RIGHT(I7,2),"/",RIGHT(G7,2))</f>
        <v>dif 23/22</v>
      </c>
      <c r="K8" s="113" t="s">
        <v>69</v>
      </c>
      <c r="L8" s="112" t="str">
        <f>CONCATENATE("dif ",RIGHT(K7,2),"/",RIGHT(I7,2))</f>
        <v>dif 24/23</v>
      </c>
      <c r="M8" s="113" t="s">
        <v>69</v>
      </c>
      <c r="N8" s="112" t="str">
        <f>CONCATENATE("def ",RIGHT(M7,2),"/",RIGHT(K7,2))</f>
        <v>def 25/24</v>
      </c>
    </row>
    <row r="9" spans="1:15" x14ac:dyDescent="0.25">
      <c r="A9" s="1" t="s">
        <v>70</v>
      </c>
      <c r="B9" s="114" t="s">
        <v>71</v>
      </c>
      <c r="C9" s="182">
        <v>8.049077653275921</v>
      </c>
      <c r="D9" s="183">
        <v>-0.46923937694151263</v>
      </c>
      <c r="E9" s="182">
        <v>6.4407994786009128</v>
      </c>
      <c r="F9" s="183">
        <f t="shared" ref="F9:J21" si="0">IFERROR(E9-C9,"-")</f>
        <v>-1.6082781746750081</v>
      </c>
      <c r="G9" s="182">
        <v>7.2707658219083227</v>
      </c>
      <c r="H9" s="183">
        <f t="shared" si="0"/>
        <v>0.82996634330740982</v>
      </c>
      <c r="I9" s="182">
        <v>7.6495140460657698</v>
      </c>
      <c r="J9" s="183">
        <f t="shared" si="0"/>
        <v>0.37874822415744713</v>
      </c>
      <c r="K9" s="182">
        <v>7.4799863525689734</v>
      </c>
      <c r="L9" s="183">
        <f t="shared" ref="L9:L21" si="1">IFERROR(K9-I9,"-")</f>
        <v>-0.16952769349679642</v>
      </c>
      <c r="M9" s="182">
        <v>7.5668246445497633</v>
      </c>
      <c r="N9" s="183">
        <f t="shared" ref="N9" si="2">IFERROR(M9-K9,"-")</f>
        <v>8.6838291980789961E-2</v>
      </c>
    </row>
    <row r="10" spans="1:15" x14ac:dyDescent="0.25">
      <c r="A10" s="1" t="s">
        <v>72</v>
      </c>
      <c r="B10" s="114" t="s">
        <v>73</v>
      </c>
      <c r="C10" s="182">
        <v>7.4743507451034814</v>
      </c>
      <c r="D10" s="183">
        <v>-0.73241368877153423</v>
      </c>
      <c r="E10" s="182">
        <v>4.1890667960536954</v>
      </c>
      <c r="F10" s="183">
        <f t="shared" si="0"/>
        <v>-3.285283949049786</v>
      </c>
      <c r="G10" s="182">
        <v>5.9475019322618365</v>
      </c>
      <c r="H10" s="183">
        <f t="shared" si="0"/>
        <v>1.7584351362081412</v>
      </c>
      <c r="I10" s="182">
        <v>7.1207352712306973</v>
      </c>
      <c r="J10" s="183">
        <f t="shared" si="0"/>
        <v>1.1732333389688607</v>
      </c>
      <c r="K10" s="182">
        <v>7.130149994765886</v>
      </c>
      <c r="L10" s="183">
        <f t="shared" si="1"/>
        <v>9.4147235351886849E-3</v>
      </c>
      <c r="M10" s="182"/>
      <c r="N10" s="183"/>
    </row>
    <row r="11" spans="1:15" x14ac:dyDescent="0.25">
      <c r="A11" s="1" t="s">
        <v>74</v>
      </c>
      <c r="B11" s="114" t="s">
        <v>75</v>
      </c>
      <c r="C11" s="182">
        <v>9.3527138440398492</v>
      </c>
      <c r="D11" s="183">
        <v>2.4588482731563737</v>
      </c>
      <c r="E11" s="182">
        <v>4.3917310759416024</v>
      </c>
      <c r="F11" s="183">
        <f t="shared" si="0"/>
        <v>-4.9609827680982468</v>
      </c>
      <c r="G11" s="182">
        <v>6.4008498583569402</v>
      </c>
      <c r="H11" s="183">
        <f t="shared" si="0"/>
        <v>2.0091187824153378</v>
      </c>
      <c r="I11" s="182">
        <v>6.5608761101911783</v>
      </c>
      <c r="J11" s="183">
        <f t="shared" si="0"/>
        <v>0.16002625183423813</v>
      </c>
      <c r="K11" s="182">
        <v>6.5438265292744955</v>
      </c>
      <c r="L11" s="183">
        <f t="shared" si="1"/>
        <v>-1.7049580916682849E-2</v>
      </c>
      <c r="M11" s="182"/>
      <c r="N11" s="183"/>
    </row>
    <row r="12" spans="1:15" x14ac:dyDescent="0.25">
      <c r="A12" s="1" t="s">
        <v>76</v>
      </c>
      <c r="B12" s="114" t="s">
        <v>77</v>
      </c>
      <c r="C12" s="182" t="s">
        <v>235</v>
      </c>
      <c r="D12" s="183" t="s">
        <v>235</v>
      </c>
      <c r="E12" s="182">
        <v>4.1749260355029589</v>
      </c>
      <c r="F12" s="183" t="str">
        <f t="shared" si="0"/>
        <v>-</v>
      </c>
      <c r="G12" s="182">
        <v>5.741822968081606</v>
      </c>
      <c r="H12" s="183">
        <f t="shared" si="0"/>
        <v>1.566896932578647</v>
      </c>
      <c r="I12" s="182">
        <v>5.8235402468226196</v>
      </c>
      <c r="J12" s="183">
        <f t="shared" si="0"/>
        <v>8.1717278741013644E-2</v>
      </c>
      <c r="K12" s="182">
        <v>6.1835149147193631</v>
      </c>
      <c r="L12" s="183">
        <f t="shared" si="1"/>
        <v>0.35997466789674348</v>
      </c>
      <c r="M12" s="182"/>
      <c r="N12" s="183"/>
    </row>
    <row r="13" spans="1:15" x14ac:dyDescent="0.25">
      <c r="A13" s="1" t="s">
        <v>78</v>
      </c>
      <c r="B13" s="114" t="s">
        <v>79</v>
      </c>
      <c r="C13" s="182" t="s">
        <v>235</v>
      </c>
      <c r="D13" s="183" t="s">
        <v>235</v>
      </c>
      <c r="E13" s="182">
        <v>3.6363131593559133</v>
      </c>
      <c r="F13" s="183" t="str">
        <f t="shared" si="0"/>
        <v>-</v>
      </c>
      <c r="G13" s="182">
        <v>5.7990297602388283</v>
      </c>
      <c r="H13" s="183">
        <f t="shared" si="0"/>
        <v>2.1627166008829151</v>
      </c>
      <c r="I13" s="182">
        <v>5.8624737512478911</v>
      </c>
      <c r="J13" s="183">
        <f t="shared" si="0"/>
        <v>6.3443991009062728E-2</v>
      </c>
      <c r="K13" s="182">
        <v>5.2644131577239994</v>
      </c>
      <c r="L13" s="183">
        <f t="shared" si="1"/>
        <v>-0.59806059352389163</v>
      </c>
      <c r="M13" s="182"/>
      <c r="N13" s="183"/>
    </row>
    <row r="14" spans="1:15" x14ac:dyDescent="0.25">
      <c r="A14" s="1" t="s">
        <v>80</v>
      </c>
      <c r="B14" s="114" t="s">
        <v>81</v>
      </c>
      <c r="C14" s="182" t="s">
        <v>235</v>
      </c>
      <c r="D14" s="183" t="s">
        <v>235</v>
      </c>
      <c r="E14" s="182">
        <v>4.4208528154098232</v>
      </c>
      <c r="F14" s="183" t="str">
        <f t="shared" si="0"/>
        <v>-</v>
      </c>
      <c r="G14" s="182">
        <v>5.7599316531396836</v>
      </c>
      <c r="H14" s="183">
        <f t="shared" si="0"/>
        <v>1.3390788377298604</v>
      </c>
      <c r="I14" s="182">
        <v>5.5192868356133662</v>
      </c>
      <c r="J14" s="183">
        <f t="shared" si="0"/>
        <v>-0.24064481752631739</v>
      </c>
      <c r="K14" s="182">
        <v>5.5214346527886038</v>
      </c>
      <c r="L14" s="183">
        <f t="shared" si="1"/>
        <v>2.1478171752375985E-3</v>
      </c>
      <c r="M14" s="182"/>
      <c r="N14" s="183"/>
    </row>
    <row r="15" spans="1:15" x14ac:dyDescent="0.25">
      <c r="A15" s="1" t="s">
        <v>82</v>
      </c>
      <c r="B15" s="114" t="s">
        <v>83</v>
      </c>
      <c r="C15" s="182" t="s">
        <v>235</v>
      </c>
      <c r="D15" s="183" t="s">
        <v>235</v>
      </c>
      <c r="E15" s="182">
        <v>5.4281900180396869</v>
      </c>
      <c r="F15" s="183" t="str">
        <f t="shared" si="0"/>
        <v>-</v>
      </c>
      <c r="G15" s="182">
        <v>5.6479330349294781</v>
      </c>
      <c r="H15" s="183">
        <f t="shared" si="0"/>
        <v>0.21974301688979114</v>
      </c>
      <c r="I15" s="182">
        <v>6.1112336431001788</v>
      </c>
      <c r="J15" s="183">
        <f t="shared" si="0"/>
        <v>0.46330060817070073</v>
      </c>
      <c r="K15" s="182">
        <v>5.9086820362473347</v>
      </c>
      <c r="L15" s="183">
        <f t="shared" si="1"/>
        <v>-0.20255160685284412</v>
      </c>
      <c r="M15" s="182"/>
      <c r="N15" s="183"/>
    </row>
    <row r="16" spans="1:15" x14ac:dyDescent="0.25">
      <c r="A16" s="1" t="s">
        <v>84</v>
      </c>
      <c r="B16" s="114" t="s">
        <v>85</v>
      </c>
      <c r="C16" s="182">
        <v>5.3355448053443908</v>
      </c>
      <c r="D16" s="183">
        <v>-1.4035250476934404</v>
      </c>
      <c r="E16" s="182">
        <v>5.6756335438484289</v>
      </c>
      <c r="F16" s="183">
        <f t="shared" si="0"/>
        <v>0.34008873850403809</v>
      </c>
      <c r="G16" s="182">
        <v>6.327599318610452</v>
      </c>
      <c r="H16" s="183">
        <f t="shared" si="0"/>
        <v>0.65196577476202311</v>
      </c>
      <c r="I16" s="182">
        <v>6.5705482072584172</v>
      </c>
      <c r="J16" s="183">
        <f t="shared" si="0"/>
        <v>0.24294888864796516</v>
      </c>
      <c r="K16" s="182">
        <v>6.1984073500011228</v>
      </c>
      <c r="L16" s="183">
        <f t="shared" si="1"/>
        <v>-0.3721408572572944</v>
      </c>
      <c r="M16" s="182"/>
      <c r="N16" s="183"/>
    </row>
    <row r="17" spans="1:15" x14ac:dyDescent="0.25">
      <c r="A17" s="1" t="s">
        <v>86</v>
      </c>
      <c r="B17" s="114" t="s">
        <v>87</v>
      </c>
      <c r="C17" s="182">
        <v>4.5957519503445132</v>
      </c>
      <c r="D17" s="183">
        <v>-2.2245685801087749</v>
      </c>
      <c r="E17" s="182">
        <v>5.8120697473102769</v>
      </c>
      <c r="F17" s="183">
        <f t="shared" si="0"/>
        <v>1.2163177969657637</v>
      </c>
      <c r="G17" s="182">
        <v>6.0842648738198255</v>
      </c>
      <c r="H17" s="183">
        <f t="shared" si="0"/>
        <v>0.27219512650954858</v>
      </c>
      <c r="I17" s="182">
        <v>6.1392882492936769</v>
      </c>
      <c r="J17" s="183">
        <f t="shared" si="0"/>
        <v>5.5023375473851388E-2</v>
      </c>
      <c r="K17" s="182">
        <v>6.305475355743452</v>
      </c>
      <c r="L17" s="183">
        <f t="shared" si="1"/>
        <v>0.16618710644977508</v>
      </c>
      <c r="M17" s="182"/>
      <c r="N17" s="183"/>
    </row>
    <row r="18" spans="1:15" x14ac:dyDescent="0.25">
      <c r="A18" s="1" t="s">
        <v>88</v>
      </c>
      <c r="B18" s="114" t="s">
        <v>89</v>
      </c>
      <c r="C18" s="182">
        <v>3.774981495188749</v>
      </c>
      <c r="D18" s="183">
        <v>-2.4913677158993073</v>
      </c>
      <c r="E18" s="182">
        <v>5.4833505174323136</v>
      </c>
      <c r="F18" s="183">
        <f t="shared" si="0"/>
        <v>1.7083690222435646</v>
      </c>
      <c r="G18" s="182">
        <v>5.8589082295741068</v>
      </c>
      <c r="H18" s="183">
        <f t="shared" si="0"/>
        <v>0.37555771214179323</v>
      </c>
      <c r="I18" s="182">
        <v>6.0482481494536486</v>
      </c>
      <c r="J18" s="183">
        <f t="shared" si="0"/>
        <v>0.1893399198795418</v>
      </c>
      <c r="K18" s="182">
        <v>5.9983995699607835</v>
      </c>
      <c r="L18" s="183">
        <f t="shared" si="1"/>
        <v>-4.9848579492865142E-2</v>
      </c>
      <c r="M18" s="182"/>
      <c r="N18" s="183"/>
    </row>
    <row r="19" spans="1:15" x14ac:dyDescent="0.25">
      <c r="A19" s="1" t="s">
        <v>90</v>
      </c>
      <c r="B19" s="114" t="s">
        <v>91</v>
      </c>
      <c r="C19" s="182">
        <v>5.968881685575365</v>
      </c>
      <c r="D19" s="183">
        <v>-0.9826427320880935</v>
      </c>
      <c r="E19" s="182">
        <v>6.385712479986517</v>
      </c>
      <c r="F19" s="183">
        <f t="shared" si="0"/>
        <v>0.41683079441115201</v>
      </c>
      <c r="G19" s="182">
        <v>6.5084693613162328</v>
      </c>
      <c r="H19" s="183">
        <f t="shared" si="0"/>
        <v>0.12275688132971574</v>
      </c>
      <c r="I19" s="182">
        <v>6.9049731284535616</v>
      </c>
      <c r="J19" s="183">
        <f t="shared" si="0"/>
        <v>0.39650376713732882</v>
      </c>
      <c r="K19" s="182">
        <v>6.5895340110527396</v>
      </c>
      <c r="L19" s="183">
        <f t="shared" si="1"/>
        <v>-0.31543911740082198</v>
      </c>
      <c r="M19" s="182"/>
      <c r="N19" s="183"/>
    </row>
    <row r="20" spans="1:15" x14ac:dyDescent="0.25">
      <c r="A20" s="1" t="s">
        <v>92</v>
      </c>
      <c r="B20" s="114" t="s">
        <v>93</v>
      </c>
      <c r="C20" s="182">
        <v>5.0320915619389588</v>
      </c>
      <c r="D20" s="183">
        <v>-2.4022549671265896</v>
      </c>
      <c r="E20" s="182">
        <v>6.4343276482978871</v>
      </c>
      <c r="F20" s="183">
        <f t="shared" si="0"/>
        <v>1.4022360863589283</v>
      </c>
      <c r="G20" s="182">
        <v>6.7109165302782321</v>
      </c>
      <c r="H20" s="183">
        <f t="shared" si="0"/>
        <v>0.27658888198034504</v>
      </c>
      <c r="I20" s="182">
        <v>7.0489614480564127</v>
      </c>
      <c r="J20" s="183">
        <f t="shared" si="0"/>
        <v>0.33804491777818058</v>
      </c>
      <c r="K20" s="182">
        <v>6.903225806451613</v>
      </c>
      <c r="L20" s="183">
        <f t="shared" si="1"/>
        <v>-0.14573564160479968</v>
      </c>
      <c r="M20" s="182"/>
      <c r="N20" s="183"/>
    </row>
    <row r="21" spans="1:15" ht="15.75" x14ac:dyDescent="0.25">
      <c r="A21" s="1" t="s">
        <v>0</v>
      </c>
      <c r="B21" s="117" t="s">
        <v>30</v>
      </c>
      <c r="C21" s="184">
        <v>6.8485442911860428</v>
      </c>
      <c r="D21" s="185">
        <v>-8.8938736294597476E-2</v>
      </c>
      <c r="E21" s="184">
        <v>5.5543189800228117</v>
      </c>
      <c r="F21" s="185">
        <f t="shared" si="0"/>
        <v>-1.2942253111632311</v>
      </c>
      <c r="G21" s="184">
        <v>6.1281889542046537</v>
      </c>
      <c r="H21" s="185">
        <f t="shared" si="0"/>
        <v>0.57386997418184205</v>
      </c>
      <c r="I21" s="184">
        <v>6.4214324031645127</v>
      </c>
      <c r="J21" s="185">
        <f t="shared" si="0"/>
        <v>0.29324344895985899</v>
      </c>
      <c r="K21" s="184">
        <v>6.2905465704823937</v>
      </c>
      <c r="L21" s="185">
        <f t="shared" si="1"/>
        <v>-0.13088583268211895</v>
      </c>
      <c r="M21" s="184">
        <v>7.5668246445497633</v>
      </c>
      <c r="N21" s="185">
        <v>8.6838291980789961E-2</v>
      </c>
    </row>
    <row r="22" spans="1:15" ht="6" customHeight="1" x14ac:dyDescent="0.25"/>
    <row r="23" spans="1:15" x14ac:dyDescent="0.25">
      <c r="B23" s="105" t="s">
        <v>55</v>
      </c>
      <c r="C23" s="188"/>
      <c r="D23" s="188"/>
      <c r="E23" s="188"/>
      <c r="F23" s="188"/>
      <c r="G23" s="188"/>
      <c r="H23" s="188"/>
      <c r="I23" s="188"/>
      <c r="J23" s="188"/>
      <c r="K23" s="188"/>
      <c r="L23" s="188"/>
      <c r="M23" s="188"/>
      <c r="N23" s="188"/>
    </row>
    <row r="24" spans="1:15" x14ac:dyDescent="0.25">
      <c r="N24" s="189"/>
    </row>
    <row r="26" spans="1:15" ht="48.75" customHeight="1" thickBot="1" x14ac:dyDescent="0.3">
      <c r="B26" s="265" t="s">
        <v>298</v>
      </c>
      <c r="C26" s="265"/>
      <c r="D26" s="265"/>
      <c r="E26" s="265"/>
      <c r="F26" s="265"/>
      <c r="G26" s="265"/>
      <c r="H26" s="265"/>
      <c r="I26" s="265"/>
      <c r="J26" s="265"/>
      <c r="K26" s="265"/>
      <c r="L26" s="265"/>
      <c r="M26" s="265"/>
      <c r="N26" s="265"/>
      <c r="O26" s="1" t="s">
        <v>94</v>
      </c>
    </row>
    <row r="27" spans="1:15" ht="10.5" customHeight="1" thickBot="1" x14ac:dyDescent="0.3">
      <c r="B27" s="106"/>
      <c r="C27" s="186"/>
      <c r="D27" s="186"/>
      <c r="E27" s="186"/>
      <c r="F27" s="186"/>
      <c r="G27" s="186"/>
      <c r="H27" s="186"/>
      <c r="I27" s="186"/>
      <c r="J27" s="186"/>
      <c r="K27" s="186"/>
      <c r="L27" s="186"/>
      <c r="M27" s="39"/>
      <c r="N27" s="39"/>
      <c r="O27" s="1" t="s">
        <v>95</v>
      </c>
    </row>
    <row r="28" spans="1:15" ht="22.5" thickTop="1" thickBot="1" x14ac:dyDescent="0.3">
      <c r="B28" s="121" t="s">
        <v>96</v>
      </c>
      <c r="C28" s="300" t="s">
        <v>137</v>
      </c>
      <c r="D28" s="301"/>
      <c r="E28" s="301"/>
      <c r="F28" s="301"/>
      <c r="G28" s="301"/>
      <c r="H28" s="301"/>
      <c r="I28" s="301"/>
      <c r="J28" s="301"/>
      <c r="K28" s="301"/>
      <c r="L28" s="301"/>
      <c r="M28" s="301"/>
      <c r="N28" s="301"/>
    </row>
    <row r="29" spans="1:15" ht="22.5" thickTop="1" thickBot="1" x14ac:dyDescent="0.3">
      <c r="B29" s="109"/>
      <c r="C29" s="292">
        <v>2020</v>
      </c>
      <c r="D29" s="293"/>
      <c r="E29" s="294">
        <v>2021</v>
      </c>
      <c r="F29" s="293"/>
      <c r="G29" s="294">
        <v>2022</v>
      </c>
      <c r="H29" s="293"/>
      <c r="I29" s="294">
        <v>2023</v>
      </c>
      <c r="J29" s="293"/>
      <c r="K29" s="294">
        <v>2024</v>
      </c>
      <c r="L29" s="293"/>
      <c r="M29" s="294">
        <f>M$7</f>
        <v>2025</v>
      </c>
      <c r="N29" s="295"/>
    </row>
    <row r="30" spans="1:15" ht="16.5" thickTop="1" thickBot="1" x14ac:dyDescent="0.3">
      <c r="B30" s="85"/>
      <c r="C30" s="111" t="s">
        <v>69</v>
      </c>
      <c r="D30" s="112" t="str">
        <f>CONCATENATE("dif ",RIGHT(C29,2),"/",RIGHT(C29-1,2))</f>
        <v>dif 20/19</v>
      </c>
      <c r="E30" s="113" t="s">
        <v>69</v>
      </c>
      <c r="F30" s="112" t="str">
        <f>CONCATENATE("dif ",RIGHT(E29,2),"/",RIGHT(C29,2))</f>
        <v>dif 21/20</v>
      </c>
      <c r="G30" s="113" t="s">
        <v>69</v>
      </c>
      <c r="H30" s="112" t="str">
        <f>CONCATENATE("dif ",RIGHT(G29,2),"/",RIGHT(E29,2))</f>
        <v>dif 22/21</v>
      </c>
      <c r="I30" s="113" t="s">
        <v>69</v>
      </c>
      <c r="J30" s="112" t="str">
        <f>CONCATENATE("dif ",RIGHT(I29,2),"/",RIGHT(G29,2))</f>
        <v>dif 23/22</v>
      </c>
      <c r="K30" s="113" t="s">
        <v>69</v>
      </c>
      <c r="L30" s="112" t="str">
        <f>CONCATENATE("dif ",RIGHT(K29,2),"/",RIGHT(I29,2))</f>
        <v>dif 24/23</v>
      </c>
      <c r="M30" s="113" t="s">
        <v>69</v>
      </c>
      <c r="N30" s="112" t="str">
        <f>CONCATENATE("def ",RIGHT(M29,2),"/",RIGHT(K29,2))</f>
        <v>def 25/24</v>
      </c>
    </row>
    <row r="31" spans="1:15" x14ac:dyDescent="0.25">
      <c r="B31" s="114" t="s">
        <v>71</v>
      </c>
      <c r="C31" s="182">
        <v>7.5954477961068285</v>
      </c>
      <c r="D31" s="183">
        <v>-0.5383361966472755</v>
      </c>
      <c r="E31" s="182">
        <v>5.8213649851632043</v>
      </c>
      <c r="F31" s="183">
        <f t="shared" ref="F31:J43" si="3">IFERROR(E31-C31,"-")</f>
        <v>-1.7740828109436242</v>
      </c>
      <c r="G31" s="182">
        <v>6.9119119825093449</v>
      </c>
      <c r="H31" s="183">
        <f t="shared" si="3"/>
        <v>1.0905469973461406</v>
      </c>
      <c r="I31" s="182">
        <v>7.2951352442470734</v>
      </c>
      <c r="J31" s="183">
        <f t="shared" si="3"/>
        <v>0.38322326173772847</v>
      </c>
      <c r="K31" s="182">
        <v>7.1438314612938214</v>
      </c>
      <c r="L31" s="183">
        <f t="shared" ref="L31:L43" si="4">IFERROR(K31-I31,"-")</f>
        <v>-0.15130378295325198</v>
      </c>
      <c r="M31" s="182">
        <v>7.2497312464697625</v>
      </c>
      <c r="N31" s="183">
        <f>IFERROR(M31-K31,"-")</f>
        <v>0.10589978517594112</v>
      </c>
    </row>
    <row r="32" spans="1:15" x14ac:dyDescent="0.25">
      <c r="B32" s="114" t="s">
        <v>73</v>
      </c>
      <c r="C32" s="182">
        <v>6.9212380158399336</v>
      </c>
      <c r="D32" s="183">
        <v>-0.84608200100059605</v>
      </c>
      <c r="E32" s="182">
        <v>3.6173596909793231</v>
      </c>
      <c r="F32" s="183">
        <f t="shared" si="3"/>
        <v>-3.3038783248606105</v>
      </c>
      <c r="G32" s="182">
        <v>5.5299104363235791</v>
      </c>
      <c r="H32" s="183">
        <f t="shared" si="3"/>
        <v>1.9125507453442561</v>
      </c>
      <c r="I32" s="182">
        <v>6.6877820526151606</v>
      </c>
      <c r="J32" s="183">
        <f t="shared" si="3"/>
        <v>1.1578716162915814</v>
      </c>
      <c r="K32" s="182">
        <v>6.8093968971177432</v>
      </c>
      <c r="L32" s="183">
        <f t="shared" si="4"/>
        <v>0.12161484450258264</v>
      </c>
      <c r="M32" s="182"/>
      <c r="N32" s="183"/>
    </row>
    <row r="33" spans="2:15" x14ac:dyDescent="0.25">
      <c r="B33" s="114" t="s">
        <v>75</v>
      </c>
      <c r="C33" s="182">
        <v>8.5903753407422947</v>
      </c>
      <c r="D33" s="183">
        <v>1.8501476013359106</v>
      </c>
      <c r="E33" s="182">
        <v>3.9838980207983896</v>
      </c>
      <c r="F33" s="183">
        <f t="shared" si="3"/>
        <v>-4.6064773199439051</v>
      </c>
      <c r="G33" s="182">
        <v>6.1933873720136523</v>
      </c>
      <c r="H33" s="183">
        <f t="shared" si="3"/>
        <v>2.2094893512152627</v>
      </c>
      <c r="I33" s="182">
        <v>6.3821791406468451</v>
      </c>
      <c r="J33" s="183">
        <f t="shared" si="3"/>
        <v>0.1887917686331928</v>
      </c>
      <c r="K33" s="182">
        <v>6.3870607741853203</v>
      </c>
      <c r="L33" s="183">
        <f t="shared" si="4"/>
        <v>4.8816335384751497E-3</v>
      </c>
      <c r="M33" s="182"/>
      <c r="N33" s="183"/>
    </row>
    <row r="34" spans="2:15" x14ac:dyDescent="0.25">
      <c r="B34" s="114" t="s">
        <v>77</v>
      </c>
      <c r="C34" s="182" t="s">
        <v>235</v>
      </c>
      <c r="D34" s="183" t="s">
        <v>235</v>
      </c>
      <c r="E34" s="182">
        <v>3.6613133476088509</v>
      </c>
      <c r="F34" s="183" t="str">
        <f t="shared" si="3"/>
        <v>-</v>
      </c>
      <c r="G34" s="182">
        <v>5.6651906319189127</v>
      </c>
      <c r="H34" s="183">
        <f t="shared" si="3"/>
        <v>2.0038772843100618</v>
      </c>
      <c r="I34" s="182">
        <v>5.8500116090085905</v>
      </c>
      <c r="J34" s="183">
        <f t="shared" si="3"/>
        <v>0.18482097708967782</v>
      </c>
      <c r="K34" s="182">
        <v>6.3142779576877581</v>
      </c>
      <c r="L34" s="183">
        <f t="shared" si="4"/>
        <v>0.46426634867916761</v>
      </c>
      <c r="M34" s="182"/>
      <c r="N34" s="183"/>
    </row>
    <row r="35" spans="2:15" x14ac:dyDescent="0.25">
      <c r="B35" s="114" t="s">
        <v>79</v>
      </c>
      <c r="C35" s="182" t="s">
        <v>235</v>
      </c>
      <c r="D35" s="183" t="s">
        <v>235</v>
      </c>
      <c r="E35" s="182">
        <v>3.2940076307324007</v>
      </c>
      <c r="F35" s="183" t="str">
        <f t="shared" si="3"/>
        <v>-</v>
      </c>
      <c r="G35" s="182">
        <v>5.8009572649572654</v>
      </c>
      <c r="H35" s="183">
        <f t="shared" si="3"/>
        <v>2.5069496342248647</v>
      </c>
      <c r="I35" s="182">
        <v>5.9152615464228733</v>
      </c>
      <c r="J35" s="183">
        <f t="shared" si="3"/>
        <v>0.11430428146560789</v>
      </c>
      <c r="K35" s="182">
        <v>5.4284928225793401</v>
      </c>
      <c r="L35" s="183">
        <f t="shared" si="4"/>
        <v>-0.4867687238435332</v>
      </c>
      <c r="M35" s="182"/>
      <c r="N35" s="183"/>
    </row>
    <row r="36" spans="2:15" x14ac:dyDescent="0.25">
      <c r="B36" s="114" t="s">
        <v>81</v>
      </c>
      <c r="C36" s="182" t="s">
        <v>235</v>
      </c>
      <c r="D36" s="183" t="s">
        <v>235</v>
      </c>
      <c r="E36" s="182">
        <v>4.3794594594594596</v>
      </c>
      <c r="F36" s="183" t="str">
        <f t="shared" si="3"/>
        <v>-</v>
      </c>
      <c r="G36" s="182">
        <v>5.7954434531362864</v>
      </c>
      <c r="H36" s="183">
        <f t="shared" si="3"/>
        <v>1.4159839936768268</v>
      </c>
      <c r="I36" s="182">
        <v>5.5275941664043646</v>
      </c>
      <c r="J36" s="183">
        <f t="shared" si="3"/>
        <v>-0.26784928673192177</v>
      </c>
      <c r="K36" s="182">
        <v>5.6843582161607626</v>
      </c>
      <c r="L36" s="183">
        <f t="shared" si="4"/>
        <v>0.15676404975639802</v>
      </c>
      <c r="M36" s="182"/>
      <c r="N36" s="183"/>
    </row>
    <row r="37" spans="2:15" x14ac:dyDescent="0.25">
      <c r="B37" s="114" t="s">
        <v>83</v>
      </c>
      <c r="C37" s="182" t="s">
        <v>235</v>
      </c>
      <c r="D37" s="183" t="s">
        <v>235</v>
      </c>
      <c r="E37" s="182">
        <v>5.2023697794462693</v>
      </c>
      <c r="F37" s="183" t="str">
        <f t="shared" si="3"/>
        <v>-</v>
      </c>
      <c r="G37" s="182">
        <v>5.6538348920925268</v>
      </c>
      <c r="H37" s="183">
        <f t="shared" si="3"/>
        <v>0.45146511264625744</v>
      </c>
      <c r="I37" s="182">
        <v>5.9000261028452101</v>
      </c>
      <c r="J37" s="183">
        <f t="shared" si="3"/>
        <v>0.24619121075268335</v>
      </c>
      <c r="K37" s="182">
        <v>5.9975975975975979</v>
      </c>
      <c r="L37" s="183">
        <f t="shared" si="4"/>
        <v>9.75714947523878E-2</v>
      </c>
      <c r="M37" s="182"/>
      <c r="N37" s="183"/>
    </row>
    <row r="38" spans="2:15" x14ac:dyDescent="0.25">
      <c r="B38" s="114" t="s">
        <v>85</v>
      </c>
      <c r="C38" s="182">
        <v>5.0789443289443286</v>
      </c>
      <c r="D38" s="183">
        <v>-1.5210981866719839</v>
      </c>
      <c r="E38" s="182">
        <v>5.5314553990610325</v>
      </c>
      <c r="F38" s="183">
        <f t="shared" si="3"/>
        <v>0.45251107011670388</v>
      </c>
      <c r="G38" s="182">
        <v>6.3208030592734223</v>
      </c>
      <c r="H38" s="183">
        <f t="shared" si="3"/>
        <v>0.78934766021238989</v>
      </c>
      <c r="I38" s="182">
        <v>6.5134050880626226</v>
      </c>
      <c r="J38" s="183">
        <f t="shared" si="3"/>
        <v>0.1926020287892003</v>
      </c>
      <c r="K38" s="182">
        <v>6.1746327130264449</v>
      </c>
      <c r="L38" s="183">
        <f t="shared" si="4"/>
        <v>-0.33877237503617774</v>
      </c>
      <c r="M38" s="182"/>
      <c r="N38" s="183"/>
    </row>
    <row r="39" spans="2:15" x14ac:dyDescent="0.25">
      <c r="B39" s="114" t="s">
        <v>87</v>
      </c>
      <c r="C39" s="182">
        <v>4.4273724983860552</v>
      </c>
      <c r="D39" s="183">
        <v>-2.2681806239648914</v>
      </c>
      <c r="E39" s="182">
        <v>5.693527794146533</v>
      </c>
      <c r="F39" s="183">
        <f t="shared" si="3"/>
        <v>1.2661552957604778</v>
      </c>
      <c r="G39" s="182">
        <v>6.0728080637094601</v>
      </c>
      <c r="H39" s="183">
        <f t="shared" si="3"/>
        <v>0.37928026956292715</v>
      </c>
      <c r="I39" s="182">
        <v>6.2223256455338367</v>
      </c>
      <c r="J39" s="183">
        <f t="shared" si="3"/>
        <v>0.14951758182437658</v>
      </c>
      <c r="K39" s="182">
        <v>6.434873568898773</v>
      </c>
      <c r="L39" s="183">
        <f t="shared" si="4"/>
        <v>0.21254792336493633</v>
      </c>
      <c r="M39" s="182"/>
      <c r="N39" s="183"/>
    </row>
    <row r="40" spans="2:15" x14ac:dyDescent="0.25">
      <c r="B40" s="114" t="s">
        <v>89</v>
      </c>
      <c r="C40" s="182">
        <v>3.842143638352169</v>
      </c>
      <c r="D40" s="183">
        <v>-2.1808302202366314</v>
      </c>
      <c r="E40" s="182">
        <v>5.4093930200782756</v>
      </c>
      <c r="F40" s="183">
        <f t="shared" si="3"/>
        <v>1.5672493817261066</v>
      </c>
      <c r="G40" s="182">
        <v>5.8925504254648597</v>
      </c>
      <c r="H40" s="183">
        <f t="shared" si="3"/>
        <v>0.48315740538658414</v>
      </c>
      <c r="I40" s="182">
        <v>5.9883141112618725</v>
      </c>
      <c r="J40" s="183">
        <f t="shared" si="3"/>
        <v>9.5763685797012776E-2</v>
      </c>
      <c r="K40" s="182">
        <v>6.0413623109988874</v>
      </c>
      <c r="L40" s="183">
        <f t="shared" si="4"/>
        <v>5.3048199737014912E-2</v>
      </c>
      <c r="M40" s="182"/>
      <c r="N40" s="183"/>
    </row>
    <row r="41" spans="2:15" x14ac:dyDescent="0.25">
      <c r="B41" s="114" t="s">
        <v>91</v>
      </c>
      <c r="C41" s="182">
        <v>6.1645193260654114</v>
      </c>
      <c r="D41" s="183">
        <v>-0.46315552937269366</v>
      </c>
      <c r="E41" s="182">
        <v>6.1288739735082505</v>
      </c>
      <c r="F41" s="183">
        <f t="shared" si="3"/>
        <v>-3.5645352557160948E-2</v>
      </c>
      <c r="G41" s="182">
        <v>6.2818283121741549</v>
      </c>
      <c r="H41" s="183">
        <f t="shared" si="3"/>
        <v>0.15295433866590447</v>
      </c>
      <c r="I41" s="182">
        <v>6.5813258435058151</v>
      </c>
      <c r="J41" s="183">
        <f t="shared" si="3"/>
        <v>0.29949753133166013</v>
      </c>
      <c r="K41" s="182">
        <v>6.393363528948405</v>
      </c>
      <c r="L41" s="183">
        <f t="shared" si="4"/>
        <v>-0.18796231455741008</v>
      </c>
      <c r="M41" s="182"/>
      <c r="N41" s="183"/>
    </row>
    <row r="42" spans="2:15" x14ac:dyDescent="0.25">
      <c r="B42" s="114" t="s">
        <v>93</v>
      </c>
      <c r="C42" s="182">
        <v>5.060939794419971</v>
      </c>
      <c r="D42" s="183">
        <v>-2.0386770638175769</v>
      </c>
      <c r="E42" s="182">
        <v>6.1506012109497146</v>
      </c>
      <c r="F42" s="183">
        <f t="shared" si="3"/>
        <v>1.0896614165297436</v>
      </c>
      <c r="G42" s="182">
        <v>6.3477289055639821</v>
      </c>
      <c r="H42" s="183">
        <f t="shared" si="3"/>
        <v>0.19712769461426749</v>
      </c>
      <c r="I42" s="182">
        <v>6.8286991646731243</v>
      </c>
      <c r="J42" s="183">
        <f t="shared" si="3"/>
        <v>0.48097025910914226</v>
      </c>
      <c r="K42" s="182">
        <v>6.6342549078721031</v>
      </c>
      <c r="L42" s="183">
        <f t="shared" si="4"/>
        <v>-0.19444425680102118</v>
      </c>
      <c r="M42" s="182"/>
      <c r="N42" s="183"/>
    </row>
    <row r="43" spans="2:15" ht="15.75" x14ac:dyDescent="0.25">
      <c r="B43" s="117" t="s">
        <v>30</v>
      </c>
      <c r="C43" s="184">
        <v>6.5331335331335332</v>
      </c>
      <c r="D43" s="185">
        <v>-0.20289109065650024</v>
      </c>
      <c r="E43" s="184">
        <v>5.3807667498667859</v>
      </c>
      <c r="F43" s="185">
        <f t="shared" si="3"/>
        <v>-1.1523667832667472</v>
      </c>
      <c r="G43" s="184">
        <v>6.0107846207376481</v>
      </c>
      <c r="H43" s="185">
        <f t="shared" si="3"/>
        <v>0.63001787087086214</v>
      </c>
      <c r="I43" s="184">
        <v>6.292885291918461</v>
      </c>
      <c r="J43" s="185">
        <f t="shared" si="3"/>
        <v>0.28210067118081295</v>
      </c>
      <c r="K43" s="184">
        <v>6.2611466687178075</v>
      </c>
      <c r="L43" s="185">
        <f t="shared" si="4"/>
        <v>-3.1738623200653571E-2</v>
      </c>
      <c r="M43" s="184">
        <v>7.2497312464697625</v>
      </c>
      <c r="N43" s="185">
        <v>0.10589978517594112</v>
      </c>
    </row>
    <row r="44" spans="2:15" ht="6" customHeight="1" x14ac:dyDescent="0.25"/>
    <row r="45" spans="2:15" x14ac:dyDescent="0.25">
      <c r="B45" s="105" t="s">
        <v>55</v>
      </c>
      <c r="C45" s="188"/>
      <c r="D45" s="188"/>
      <c r="E45" s="188"/>
      <c r="F45" s="188"/>
      <c r="G45" s="188"/>
      <c r="H45" s="188"/>
      <c r="I45" s="188"/>
      <c r="J45" s="188"/>
      <c r="K45" s="188"/>
      <c r="L45" s="188"/>
      <c r="M45" s="188"/>
      <c r="N45" s="188"/>
    </row>
    <row r="48" spans="2:15" ht="48.75" customHeight="1" thickBot="1" x14ac:dyDescent="0.3">
      <c r="B48" s="265" t="s">
        <v>299</v>
      </c>
      <c r="C48" s="265"/>
      <c r="D48" s="265"/>
      <c r="E48" s="265"/>
      <c r="F48" s="265"/>
      <c r="G48" s="265"/>
      <c r="H48" s="265"/>
      <c r="I48" s="265"/>
      <c r="J48" s="265"/>
      <c r="K48" s="265"/>
      <c r="L48" s="265"/>
      <c r="M48" s="265"/>
      <c r="N48" s="265"/>
      <c r="O48" s="1" t="s">
        <v>98</v>
      </c>
    </row>
    <row r="49" spans="1:15" ht="10.5" customHeight="1" thickBot="1" x14ac:dyDescent="0.3">
      <c r="B49" s="106"/>
      <c r="C49" s="186"/>
      <c r="D49" s="186"/>
      <c r="E49" s="186"/>
      <c r="F49" s="186"/>
      <c r="G49" s="186"/>
      <c r="H49" s="186"/>
      <c r="I49" s="186"/>
      <c r="J49" s="186"/>
      <c r="K49" s="186"/>
      <c r="L49" s="186"/>
      <c r="M49" s="39"/>
      <c r="N49" s="39"/>
      <c r="O49" s="1" t="s">
        <v>99</v>
      </c>
    </row>
    <row r="50" spans="1:15" ht="22.5" thickTop="1" thickBot="1" x14ac:dyDescent="0.3">
      <c r="B50" s="109"/>
      <c r="C50" s="300" t="s">
        <v>61</v>
      </c>
      <c r="D50" s="301"/>
      <c r="E50" s="301"/>
      <c r="F50" s="301"/>
      <c r="G50" s="301"/>
      <c r="H50" s="301"/>
      <c r="I50" s="301"/>
      <c r="J50" s="301"/>
      <c r="K50" s="301"/>
      <c r="L50" s="301"/>
      <c r="M50" s="301"/>
      <c r="N50" s="301"/>
    </row>
    <row r="51" spans="1:15" ht="22.5" thickTop="1" thickBot="1" x14ac:dyDescent="0.3">
      <c r="B51" s="109"/>
      <c r="C51" s="292">
        <v>2020</v>
      </c>
      <c r="D51" s="293"/>
      <c r="E51" s="294">
        <v>2021</v>
      </c>
      <c r="F51" s="293"/>
      <c r="G51" s="294">
        <v>2022</v>
      </c>
      <c r="H51" s="293"/>
      <c r="I51" s="294">
        <v>2023</v>
      </c>
      <c r="J51" s="293"/>
      <c r="K51" s="294">
        <v>2024</v>
      </c>
      <c r="L51" s="293"/>
      <c r="M51" s="294">
        <f>M$7</f>
        <v>2025</v>
      </c>
      <c r="N51" s="295"/>
    </row>
    <row r="52" spans="1:15" ht="16.5" thickTop="1" thickBot="1" x14ac:dyDescent="0.3">
      <c r="B52" s="85"/>
      <c r="C52" s="111" t="s">
        <v>69</v>
      </c>
      <c r="D52" s="112" t="str">
        <f>CONCATENATE("dif ",RIGHT(C51,2),"/",RIGHT(C51-1,2))</f>
        <v>dif 20/19</v>
      </c>
      <c r="E52" s="113" t="s">
        <v>69</v>
      </c>
      <c r="F52" s="112" t="str">
        <f>CONCATENATE("dif ",RIGHT(E51,2),"/",RIGHT(C51,2))</f>
        <v>dif 21/20</v>
      </c>
      <c r="G52" s="113" t="s">
        <v>69</v>
      </c>
      <c r="H52" s="112" t="str">
        <f>CONCATENATE("dif ",RIGHT(G51,2),"/",RIGHT(E51,2))</f>
        <v>dif 22/21</v>
      </c>
      <c r="I52" s="113" t="s">
        <v>69</v>
      </c>
      <c r="J52" s="112" t="str">
        <f>CONCATENATE("dif ",RIGHT(I51,2),"/",RIGHT(G51,2))</f>
        <v>dif 23/22</v>
      </c>
      <c r="K52" s="113" t="s">
        <v>69</v>
      </c>
      <c r="L52" s="112" t="str">
        <f>CONCATENATE("dif ",RIGHT(K51,2),"/",RIGHT(I51,2))</f>
        <v>dif 24/23</v>
      </c>
      <c r="M52" s="113" t="s">
        <v>69</v>
      </c>
      <c r="N52" s="112" t="str">
        <f>CONCATENATE("def ",RIGHT(M51,2),"/",RIGHT(K51,2))</f>
        <v>def 25/24</v>
      </c>
    </row>
    <row r="53" spans="1:15" x14ac:dyDescent="0.25">
      <c r="A53" s="1"/>
      <c r="B53" s="114" t="s">
        <v>71</v>
      </c>
      <c r="C53" s="182">
        <v>7.8575377202992263</v>
      </c>
      <c r="D53" s="183">
        <v>-0.55259881021936064</v>
      </c>
      <c r="E53" s="182">
        <v>6.7388571428571424</v>
      </c>
      <c r="F53" s="183">
        <f t="shared" ref="F53:J65" si="5">IFERROR(E53-C53,"-")</f>
        <v>-1.1186805774420838</v>
      </c>
      <c r="G53" s="182">
        <v>7.3537526837513134</v>
      </c>
      <c r="H53" s="183">
        <f t="shared" si="5"/>
        <v>0.61489554089417098</v>
      </c>
      <c r="I53" s="182">
        <v>7.4522752628955304</v>
      </c>
      <c r="J53" s="183">
        <f t="shared" si="5"/>
        <v>9.8522579144217026E-2</v>
      </c>
      <c r="K53" s="182">
        <v>7.2061604213434638</v>
      </c>
      <c r="L53" s="183">
        <f t="shared" ref="L53:L65" si="6">IFERROR(K53-I53,"-")</f>
        <v>-0.24611484155206664</v>
      </c>
      <c r="M53" s="182">
        <v>7.4404097844724673</v>
      </c>
      <c r="N53" s="183">
        <f>IFERROR(M53-K53,"-")</f>
        <v>0.23424936312900346</v>
      </c>
    </row>
    <row r="54" spans="1:15" x14ac:dyDescent="0.25">
      <c r="A54" s="1"/>
      <c r="B54" s="114" t="s">
        <v>73</v>
      </c>
      <c r="C54" s="182">
        <v>7.1317147822478146</v>
      </c>
      <c r="D54" s="183">
        <v>-0.83357721052762201</v>
      </c>
      <c r="E54" s="182">
        <v>3.9739895958383356</v>
      </c>
      <c r="F54" s="183">
        <f t="shared" si="5"/>
        <v>-3.1577251864094791</v>
      </c>
      <c r="G54" s="182">
        <v>5.9991786188159475</v>
      </c>
      <c r="H54" s="183">
        <f t="shared" si="5"/>
        <v>2.0251890229776119</v>
      </c>
      <c r="I54" s="182">
        <v>6.8233836393824499</v>
      </c>
      <c r="J54" s="183">
        <f t="shared" si="5"/>
        <v>0.82420502056650236</v>
      </c>
      <c r="K54" s="182">
        <v>6.9122049926699844</v>
      </c>
      <c r="L54" s="183">
        <f t="shared" si="6"/>
        <v>8.8821353287534599E-2</v>
      </c>
      <c r="M54" s="182"/>
      <c r="N54" s="183"/>
    </row>
    <row r="55" spans="1:15" x14ac:dyDescent="0.25">
      <c r="A55" s="1"/>
      <c r="B55" s="114" t="s">
        <v>75</v>
      </c>
      <c r="C55" s="182">
        <v>8.9422952096585746</v>
      </c>
      <c r="D55" s="183">
        <v>1.9156028463726198</v>
      </c>
      <c r="E55" s="182">
        <v>4.8597499155119976</v>
      </c>
      <c r="F55" s="183">
        <f t="shared" si="5"/>
        <v>-4.082545294146577</v>
      </c>
      <c r="G55" s="182">
        <v>6.6894059676977831</v>
      </c>
      <c r="H55" s="183">
        <f t="shared" si="5"/>
        <v>1.8296560521857854</v>
      </c>
      <c r="I55" s="182">
        <v>6.649440715883669</v>
      </c>
      <c r="J55" s="183">
        <f t="shared" si="5"/>
        <v>-3.9965251814114033E-2</v>
      </c>
      <c r="K55" s="182">
        <v>6.5643052542213001</v>
      </c>
      <c r="L55" s="183">
        <f t="shared" si="6"/>
        <v>-8.5135461662368961E-2</v>
      </c>
      <c r="M55" s="182"/>
      <c r="N55" s="183"/>
    </row>
    <row r="56" spans="1:15" x14ac:dyDescent="0.25">
      <c r="A56" s="1"/>
      <c r="B56" s="114" t="s">
        <v>77</v>
      </c>
      <c r="C56" s="182" t="s">
        <v>235</v>
      </c>
      <c r="D56" s="183" t="s">
        <v>235</v>
      </c>
      <c r="E56" s="182">
        <v>3.6185723584291605</v>
      </c>
      <c r="F56" s="183" t="str">
        <f t="shared" si="5"/>
        <v>-</v>
      </c>
      <c r="G56" s="182">
        <v>6.0060613557644729</v>
      </c>
      <c r="H56" s="183">
        <f t="shared" si="5"/>
        <v>2.3874889973353124</v>
      </c>
      <c r="I56" s="182">
        <v>6.0809907379465633</v>
      </c>
      <c r="J56" s="183">
        <f t="shared" si="5"/>
        <v>7.4929382182090443E-2</v>
      </c>
      <c r="K56" s="182">
        <v>6.674921068752651</v>
      </c>
      <c r="L56" s="183">
        <f t="shared" si="6"/>
        <v>0.5939303308060877</v>
      </c>
      <c r="M56" s="182"/>
      <c r="N56" s="183"/>
    </row>
    <row r="57" spans="1:15" x14ac:dyDescent="0.25">
      <c r="A57" s="1"/>
      <c r="B57" s="114" t="s">
        <v>79</v>
      </c>
      <c r="C57" s="182" t="s">
        <v>235</v>
      </c>
      <c r="D57" s="183" t="s">
        <v>235</v>
      </c>
      <c r="E57" s="182">
        <v>4.1149956659924873</v>
      </c>
      <c r="F57" s="183" t="str">
        <f t="shared" si="5"/>
        <v>-</v>
      </c>
      <c r="G57" s="182">
        <v>6.1274882823269916</v>
      </c>
      <c r="H57" s="183">
        <f t="shared" si="5"/>
        <v>2.0124926163345043</v>
      </c>
      <c r="I57" s="182">
        <v>6.1505074160811866</v>
      </c>
      <c r="J57" s="183">
        <f t="shared" si="5"/>
        <v>2.3019133754194954E-2</v>
      </c>
      <c r="K57" s="182">
        <v>5.7345799120519905</v>
      </c>
      <c r="L57" s="183">
        <f t="shared" si="6"/>
        <v>-0.41592750402919609</v>
      </c>
      <c r="M57" s="182"/>
      <c r="N57" s="183"/>
    </row>
    <row r="58" spans="1:15" x14ac:dyDescent="0.25">
      <c r="A58" s="1"/>
      <c r="B58" s="114" t="s">
        <v>81</v>
      </c>
      <c r="C58" s="182" t="s">
        <v>235</v>
      </c>
      <c r="D58" s="183" t="s">
        <v>235</v>
      </c>
      <c r="E58" s="182">
        <v>5.0995921696574227</v>
      </c>
      <c r="F58" s="183" t="str">
        <f t="shared" si="5"/>
        <v>-</v>
      </c>
      <c r="G58" s="182">
        <v>6.0414866831443028</v>
      </c>
      <c r="H58" s="183">
        <f t="shared" si="5"/>
        <v>0.94189451348688014</v>
      </c>
      <c r="I58" s="182">
        <v>5.7960487723120755</v>
      </c>
      <c r="J58" s="183">
        <f t="shared" si="5"/>
        <v>-0.24543791083222732</v>
      </c>
      <c r="K58" s="182">
        <v>6.0057444356407119</v>
      </c>
      <c r="L58" s="183">
        <f t="shared" si="6"/>
        <v>0.20969566332863643</v>
      </c>
      <c r="M58" s="182"/>
      <c r="N58" s="183"/>
    </row>
    <row r="59" spans="1:15" x14ac:dyDescent="0.25">
      <c r="A59" s="1"/>
      <c r="B59" s="114" t="s">
        <v>83</v>
      </c>
      <c r="C59" s="182" t="s">
        <v>235</v>
      </c>
      <c r="D59" s="183" t="s">
        <v>235</v>
      </c>
      <c r="E59" s="182">
        <v>5.5323207732277169</v>
      </c>
      <c r="F59" s="183" t="str">
        <f t="shared" si="5"/>
        <v>-</v>
      </c>
      <c r="G59" s="182">
        <v>5.830469000963701</v>
      </c>
      <c r="H59" s="183">
        <f t="shared" si="5"/>
        <v>0.29814822773598415</v>
      </c>
      <c r="I59" s="182">
        <v>6.2268733148410371</v>
      </c>
      <c r="J59" s="183">
        <f t="shared" si="5"/>
        <v>0.3964043138773361</v>
      </c>
      <c r="K59" s="182">
        <v>6.2800901752117628</v>
      </c>
      <c r="L59" s="183">
        <f t="shared" si="6"/>
        <v>5.3216860370725705E-2</v>
      </c>
      <c r="M59" s="182"/>
      <c r="N59" s="183"/>
    </row>
    <row r="60" spans="1:15" x14ac:dyDescent="0.25">
      <c r="A60" s="1"/>
      <c r="B60" s="114" t="s">
        <v>85</v>
      </c>
      <c r="C60" s="182">
        <v>5.2951926897099719</v>
      </c>
      <c r="D60" s="183">
        <v>-1.728098532873461</v>
      </c>
      <c r="E60" s="182">
        <v>5.8371572467823167</v>
      </c>
      <c r="F60" s="183">
        <f t="shared" si="5"/>
        <v>0.54196455707234481</v>
      </c>
      <c r="G60" s="182">
        <v>6.6544105936156175</v>
      </c>
      <c r="H60" s="183">
        <f t="shared" si="5"/>
        <v>0.81725334683330075</v>
      </c>
      <c r="I60" s="182">
        <v>6.8111707717883556</v>
      </c>
      <c r="J60" s="183">
        <f t="shared" si="5"/>
        <v>0.15676017817273813</v>
      </c>
      <c r="K60" s="182">
        <v>6.3516104231756989</v>
      </c>
      <c r="L60" s="183">
        <f t="shared" si="6"/>
        <v>-0.45956034861265671</v>
      </c>
      <c r="M60" s="182"/>
      <c r="N60" s="183"/>
    </row>
    <row r="61" spans="1:15" x14ac:dyDescent="0.25">
      <c r="A61" s="1"/>
      <c r="B61" s="114" t="s">
        <v>87</v>
      </c>
      <c r="C61" s="182">
        <v>4.6933310591847182</v>
      </c>
      <c r="D61" s="183">
        <v>-2.2829748943616019</v>
      </c>
      <c r="E61" s="182">
        <v>6.1426823529411765</v>
      </c>
      <c r="F61" s="183">
        <f t="shared" si="5"/>
        <v>1.4493512937564583</v>
      </c>
      <c r="G61" s="182">
        <v>6.2479502657897106</v>
      </c>
      <c r="H61" s="183">
        <f t="shared" si="5"/>
        <v>0.1052679128485341</v>
      </c>
      <c r="I61" s="182">
        <v>6.4222709551656916</v>
      </c>
      <c r="J61" s="183">
        <f t="shared" si="5"/>
        <v>0.174320689375981</v>
      </c>
      <c r="K61" s="182">
        <v>6.665046939687846</v>
      </c>
      <c r="L61" s="183">
        <f t="shared" si="6"/>
        <v>0.24277598452215443</v>
      </c>
      <c r="M61" s="182"/>
      <c r="N61" s="183"/>
    </row>
    <row r="62" spans="1:15" x14ac:dyDescent="0.25">
      <c r="A62" s="1"/>
      <c r="B62" s="114" t="s">
        <v>89</v>
      </c>
      <c r="C62" s="182">
        <v>4.0031424581005588</v>
      </c>
      <c r="D62" s="183">
        <v>-2.2462351073391824</v>
      </c>
      <c r="E62" s="182">
        <v>5.8492952656306469</v>
      </c>
      <c r="F62" s="183">
        <f t="shared" si="5"/>
        <v>1.8461528075300881</v>
      </c>
      <c r="G62" s="182">
        <v>6.0814325500034521</v>
      </c>
      <c r="H62" s="183">
        <f t="shared" si="5"/>
        <v>0.23213728437280512</v>
      </c>
      <c r="I62" s="182">
        <v>6.1433065569229548</v>
      </c>
      <c r="J62" s="183">
        <f t="shared" si="5"/>
        <v>6.1874006919502733E-2</v>
      </c>
      <c r="K62" s="182">
        <v>6.3976284727870869</v>
      </c>
      <c r="L62" s="183">
        <f t="shared" si="6"/>
        <v>0.25432191586413211</v>
      </c>
      <c r="M62" s="182"/>
      <c r="N62" s="183"/>
    </row>
    <row r="63" spans="1:15" x14ac:dyDescent="0.25">
      <c r="A63" s="1"/>
      <c r="B63" s="114" t="s">
        <v>91</v>
      </c>
      <c r="C63" s="182">
        <v>7.5808177302254487</v>
      </c>
      <c r="D63" s="183">
        <v>0.59774084351103784</v>
      </c>
      <c r="E63" s="182">
        <v>6.5630226495581816</v>
      </c>
      <c r="F63" s="183">
        <f t="shared" si="5"/>
        <v>-1.0177950806672671</v>
      </c>
      <c r="G63" s="182">
        <v>6.5263070024804426</v>
      </c>
      <c r="H63" s="183">
        <f t="shared" si="5"/>
        <v>-3.6715647077739E-2</v>
      </c>
      <c r="I63" s="182">
        <v>6.6964430937807649</v>
      </c>
      <c r="J63" s="183">
        <f t="shared" si="5"/>
        <v>0.17013609130032226</v>
      </c>
      <c r="K63" s="182">
        <v>6.8044554455445541</v>
      </c>
      <c r="L63" s="183">
        <f t="shared" si="6"/>
        <v>0.1080123517637892</v>
      </c>
      <c r="M63" s="182"/>
      <c r="N63" s="183"/>
    </row>
    <row r="64" spans="1:15" x14ac:dyDescent="0.25">
      <c r="A64" s="1"/>
      <c r="B64" s="114" t="s">
        <v>93</v>
      </c>
      <c r="C64" s="182">
        <v>5.1866415297603012</v>
      </c>
      <c r="D64" s="183">
        <v>-2.1189985416521058</v>
      </c>
      <c r="E64" s="182">
        <v>6.3429773226042432</v>
      </c>
      <c r="F64" s="183">
        <f t="shared" si="5"/>
        <v>1.1563357928439419</v>
      </c>
      <c r="G64" s="182">
        <v>6.4088591608587864</v>
      </c>
      <c r="H64" s="183">
        <f t="shared" si="5"/>
        <v>6.588183825454319E-2</v>
      </c>
      <c r="I64" s="182">
        <v>6.9909702299769556</v>
      </c>
      <c r="J64" s="183">
        <f t="shared" si="5"/>
        <v>0.58211106911816923</v>
      </c>
      <c r="K64" s="182">
        <v>6.8213794998625996</v>
      </c>
      <c r="L64" s="183">
        <f t="shared" si="6"/>
        <v>-0.16959073011435599</v>
      </c>
      <c r="M64" s="182"/>
      <c r="N64" s="183"/>
    </row>
    <row r="65" spans="1:15" ht="15.75" x14ac:dyDescent="0.25">
      <c r="B65" s="117" t="s">
        <v>30</v>
      </c>
      <c r="C65" s="184">
        <v>6.7828565838934614</v>
      </c>
      <c r="D65" s="185">
        <v>-0.2253915052194202</v>
      </c>
      <c r="E65" s="184">
        <v>5.8365146505370076</v>
      </c>
      <c r="F65" s="185">
        <f t="shared" si="5"/>
        <v>-0.94634193335645378</v>
      </c>
      <c r="G65" s="184">
        <v>6.2852371395462105</v>
      </c>
      <c r="H65" s="185">
        <f t="shared" si="5"/>
        <v>0.44872248900920297</v>
      </c>
      <c r="I65" s="184">
        <v>6.5094102291985605</v>
      </c>
      <c r="J65" s="185">
        <f t="shared" si="5"/>
        <v>0.22417308965234994</v>
      </c>
      <c r="K65" s="184">
        <v>6.5121287737220879</v>
      </c>
      <c r="L65" s="185">
        <f t="shared" si="6"/>
        <v>2.7185445235273775E-3</v>
      </c>
      <c r="M65" s="184">
        <v>7.4404097844724673</v>
      </c>
      <c r="N65" s="185">
        <v>0.23424936312900346</v>
      </c>
    </row>
    <row r="66" spans="1:15" ht="6" customHeight="1" x14ac:dyDescent="0.25"/>
    <row r="67" spans="1:15" x14ac:dyDescent="0.25">
      <c r="B67" s="105" t="s">
        <v>55</v>
      </c>
      <c r="C67" s="188"/>
      <c r="D67" s="188"/>
      <c r="E67" s="188"/>
      <c r="F67" s="188"/>
      <c r="G67" s="188"/>
      <c r="H67" s="188"/>
      <c r="I67" s="188"/>
      <c r="J67" s="188"/>
      <c r="K67" s="188"/>
      <c r="L67" s="188"/>
      <c r="M67" s="188"/>
      <c r="N67" s="188"/>
    </row>
    <row r="70" spans="1:15" ht="48.75" customHeight="1" thickBot="1" x14ac:dyDescent="0.3">
      <c r="B70" s="265" t="s">
        <v>300</v>
      </c>
      <c r="C70" s="265"/>
      <c r="D70" s="265"/>
      <c r="E70" s="265"/>
      <c r="F70" s="265"/>
      <c r="G70" s="265"/>
      <c r="H70" s="265"/>
      <c r="I70" s="265"/>
      <c r="J70" s="265"/>
      <c r="K70" s="265"/>
      <c r="L70" s="265"/>
      <c r="M70" s="265"/>
      <c r="N70" s="265"/>
      <c r="O70" s="1" t="s">
        <v>101</v>
      </c>
    </row>
    <row r="71" spans="1:15" ht="10.5" customHeight="1" thickBot="1" x14ac:dyDescent="0.3">
      <c r="B71" s="106"/>
      <c r="C71" s="186"/>
      <c r="D71" s="186"/>
      <c r="E71" s="186"/>
      <c r="F71" s="186"/>
      <c r="G71" s="186"/>
      <c r="H71" s="186"/>
      <c r="I71" s="186"/>
      <c r="J71" s="186"/>
      <c r="K71" s="186"/>
      <c r="L71" s="186"/>
      <c r="M71" s="39"/>
      <c r="N71" s="39"/>
      <c r="O71" s="1" t="s">
        <v>102</v>
      </c>
    </row>
    <row r="72" spans="1:15" ht="22.5" thickTop="1" thickBot="1" x14ac:dyDescent="0.3">
      <c r="B72" s="109"/>
      <c r="C72" s="300" t="s">
        <v>62</v>
      </c>
      <c r="D72" s="301"/>
      <c r="E72" s="301"/>
      <c r="F72" s="301"/>
      <c r="G72" s="301"/>
      <c r="H72" s="301"/>
      <c r="I72" s="301"/>
      <c r="J72" s="301"/>
      <c r="K72" s="301"/>
      <c r="L72" s="301"/>
      <c r="M72" s="301"/>
      <c r="N72" s="301"/>
    </row>
    <row r="73" spans="1:15" ht="22.5" thickTop="1" thickBot="1" x14ac:dyDescent="0.3">
      <c r="B73" s="109"/>
      <c r="C73" s="292">
        <v>2020</v>
      </c>
      <c r="D73" s="293"/>
      <c r="E73" s="294">
        <v>2021</v>
      </c>
      <c r="F73" s="293"/>
      <c r="G73" s="294">
        <v>2022</v>
      </c>
      <c r="H73" s="293"/>
      <c r="I73" s="294">
        <v>2023</v>
      </c>
      <c r="J73" s="293"/>
      <c r="K73" s="294">
        <v>2024</v>
      </c>
      <c r="L73" s="293"/>
      <c r="M73" s="294">
        <f>M$7</f>
        <v>2025</v>
      </c>
      <c r="N73" s="295"/>
    </row>
    <row r="74" spans="1:15" ht="16.5" thickTop="1" thickBot="1" x14ac:dyDescent="0.3">
      <c r="B74" s="85"/>
      <c r="C74" s="111" t="s">
        <v>69</v>
      </c>
      <c r="D74" s="112" t="str">
        <f>CONCATENATE("dif ",RIGHT(C73,2),"/",RIGHT(C73-1,2))</f>
        <v>dif 20/19</v>
      </c>
      <c r="E74" s="113" t="s">
        <v>69</v>
      </c>
      <c r="F74" s="112" t="str">
        <f>CONCATENATE("dif ",RIGHT(E73,2),"/",RIGHT(C73,2))</f>
        <v>dif 21/20</v>
      </c>
      <c r="G74" s="113" t="s">
        <v>69</v>
      </c>
      <c r="H74" s="112" t="str">
        <f>CONCATENATE("dif ",RIGHT(G73,2),"/",RIGHT(E73,2))</f>
        <v>dif 22/21</v>
      </c>
      <c r="I74" s="113" t="s">
        <v>69</v>
      </c>
      <c r="J74" s="112" t="str">
        <f>CONCATENATE("dif ",RIGHT(I73,2),"/",RIGHT(G73,2))</f>
        <v>dif 23/22</v>
      </c>
      <c r="K74" s="113" t="s">
        <v>69</v>
      </c>
      <c r="L74" s="112" t="str">
        <f>CONCATENATE("dif ",RIGHT(K73,2),"/",RIGHT(I73,2))</f>
        <v>dif 24/23</v>
      </c>
      <c r="M74" s="113" t="s">
        <v>69</v>
      </c>
      <c r="N74" s="112" t="str">
        <f>CONCATENATE("def ",RIGHT(M73,2),"/",RIGHT(K73,2))</f>
        <v>def 25/24</v>
      </c>
    </row>
    <row r="75" spans="1:15" x14ac:dyDescent="0.25">
      <c r="A75" s="1"/>
      <c r="B75" s="114" t="s">
        <v>71</v>
      </c>
      <c r="C75" s="182">
        <v>6.5329975328947372</v>
      </c>
      <c r="D75" s="183">
        <v>-0.67463488083207235</v>
      </c>
      <c r="E75" s="182">
        <v>4.8302469135802468</v>
      </c>
      <c r="F75" s="183">
        <f t="shared" ref="F75:J87" si="7">IFERROR(E75-C75,"-")</f>
        <v>-1.7027506193144903</v>
      </c>
      <c r="G75" s="182">
        <v>5.4162672027215093</v>
      </c>
      <c r="H75" s="183">
        <f t="shared" si="7"/>
        <v>0.58602028914126247</v>
      </c>
      <c r="I75" s="182">
        <v>6.402131390799946</v>
      </c>
      <c r="J75" s="183">
        <f t="shared" si="7"/>
        <v>0.98586418807843668</v>
      </c>
      <c r="K75" s="182">
        <v>6.7859710001239311</v>
      </c>
      <c r="L75" s="183">
        <f t="shared" ref="L75:L87" si="8">IFERROR(K75-I75,"-")</f>
        <v>0.38383960932398509</v>
      </c>
      <c r="M75" s="182">
        <v>6.2525539160045405</v>
      </c>
      <c r="N75" s="183">
        <f>IFERROR(M75-K75,"-")</f>
        <v>-0.53341708411939059</v>
      </c>
    </row>
    <row r="76" spans="1:15" x14ac:dyDescent="0.25">
      <c r="A76" s="1"/>
      <c r="B76" s="114" t="s">
        <v>73</v>
      </c>
      <c r="C76" s="182">
        <v>6.0604646228916943</v>
      </c>
      <c r="D76" s="183">
        <v>-1.0170474392018658</v>
      </c>
      <c r="E76" s="182">
        <v>3.1487907465825447</v>
      </c>
      <c r="F76" s="183">
        <f t="shared" si="7"/>
        <v>-2.9116738763091496</v>
      </c>
      <c r="G76" s="182">
        <v>4.0597783056215357</v>
      </c>
      <c r="H76" s="183">
        <f t="shared" si="7"/>
        <v>0.91098755903899109</v>
      </c>
      <c r="I76" s="182">
        <v>5.980082772891878</v>
      </c>
      <c r="J76" s="183">
        <f t="shared" si="7"/>
        <v>1.9203044672703422</v>
      </c>
      <c r="K76" s="182">
        <v>6.2041089229273041</v>
      </c>
      <c r="L76" s="183">
        <f t="shared" si="8"/>
        <v>0.22402615003542614</v>
      </c>
      <c r="M76" s="182"/>
      <c r="N76" s="183"/>
    </row>
    <row r="77" spans="1:15" x14ac:dyDescent="0.25">
      <c r="A77" s="1"/>
      <c r="B77" s="114" t="s">
        <v>75</v>
      </c>
      <c r="C77" s="182">
        <v>7.1130790190735693</v>
      </c>
      <c r="D77" s="183">
        <v>1.3588501633521766</v>
      </c>
      <c r="E77" s="182">
        <v>3.1208791208791209</v>
      </c>
      <c r="F77" s="183">
        <f t="shared" si="7"/>
        <v>-3.9921998981944484</v>
      </c>
      <c r="G77" s="182">
        <v>4.442705314009662</v>
      </c>
      <c r="H77" s="183">
        <f t="shared" si="7"/>
        <v>1.3218261931305411</v>
      </c>
      <c r="I77" s="182">
        <v>5.0466182224706539</v>
      </c>
      <c r="J77" s="183">
        <f t="shared" si="7"/>
        <v>0.60391290846099199</v>
      </c>
      <c r="K77" s="182">
        <v>5.4204136228006998</v>
      </c>
      <c r="L77" s="183">
        <f t="shared" si="8"/>
        <v>0.37379540033004588</v>
      </c>
      <c r="M77" s="182"/>
      <c r="N77" s="183"/>
    </row>
    <row r="78" spans="1:15" x14ac:dyDescent="0.25">
      <c r="A78" s="1"/>
      <c r="B78" s="114" t="s">
        <v>77</v>
      </c>
      <c r="C78" s="182" t="s">
        <v>235</v>
      </c>
      <c r="D78" s="183" t="s">
        <v>235</v>
      </c>
      <c r="E78" s="182">
        <v>3.8592964824120601</v>
      </c>
      <c r="F78" s="183" t="str">
        <f t="shared" si="7"/>
        <v>-</v>
      </c>
      <c r="G78" s="182">
        <v>4.1014640789921692</v>
      </c>
      <c r="H78" s="183">
        <f t="shared" si="7"/>
        <v>0.24216759658010911</v>
      </c>
      <c r="I78" s="182">
        <v>4.6936664729808255</v>
      </c>
      <c r="J78" s="183">
        <f t="shared" si="7"/>
        <v>0.59220239398865626</v>
      </c>
      <c r="K78" s="182">
        <v>4.637230196121398</v>
      </c>
      <c r="L78" s="183">
        <f t="shared" si="8"/>
        <v>-5.6436276859427537E-2</v>
      </c>
      <c r="M78" s="182"/>
      <c r="N78" s="183"/>
    </row>
    <row r="79" spans="1:15" x14ac:dyDescent="0.25">
      <c r="A79" s="1"/>
      <c r="B79" s="114" t="s">
        <v>79</v>
      </c>
      <c r="C79" s="182" t="s">
        <v>235</v>
      </c>
      <c r="D79" s="183" t="s">
        <v>235</v>
      </c>
      <c r="E79" s="182">
        <v>2.4122575640031032</v>
      </c>
      <c r="F79" s="183" t="str">
        <f t="shared" si="7"/>
        <v>-</v>
      </c>
      <c r="G79" s="182">
        <v>4.2436554898093357</v>
      </c>
      <c r="H79" s="183">
        <f t="shared" si="7"/>
        <v>1.8313979258062325</v>
      </c>
      <c r="I79" s="182">
        <v>4.7778057372924003</v>
      </c>
      <c r="J79" s="183">
        <f t="shared" si="7"/>
        <v>0.53415024748306461</v>
      </c>
      <c r="K79" s="182">
        <v>3.9154563816485526</v>
      </c>
      <c r="L79" s="183">
        <f t="shared" si="8"/>
        <v>-0.86234935564384774</v>
      </c>
      <c r="M79" s="182"/>
      <c r="N79" s="183"/>
    </row>
    <row r="80" spans="1:15" x14ac:dyDescent="0.25">
      <c r="A80" s="1"/>
      <c r="B80" s="114" t="s">
        <v>81</v>
      </c>
      <c r="C80" s="182" t="s">
        <v>235</v>
      </c>
      <c r="D80" s="183" t="s">
        <v>235</v>
      </c>
      <c r="E80" s="182">
        <v>2.9645833333333331</v>
      </c>
      <c r="F80" s="183" t="str">
        <f t="shared" si="7"/>
        <v>-</v>
      </c>
      <c r="G80" s="182">
        <v>4.4525970751386792</v>
      </c>
      <c r="H80" s="183">
        <f t="shared" si="7"/>
        <v>1.4880137418053461</v>
      </c>
      <c r="I80" s="182">
        <v>4.1722022424370637</v>
      </c>
      <c r="J80" s="183">
        <f t="shared" si="7"/>
        <v>-0.28039483270161547</v>
      </c>
      <c r="K80" s="182">
        <v>4.0244605654761907</v>
      </c>
      <c r="L80" s="183">
        <f t="shared" si="8"/>
        <v>-0.14774167696087304</v>
      </c>
      <c r="M80" s="182"/>
      <c r="N80" s="183"/>
    </row>
    <row r="81" spans="1:15" x14ac:dyDescent="0.25">
      <c r="A81" s="1"/>
      <c r="B81" s="114" t="s">
        <v>83</v>
      </c>
      <c r="C81" s="182" t="s">
        <v>235</v>
      </c>
      <c r="D81" s="183" t="s">
        <v>235</v>
      </c>
      <c r="E81" s="182">
        <v>3.8212927756653992</v>
      </c>
      <c r="F81" s="183" t="str">
        <f t="shared" si="7"/>
        <v>-</v>
      </c>
      <c r="G81" s="182">
        <v>4.5875651436189555</v>
      </c>
      <c r="H81" s="183">
        <f t="shared" si="7"/>
        <v>0.76627236795355635</v>
      </c>
      <c r="I81" s="182">
        <v>4.170584009032126</v>
      </c>
      <c r="J81" s="183">
        <f t="shared" si="7"/>
        <v>-0.4169811345868295</v>
      </c>
      <c r="K81" s="182">
        <v>4.4851792687255942</v>
      </c>
      <c r="L81" s="183">
        <f t="shared" si="8"/>
        <v>0.31459525969346824</v>
      </c>
      <c r="M81" s="182"/>
      <c r="N81" s="183"/>
    </row>
    <row r="82" spans="1:15" x14ac:dyDescent="0.25">
      <c r="A82" s="1"/>
      <c r="B82" s="114" t="s">
        <v>85</v>
      </c>
      <c r="C82" s="182">
        <v>3.6038843721770553</v>
      </c>
      <c r="D82" s="183">
        <v>-1.3573170299899298</v>
      </c>
      <c r="E82" s="182">
        <v>4.1624901081508838</v>
      </c>
      <c r="F82" s="183">
        <f t="shared" si="7"/>
        <v>0.55860573597382857</v>
      </c>
      <c r="G82" s="182">
        <v>4.5646185171876867</v>
      </c>
      <c r="H82" s="183">
        <f t="shared" si="7"/>
        <v>0.40212840903680291</v>
      </c>
      <c r="I82" s="182">
        <v>4.779459218871704</v>
      </c>
      <c r="J82" s="183">
        <f t="shared" si="7"/>
        <v>0.21484070168401725</v>
      </c>
      <c r="K82" s="182">
        <v>5.1279868433781566</v>
      </c>
      <c r="L82" s="183">
        <f t="shared" si="8"/>
        <v>0.34852762450645258</v>
      </c>
      <c r="M82" s="182"/>
      <c r="N82" s="183"/>
    </row>
    <row r="83" spans="1:15" x14ac:dyDescent="0.25">
      <c r="A83" s="1"/>
      <c r="B83" s="114" t="s">
        <v>87</v>
      </c>
      <c r="C83" s="182">
        <v>3.0194130925507903</v>
      </c>
      <c r="D83" s="183">
        <v>-2.5953522380418788</v>
      </c>
      <c r="E83" s="182">
        <v>4.0763582966226135</v>
      </c>
      <c r="F83" s="183">
        <f t="shared" si="7"/>
        <v>1.0569452040718232</v>
      </c>
      <c r="G83" s="182">
        <v>5.0483530961791834</v>
      </c>
      <c r="H83" s="183">
        <f t="shared" si="7"/>
        <v>0.97199479955656987</v>
      </c>
      <c r="I83" s="182">
        <v>5.0990189368012775</v>
      </c>
      <c r="J83" s="183">
        <f t="shared" si="7"/>
        <v>5.0665840622094116E-2</v>
      </c>
      <c r="K83" s="182">
        <v>5.1554667242869492</v>
      </c>
      <c r="L83" s="183">
        <f t="shared" si="8"/>
        <v>5.6447787485671697E-2</v>
      </c>
      <c r="M83" s="182"/>
      <c r="N83" s="183"/>
    </row>
    <row r="84" spans="1:15" x14ac:dyDescent="0.25">
      <c r="A84" s="1"/>
      <c r="B84" s="114" t="s">
        <v>89</v>
      </c>
      <c r="C84" s="182">
        <v>3.2609243697478991</v>
      </c>
      <c r="D84" s="183">
        <v>-1.7867130831461004</v>
      </c>
      <c r="E84" s="182">
        <v>3.9453743610303698</v>
      </c>
      <c r="F84" s="183">
        <f t="shared" si="7"/>
        <v>0.68444999128247064</v>
      </c>
      <c r="G84" s="182">
        <v>4.7716158994672861</v>
      </c>
      <c r="H84" s="183">
        <f t="shared" si="7"/>
        <v>0.82624153843691639</v>
      </c>
      <c r="I84" s="182">
        <v>5.0577334283677837</v>
      </c>
      <c r="J84" s="183">
        <f t="shared" si="7"/>
        <v>0.28611752890049758</v>
      </c>
      <c r="K84" s="182">
        <v>4.2832931941842833</v>
      </c>
      <c r="L84" s="183">
        <f t="shared" si="8"/>
        <v>-0.77444023418350039</v>
      </c>
      <c r="M84" s="182"/>
      <c r="N84" s="183"/>
    </row>
    <row r="85" spans="1:15" x14ac:dyDescent="0.25">
      <c r="A85" s="1"/>
      <c r="B85" s="114" t="s">
        <v>91</v>
      </c>
      <c r="C85" s="182">
        <v>3.5525017618040873</v>
      </c>
      <c r="D85" s="183">
        <v>-1.8213830043094785</v>
      </c>
      <c r="E85" s="182">
        <v>4.8198244181298486</v>
      </c>
      <c r="F85" s="183">
        <f t="shared" si="7"/>
        <v>1.2673226563257614</v>
      </c>
      <c r="G85" s="182">
        <v>5.0506846024501559</v>
      </c>
      <c r="H85" s="183">
        <f t="shared" si="7"/>
        <v>0.2308601843203073</v>
      </c>
      <c r="I85" s="182">
        <v>5.9711887477313974</v>
      </c>
      <c r="J85" s="183">
        <f t="shared" si="7"/>
        <v>0.92050414528124147</v>
      </c>
      <c r="K85" s="182">
        <v>4.5765741728922089</v>
      </c>
      <c r="L85" s="183">
        <f t="shared" si="8"/>
        <v>-1.3946145748391885</v>
      </c>
      <c r="M85" s="182"/>
      <c r="N85" s="183"/>
    </row>
    <row r="86" spans="1:15" x14ac:dyDescent="0.25">
      <c r="A86" s="1"/>
      <c r="B86" s="114" t="s">
        <v>93</v>
      </c>
      <c r="C86" s="182">
        <v>4.7919308357348704</v>
      </c>
      <c r="D86" s="183">
        <v>-1.4734189249819609</v>
      </c>
      <c r="E86" s="182">
        <v>5.4796530169664495</v>
      </c>
      <c r="F86" s="183">
        <f t="shared" si="7"/>
        <v>0.68772218123157902</v>
      </c>
      <c r="G86" s="182">
        <v>5.992108843537415</v>
      </c>
      <c r="H86" s="183">
        <f t="shared" si="7"/>
        <v>0.51245582657096556</v>
      </c>
      <c r="I86" s="182">
        <v>6.0141643059490084</v>
      </c>
      <c r="J86" s="183">
        <f t="shared" si="7"/>
        <v>2.2055462411593396E-2</v>
      </c>
      <c r="K86" s="182">
        <v>5.6595463554283194</v>
      </c>
      <c r="L86" s="183">
        <f t="shared" si="8"/>
        <v>-0.35461795052068901</v>
      </c>
      <c r="M86" s="182"/>
      <c r="N86" s="183"/>
    </row>
    <row r="87" spans="1:15" ht="15.75" x14ac:dyDescent="0.25">
      <c r="B87" s="117" t="s">
        <v>30</v>
      </c>
      <c r="C87" s="184">
        <v>5.4836294229922187</v>
      </c>
      <c r="D87" s="185">
        <v>-0.21365725707355843</v>
      </c>
      <c r="E87" s="184">
        <v>4.00098832366188</v>
      </c>
      <c r="F87" s="185">
        <f t="shared" si="7"/>
        <v>-1.4826410993303387</v>
      </c>
      <c r="G87" s="184">
        <v>4.682944665637442</v>
      </c>
      <c r="H87" s="185">
        <f t="shared" si="7"/>
        <v>0.6819563419755621</v>
      </c>
      <c r="I87" s="184">
        <v>5.1413953668476946</v>
      </c>
      <c r="J87" s="185">
        <f t="shared" si="7"/>
        <v>0.45845070121025255</v>
      </c>
      <c r="K87" s="184">
        <v>4.9450744809921812</v>
      </c>
      <c r="L87" s="185">
        <f t="shared" si="8"/>
        <v>-0.19632088585551344</v>
      </c>
      <c r="M87" s="184">
        <v>6.2525539160045405</v>
      </c>
      <c r="N87" s="185">
        <v>-0.53341708411939059</v>
      </c>
    </row>
    <row r="88" spans="1:15" ht="6" customHeight="1" x14ac:dyDescent="0.25"/>
    <row r="89" spans="1:15" x14ac:dyDescent="0.25">
      <c r="B89" s="105" t="s">
        <v>55</v>
      </c>
      <c r="C89" s="188"/>
      <c r="D89" s="188"/>
      <c r="E89" s="188"/>
      <c r="F89" s="188"/>
      <c r="G89" s="188"/>
      <c r="H89" s="188"/>
      <c r="I89" s="188"/>
      <c r="J89" s="188"/>
      <c r="K89" s="188"/>
      <c r="L89" s="188"/>
      <c r="M89" s="188"/>
      <c r="N89" s="188"/>
    </row>
    <row r="92" spans="1:15" ht="48.75" customHeight="1" thickBot="1" x14ac:dyDescent="0.3">
      <c r="B92" s="265" t="s">
        <v>301</v>
      </c>
      <c r="C92" s="265"/>
      <c r="D92" s="265"/>
      <c r="E92" s="265"/>
      <c r="F92" s="265"/>
      <c r="G92" s="265"/>
      <c r="H92" s="265"/>
      <c r="I92" s="265"/>
      <c r="J92" s="265"/>
      <c r="K92" s="265"/>
      <c r="L92" s="265"/>
      <c r="M92" s="265"/>
      <c r="N92" s="265"/>
      <c r="O92" s="1" t="s">
        <v>114</v>
      </c>
    </row>
    <row r="93" spans="1:15" ht="10.5" customHeight="1" thickBot="1" x14ac:dyDescent="0.3">
      <c r="B93" s="106"/>
      <c r="C93" s="186"/>
      <c r="D93" s="186"/>
      <c r="E93" s="186"/>
      <c r="F93" s="186"/>
      <c r="G93" s="186"/>
      <c r="H93" s="186"/>
      <c r="I93" s="186"/>
      <c r="J93" s="186"/>
      <c r="K93" s="186"/>
      <c r="L93" s="186"/>
      <c r="M93" s="39"/>
      <c r="N93" s="39"/>
      <c r="O93" s="1" t="s">
        <v>115</v>
      </c>
    </row>
    <row r="94" spans="1:15" ht="22.5" thickTop="1" thickBot="1" x14ac:dyDescent="0.3">
      <c r="B94" s="121" t="s">
        <v>96</v>
      </c>
      <c r="C94" s="300" t="s">
        <v>32</v>
      </c>
      <c r="D94" s="301"/>
      <c r="E94" s="301"/>
      <c r="F94" s="301"/>
      <c r="G94" s="301"/>
      <c r="H94" s="301"/>
      <c r="I94" s="301"/>
      <c r="J94" s="301"/>
      <c r="K94" s="301"/>
      <c r="L94" s="301"/>
      <c r="M94" s="301"/>
      <c r="N94" s="301"/>
    </row>
    <row r="95" spans="1:15" ht="22.5" thickTop="1" thickBot="1" x14ac:dyDescent="0.3">
      <c r="B95" s="109"/>
      <c r="C95" s="292">
        <v>2020</v>
      </c>
      <c r="D95" s="293"/>
      <c r="E95" s="294">
        <v>2021</v>
      </c>
      <c r="F95" s="293"/>
      <c r="G95" s="294">
        <v>2022</v>
      </c>
      <c r="H95" s="293"/>
      <c r="I95" s="294">
        <v>2023</v>
      </c>
      <c r="J95" s="293"/>
      <c r="K95" s="294">
        <v>2024</v>
      </c>
      <c r="L95" s="293"/>
      <c r="M95" s="294">
        <f>M$7</f>
        <v>2025</v>
      </c>
      <c r="N95" s="295"/>
    </row>
    <row r="96" spans="1:15" ht="16.5" thickTop="1" thickBot="1" x14ac:dyDescent="0.3">
      <c r="B96" s="85"/>
      <c r="C96" s="111" t="s">
        <v>69</v>
      </c>
      <c r="D96" s="112" t="str">
        <f>CONCATENATE("dif ",RIGHT(C95,2),"/",RIGHT(C95-1,2))</f>
        <v>dif 20/19</v>
      </c>
      <c r="E96" s="113" t="s">
        <v>69</v>
      </c>
      <c r="F96" s="112" t="str">
        <f>CONCATENATE("dif ",RIGHT(E95,2),"/",RIGHT(C95,2))</f>
        <v>dif 21/20</v>
      </c>
      <c r="G96" s="113" t="s">
        <v>69</v>
      </c>
      <c r="H96" s="112" t="str">
        <f>CONCATENATE("dif ",RIGHT(G95,2),"/",RIGHT(E95,2))</f>
        <v>dif 22/21</v>
      </c>
      <c r="I96" s="113" t="s">
        <v>69</v>
      </c>
      <c r="J96" s="112" t="str">
        <f>CONCATENATE("dif ",RIGHT(I95,2),"/",RIGHT(G95,2))</f>
        <v>dif 23/22</v>
      </c>
      <c r="K96" s="113" t="s">
        <v>69</v>
      </c>
      <c r="L96" s="112" t="str">
        <f>CONCATENATE("dif ",RIGHT(K95,2),"/",RIGHT(I95,2))</f>
        <v>dif 24/23</v>
      </c>
      <c r="M96" s="113" t="s">
        <v>69</v>
      </c>
      <c r="N96" s="112" t="str">
        <f>CONCATENATE("def ",RIGHT(M95,2),"/",RIGHT(K95,2))</f>
        <v>def 25/24</v>
      </c>
    </row>
    <row r="97" spans="2:14" x14ac:dyDescent="0.25">
      <c r="B97" s="114" t="s">
        <v>71</v>
      </c>
      <c r="C97" s="182">
        <v>9.8849193282844912</v>
      </c>
      <c r="D97" s="183">
        <v>-7.3869152351059952E-2</v>
      </c>
      <c r="E97" s="182">
        <v>8.1338199513382001</v>
      </c>
      <c r="F97" s="183">
        <f t="shared" ref="F97:J109" si="9">IFERROR(E97-C97,"-")</f>
        <v>-1.751099376946291</v>
      </c>
      <c r="G97" s="182">
        <v>8.5843552342842386</v>
      </c>
      <c r="H97" s="183">
        <f t="shared" si="9"/>
        <v>0.45053528294603851</v>
      </c>
      <c r="I97" s="182">
        <v>9.3138983693591211</v>
      </c>
      <c r="J97" s="183">
        <f t="shared" si="9"/>
        <v>0.72954313507488244</v>
      </c>
      <c r="K97" s="182">
        <v>9.293335977786592</v>
      </c>
      <c r="L97" s="183">
        <f t="shared" ref="L97:L109" si="10">IFERROR(K97-I97,"-")</f>
        <v>-2.0562391572529037E-2</v>
      </c>
      <c r="M97" s="182">
        <v>9.2200056996295245</v>
      </c>
      <c r="N97" s="183">
        <f>IFERROR(M97-K97,"-")</f>
        <v>-7.3330278157067497E-2</v>
      </c>
    </row>
    <row r="98" spans="2:14" x14ac:dyDescent="0.25">
      <c r="B98" s="114" t="s">
        <v>73</v>
      </c>
      <c r="C98" s="182">
        <v>10.220738900962434</v>
      </c>
      <c r="D98" s="183">
        <v>0.17723513715365513</v>
      </c>
      <c r="E98" s="182">
        <v>5.6010101010101012</v>
      </c>
      <c r="F98" s="183">
        <f t="shared" si="9"/>
        <v>-4.6197287999523331</v>
      </c>
      <c r="G98" s="182">
        <v>7.9516147569244913</v>
      </c>
      <c r="H98" s="183">
        <f t="shared" si="9"/>
        <v>2.3506046559143901</v>
      </c>
      <c r="I98" s="182">
        <v>9.257286535303777</v>
      </c>
      <c r="J98" s="183">
        <f t="shared" si="9"/>
        <v>1.3056717783792857</v>
      </c>
      <c r="K98" s="182">
        <v>8.9097140618879749</v>
      </c>
      <c r="L98" s="183">
        <f t="shared" si="10"/>
        <v>-0.34757247341580211</v>
      </c>
      <c r="M98" s="182"/>
      <c r="N98" s="183"/>
    </row>
    <row r="99" spans="2:14" x14ac:dyDescent="0.25">
      <c r="B99" s="114" t="s">
        <v>75</v>
      </c>
      <c r="C99" s="182">
        <v>12.805318138651472</v>
      </c>
      <c r="D99" s="183">
        <v>5.3465672807242246</v>
      </c>
      <c r="E99" s="182">
        <v>5.5025125628140703</v>
      </c>
      <c r="F99" s="183">
        <f t="shared" si="9"/>
        <v>-7.302805575837402</v>
      </c>
      <c r="G99" s="182">
        <v>7.3445565689889385</v>
      </c>
      <c r="H99" s="183">
        <f t="shared" si="9"/>
        <v>1.8420440061748682</v>
      </c>
      <c r="I99" s="182">
        <v>7.3106765741102855</v>
      </c>
      <c r="J99" s="183">
        <f t="shared" si="9"/>
        <v>-3.3879994878653008E-2</v>
      </c>
      <c r="K99" s="182">
        <v>7.2692931975800503</v>
      </c>
      <c r="L99" s="183">
        <f t="shared" si="10"/>
        <v>-4.1383376530235161E-2</v>
      </c>
      <c r="M99" s="182"/>
      <c r="N99" s="183"/>
    </row>
    <row r="100" spans="2:14" x14ac:dyDescent="0.25">
      <c r="B100" s="114" t="s">
        <v>77</v>
      </c>
      <c r="C100" s="182" t="s">
        <v>235</v>
      </c>
      <c r="D100" s="183" t="s">
        <v>235</v>
      </c>
      <c r="E100" s="182">
        <v>5.3225677830940992</v>
      </c>
      <c r="F100" s="183" t="str">
        <f t="shared" si="9"/>
        <v>-</v>
      </c>
      <c r="G100" s="182">
        <v>6.0684907784223743</v>
      </c>
      <c r="H100" s="183">
        <f t="shared" si="9"/>
        <v>0.74592299532827511</v>
      </c>
      <c r="I100" s="182">
        <v>5.7219251336898393</v>
      </c>
      <c r="J100" s="183">
        <f t="shared" si="9"/>
        <v>-0.34656564473253493</v>
      </c>
      <c r="K100" s="182">
        <v>5.7332398504273501</v>
      </c>
      <c r="L100" s="183">
        <f t="shared" si="10"/>
        <v>1.1314716737510722E-2</v>
      </c>
      <c r="M100" s="182"/>
      <c r="N100" s="183"/>
    </row>
    <row r="101" spans="2:14" x14ac:dyDescent="0.25">
      <c r="B101" s="114" t="s">
        <v>79</v>
      </c>
      <c r="C101" s="182" t="s">
        <v>235</v>
      </c>
      <c r="D101" s="183" t="s">
        <v>235</v>
      </c>
      <c r="E101" s="182">
        <v>4.6217962524230023</v>
      </c>
      <c r="F101" s="183" t="str">
        <f t="shared" si="9"/>
        <v>-</v>
      </c>
      <c r="G101" s="182">
        <v>5.7903292181069963</v>
      </c>
      <c r="H101" s="183">
        <f t="shared" si="9"/>
        <v>1.168532965683994</v>
      </c>
      <c r="I101" s="182">
        <v>5.6535836177474401</v>
      </c>
      <c r="J101" s="183">
        <f t="shared" si="9"/>
        <v>-0.13674560035955619</v>
      </c>
      <c r="K101" s="182">
        <v>4.600628519051984</v>
      </c>
      <c r="L101" s="183">
        <f t="shared" si="10"/>
        <v>-1.0529550986954561</v>
      </c>
      <c r="M101" s="182"/>
      <c r="N101" s="183"/>
    </row>
    <row r="102" spans="2:14" x14ac:dyDescent="0.25">
      <c r="B102" s="114" t="s">
        <v>81</v>
      </c>
      <c r="C102" s="182" t="s">
        <v>235</v>
      </c>
      <c r="D102" s="183" t="s">
        <v>235</v>
      </c>
      <c r="E102" s="182">
        <v>4.5382492718074507</v>
      </c>
      <c r="F102" s="183" t="str">
        <f t="shared" si="9"/>
        <v>-</v>
      </c>
      <c r="G102" s="182">
        <v>5.6081441922563418</v>
      </c>
      <c r="H102" s="183">
        <f t="shared" si="9"/>
        <v>1.069894920448891</v>
      </c>
      <c r="I102" s="182">
        <v>5.485732448085888</v>
      </c>
      <c r="J102" s="183">
        <f t="shared" si="9"/>
        <v>-0.12241174417045375</v>
      </c>
      <c r="K102" s="182">
        <v>4.8902332105909174</v>
      </c>
      <c r="L102" s="183">
        <f t="shared" si="10"/>
        <v>-0.59549923749497058</v>
      </c>
      <c r="M102" s="182"/>
      <c r="N102" s="183"/>
    </row>
    <row r="103" spans="2:14" x14ac:dyDescent="0.25">
      <c r="B103" s="114" t="s">
        <v>83</v>
      </c>
      <c r="C103" s="182" t="s">
        <v>235</v>
      </c>
      <c r="D103" s="183" t="s">
        <v>235</v>
      </c>
      <c r="E103" s="182">
        <v>6.4576815082230246</v>
      </c>
      <c r="F103" s="183" t="str">
        <f t="shared" si="9"/>
        <v>-</v>
      </c>
      <c r="G103" s="182">
        <v>5.626368785399622</v>
      </c>
      <c r="H103" s="183">
        <f t="shared" si="9"/>
        <v>-0.83131272282340252</v>
      </c>
      <c r="I103" s="182">
        <v>7.1024423857285051</v>
      </c>
      <c r="J103" s="183">
        <f t="shared" si="9"/>
        <v>1.476073600328883</v>
      </c>
      <c r="K103" s="182">
        <v>5.563702379016962</v>
      </c>
      <c r="L103" s="183">
        <f t="shared" si="10"/>
        <v>-1.5387400067115431</v>
      </c>
      <c r="M103" s="182"/>
      <c r="N103" s="183"/>
    </row>
    <row r="104" spans="2:14" x14ac:dyDescent="0.25">
      <c r="B104" s="114" t="s">
        <v>85</v>
      </c>
      <c r="C104" s="182">
        <v>6.3479152426520846</v>
      </c>
      <c r="D104" s="183">
        <v>-0.9609989664631966</v>
      </c>
      <c r="E104" s="182">
        <v>6.3800729325961649</v>
      </c>
      <c r="F104" s="183">
        <f t="shared" si="9"/>
        <v>3.2157689944080303E-2</v>
      </c>
      <c r="G104" s="182">
        <v>6.354030339083879</v>
      </c>
      <c r="H104" s="183">
        <f t="shared" si="9"/>
        <v>-2.6042593512285883E-2</v>
      </c>
      <c r="I104" s="182">
        <v>6.8658968307484827</v>
      </c>
      <c r="J104" s="183">
        <f t="shared" si="9"/>
        <v>0.51186649166460363</v>
      </c>
      <c r="K104" s="182">
        <v>6.2951491687542704</v>
      </c>
      <c r="L104" s="183">
        <f t="shared" si="10"/>
        <v>-0.57074766199421223</v>
      </c>
      <c r="M104" s="182"/>
      <c r="N104" s="183"/>
    </row>
    <row r="105" spans="2:14" x14ac:dyDescent="0.25">
      <c r="B105" s="114" t="s">
        <v>87</v>
      </c>
      <c r="C105" s="182">
        <v>5.2441988950276244</v>
      </c>
      <c r="D105" s="183">
        <v>-2.1436234200177608</v>
      </c>
      <c r="E105" s="182">
        <v>6.4318356867779203</v>
      </c>
      <c r="F105" s="183">
        <f t="shared" si="9"/>
        <v>1.1876367917502959</v>
      </c>
      <c r="G105" s="182">
        <v>6.1427309315794636</v>
      </c>
      <c r="H105" s="183">
        <f t="shared" si="9"/>
        <v>-0.28910475519845669</v>
      </c>
      <c r="I105" s="182">
        <v>5.7911396979113974</v>
      </c>
      <c r="J105" s="183">
        <f t="shared" si="9"/>
        <v>-0.35159123366806622</v>
      </c>
      <c r="K105" s="182">
        <v>5.840097162154156</v>
      </c>
      <c r="L105" s="183">
        <f t="shared" si="10"/>
        <v>4.8957464242758597E-2</v>
      </c>
      <c r="M105" s="182"/>
      <c r="N105" s="183"/>
    </row>
    <row r="106" spans="2:14" x14ac:dyDescent="0.25">
      <c r="B106" s="114" t="s">
        <v>89</v>
      </c>
      <c r="C106" s="182">
        <v>3.5854975572126513</v>
      </c>
      <c r="D106" s="183">
        <v>-3.7894920770853835</v>
      </c>
      <c r="E106" s="182">
        <v>5.8307407810290437</v>
      </c>
      <c r="F106" s="183">
        <f t="shared" si="9"/>
        <v>2.2452432238163924</v>
      </c>
      <c r="G106" s="182">
        <v>5.7314780273073191</v>
      </c>
      <c r="H106" s="183">
        <f t="shared" si="9"/>
        <v>-9.926275372172455E-2</v>
      </c>
      <c r="I106" s="182">
        <v>6.3435854575846218</v>
      </c>
      <c r="J106" s="183">
        <f t="shared" si="9"/>
        <v>0.61210743027730263</v>
      </c>
      <c r="K106" s="182">
        <v>5.8118023369671645</v>
      </c>
      <c r="L106" s="183">
        <f t="shared" si="10"/>
        <v>-0.53178312061745725</v>
      </c>
      <c r="M106" s="182"/>
      <c r="N106" s="183"/>
    </row>
    <row r="107" spans="2:14" x14ac:dyDescent="0.25">
      <c r="B107" s="114" t="s">
        <v>91</v>
      </c>
      <c r="C107" s="182">
        <v>5.598875351452671</v>
      </c>
      <c r="D107" s="183">
        <v>-2.7694778551216128</v>
      </c>
      <c r="E107" s="182">
        <v>7.6275353411186231</v>
      </c>
      <c r="F107" s="183">
        <f t="shared" si="9"/>
        <v>2.0286599896659521</v>
      </c>
      <c r="G107" s="182">
        <v>7.4990433118803272</v>
      </c>
      <c r="H107" s="183">
        <f t="shared" si="9"/>
        <v>-0.12849202923829584</v>
      </c>
      <c r="I107" s="182">
        <v>8.6148577951108152</v>
      </c>
      <c r="J107" s="183">
        <f t="shared" si="9"/>
        <v>1.1158144832304879</v>
      </c>
      <c r="K107" s="182">
        <v>7.5575350230787919</v>
      </c>
      <c r="L107" s="183">
        <f t="shared" si="10"/>
        <v>-1.0573227720320233</v>
      </c>
      <c r="M107" s="182"/>
      <c r="N107" s="183"/>
    </row>
    <row r="108" spans="2:14" x14ac:dyDescent="0.25">
      <c r="B108" s="114" t="s">
        <v>93</v>
      </c>
      <c r="C108" s="182">
        <v>4.9867205542725177</v>
      </c>
      <c r="D108" s="183">
        <v>-3.7835812565926741</v>
      </c>
      <c r="E108" s="182">
        <v>7.5468123049487295</v>
      </c>
      <c r="F108" s="183">
        <f t="shared" si="9"/>
        <v>2.5600917506762118</v>
      </c>
      <c r="G108" s="182">
        <v>8.3665393013100431</v>
      </c>
      <c r="H108" s="183">
        <f t="shared" si="9"/>
        <v>0.81972699636131363</v>
      </c>
      <c r="I108" s="182">
        <v>8.0222684342777928</v>
      </c>
      <c r="J108" s="183">
        <f t="shared" si="9"/>
        <v>-0.34427086703225029</v>
      </c>
      <c r="K108" s="182">
        <v>8.2184356573014217</v>
      </c>
      <c r="L108" s="183">
        <f t="shared" si="10"/>
        <v>0.19616722302362888</v>
      </c>
      <c r="M108" s="182"/>
      <c r="N108" s="183"/>
    </row>
    <row r="109" spans="2:14" ht="15.75" x14ac:dyDescent="0.25">
      <c r="B109" s="117" t="s">
        <v>30</v>
      </c>
      <c r="C109" s="184">
        <v>7.997040568868429</v>
      </c>
      <c r="D109" s="185">
        <v>0.25889955530991582</v>
      </c>
      <c r="E109" s="184">
        <v>6.2723501769449443</v>
      </c>
      <c r="F109" s="185">
        <f t="shared" si="9"/>
        <v>-1.7246903919234846</v>
      </c>
      <c r="G109" s="184">
        <v>6.6265017537382311</v>
      </c>
      <c r="H109" s="185">
        <f t="shared" si="9"/>
        <v>0.35415157679328679</v>
      </c>
      <c r="I109" s="184">
        <v>6.9992286501377414</v>
      </c>
      <c r="J109" s="185">
        <f t="shared" si="9"/>
        <v>0.37272689639951029</v>
      </c>
      <c r="K109" s="184">
        <v>6.4162603502495603</v>
      </c>
      <c r="L109" s="185">
        <f t="shared" si="10"/>
        <v>-0.58296829988818111</v>
      </c>
      <c r="M109" s="184">
        <v>9.2200056996295245</v>
      </c>
      <c r="N109" s="185">
        <v>-7.3330278157067497E-2</v>
      </c>
    </row>
    <row r="110" spans="2:14" ht="6" customHeight="1" x14ac:dyDescent="0.25"/>
    <row r="111" spans="2:14" x14ac:dyDescent="0.25">
      <c r="B111" s="105" t="s">
        <v>55</v>
      </c>
      <c r="C111" s="188"/>
      <c r="D111" s="188"/>
      <c r="E111" s="188"/>
      <c r="F111" s="188"/>
      <c r="G111" s="188"/>
      <c r="H111" s="188"/>
      <c r="I111" s="188"/>
      <c r="J111" s="188"/>
      <c r="K111" s="188"/>
      <c r="L111" s="188"/>
      <c r="M111" s="188"/>
      <c r="N111" s="188"/>
    </row>
  </sheetData>
  <mergeCells count="40">
    <mergeCell ref="B92:N92"/>
    <mergeCell ref="C94:N94"/>
    <mergeCell ref="C95:D95"/>
    <mergeCell ref="E95:F95"/>
    <mergeCell ref="G95:H95"/>
    <mergeCell ref="I95:J95"/>
    <mergeCell ref="K95:L95"/>
    <mergeCell ref="M95:N95"/>
    <mergeCell ref="B70:N70"/>
    <mergeCell ref="C72:N72"/>
    <mergeCell ref="C73:D73"/>
    <mergeCell ref="E73:F73"/>
    <mergeCell ref="G73:H73"/>
    <mergeCell ref="I73:J73"/>
    <mergeCell ref="K73:L73"/>
    <mergeCell ref="M73:N73"/>
    <mergeCell ref="B48:N48"/>
    <mergeCell ref="C50:N50"/>
    <mergeCell ref="C51:D51"/>
    <mergeCell ref="E51:F51"/>
    <mergeCell ref="G51:H51"/>
    <mergeCell ref="I51:J51"/>
    <mergeCell ref="K51:L51"/>
    <mergeCell ref="M51:N51"/>
    <mergeCell ref="B26:N26"/>
    <mergeCell ref="C28:N28"/>
    <mergeCell ref="C29:D29"/>
    <mergeCell ref="E29:F29"/>
    <mergeCell ref="G29:H29"/>
    <mergeCell ref="I29:J29"/>
    <mergeCell ref="K29:L29"/>
    <mergeCell ref="M29:N29"/>
    <mergeCell ref="B4:N4"/>
    <mergeCell ref="C6:N6"/>
    <mergeCell ref="C7:D7"/>
    <mergeCell ref="E7:F7"/>
    <mergeCell ref="G7:H7"/>
    <mergeCell ref="I7:J7"/>
    <mergeCell ref="K7:L7"/>
    <mergeCell ref="M7:N7"/>
  </mergeCells>
  <pageMargins left="0.7" right="0.7" top="0.75" bottom="0.75" header="0.3" footer="0.3"/>
  <pageSetup paperSize="9"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045687-CC89-46F1-9E4D-495928246B89}">
  <sheetPr codeName="Hoja32">
    <tabColor rgb="FF7030A0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E10580-12B9-477F-BDDE-754B5425A38C}">
  <sheetPr codeName="Hoja3">
    <tabColor theme="8" tint="0.59999389629810485"/>
  </sheetPr>
  <dimension ref="B1:P220"/>
  <sheetViews>
    <sheetView showGridLines="0" zoomScaleNormal="100" workbookViewId="0"/>
  </sheetViews>
  <sheetFormatPr baseColWidth="10" defaultColWidth="11.42578125" defaultRowHeight="15" x14ac:dyDescent="0.25"/>
  <cols>
    <col min="2" max="2" width="11.42578125" customWidth="1"/>
    <col min="3" max="3" width="16.85546875" customWidth="1"/>
    <col min="4" max="4" width="26.85546875" customWidth="1"/>
    <col min="5" max="5" width="11.5703125" customWidth="1"/>
  </cols>
  <sheetData>
    <row r="1" spans="2:16" x14ac:dyDescent="0.25">
      <c r="D1" s="284" t="s">
        <v>40</v>
      </c>
      <c r="E1" s="284"/>
      <c r="F1" s="284"/>
      <c r="G1" s="284"/>
      <c r="H1" s="284"/>
      <c r="I1" s="284"/>
      <c r="J1" s="284"/>
      <c r="K1" s="284"/>
      <c r="L1" s="284"/>
    </row>
    <row r="2" spans="2:16" x14ac:dyDescent="0.25">
      <c r="D2" s="284"/>
      <c r="E2" s="284"/>
      <c r="F2" s="284"/>
      <c r="G2" s="284"/>
      <c r="H2" s="284"/>
      <c r="I2" s="284"/>
      <c r="J2" s="284"/>
      <c r="K2" s="284"/>
      <c r="L2" s="284"/>
    </row>
    <row r="4" spans="2:16" ht="21.75" customHeight="1" thickBot="1" x14ac:dyDescent="0.3">
      <c r="C4" s="62" t="s">
        <v>41</v>
      </c>
      <c r="D4" s="62"/>
      <c r="E4" s="62"/>
      <c r="F4" s="62"/>
      <c r="G4" s="62"/>
      <c r="H4" s="62"/>
      <c r="I4" s="62"/>
      <c r="J4" s="62"/>
      <c r="K4" s="62"/>
      <c r="L4" s="62"/>
    </row>
    <row r="5" spans="2:16" ht="7.5" customHeight="1" thickBot="1" x14ac:dyDescent="0.3">
      <c r="B5" s="4"/>
      <c r="C5" s="4"/>
      <c r="D5" s="4"/>
      <c r="E5" s="4"/>
      <c r="F5" s="4"/>
      <c r="G5" s="4"/>
      <c r="H5" s="4"/>
      <c r="I5" s="4"/>
      <c r="J5" s="4"/>
      <c r="K5" s="4"/>
      <c r="L5" s="4"/>
    </row>
    <row r="6" spans="2:16" ht="30" x14ac:dyDescent="0.25">
      <c r="B6" s="4"/>
      <c r="C6" s="4"/>
      <c r="D6" s="4"/>
      <c r="E6" s="13" t="s">
        <v>224</v>
      </c>
      <c r="F6" s="13" t="s">
        <v>225</v>
      </c>
      <c r="G6" s="13" t="s">
        <v>226</v>
      </c>
      <c r="H6" s="13" t="s">
        <v>227</v>
      </c>
      <c r="I6" s="13" t="s">
        <v>228</v>
      </c>
      <c r="J6" s="14" t="str">
        <f>CONCATENATE("var. ",RIGHT(I6,2),"/",RIGHT(H6,2))</f>
        <v>var. 25/24</v>
      </c>
      <c r="K6" s="14" t="str">
        <f>CONCATENATE("dif. ",RIGHT(I6,2),"/",RIGHT(H6,2))</f>
        <v>dif. 25/24</v>
      </c>
      <c r="L6" s="14" t="str">
        <f>CONCATENATE("cuota ",I6)</f>
        <v>cuota enero 2025</v>
      </c>
    </row>
    <row r="7" spans="2:16" ht="15" customHeight="1" x14ac:dyDescent="0.25">
      <c r="B7" s="266" t="s">
        <v>42</v>
      </c>
      <c r="C7" s="269" t="s">
        <v>8</v>
      </c>
      <c r="D7" s="63" t="s">
        <v>43</v>
      </c>
      <c r="E7" s="64">
        <v>46362</v>
      </c>
      <c r="F7" s="64">
        <v>273717</v>
      </c>
      <c r="G7" s="64">
        <v>403637</v>
      </c>
      <c r="H7" s="64">
        <v>417622</v>
      </c>
      <c r="I7" s="64">
        <v>422462</v>
      </c>
      <c r="J7" s="65">
        <f>I7/H7-1</f>
        <v>1.158942776003169E-2</v>
      </c>
      <c r="K7" s="64">
        <f>I7-H7</f>
        <v>4840</v>
      </c>
      <c r="L7" s="65">
        <f>I7/$I$7</f>
        <v>1</v>
      </c>
      <c r="P7" s="66"/>
    </row>
    <row r="8" spans="2:16" ht="15" customHeight="1" x14ac:dyDescent="0.25">
      <c r="B8" s="267"/>
      <c r="C8" s="270"/>
      <c r="D8" s="15" t="s">
        <v>44</v>
      </c>
      <c r="E8" s="16">
        <v>15182</v>
      </c>
      <c r="F8" s="16">
        <v>99949</v>
      </c>
      <c r="G8" s="16">
        <v>139602</v>
      </c>
      <c r="H8" s="16">
        <v>150925</v>
      </c>
      <c r="I8" s="16">
        <v>146051</v>
      </c>
      <c r="J8" s="17">
        <f t="shared" ref="J8:J63" si="0">I8/H8-1</f>
        <v>-3.2294185853900981E-2</v>
      </c>
      <c r="K8" s="16">
        <f t="shared" ref="K8:K50" si="1">I8-H8</f>
        <v>-4874</v>
      </c>
      <c r="L8" s="18">
        <f t="shared" ref="L8:L17" si="2">I8/$I$7</f>
        <v>0.34571393403430367</v>
      </c>
      <c r="P8" s="66"/>
    </row>
    <row r="9" spans="2:16" x14ac:dyDescent="0.25">
      <c r="B9" s="267"/>
      <c r="C9" s="270"/>
      <c r="D9" s="19" t="s">
        <v>45</v>
      </c>
      <c r="E9" s="20">
        <v>8010</v>
      </c>
      <c r="F9" s="20">
        <v>72992</v>
      </c>
      <c r="G9" s="20">
        <v>102127</v>
      </c>
      <c r="H9" s="20">
        <v>102161</v>
      </c>
      <c r="I9" s="20">
        <v>108758</v>
      </c>
      <c r="J9" s="67">
        <f t="shared" si="0"/>
        <v>6.4574544101956732E-2</v>
      </c>
      <c r="K9" s="20">
        <f t="shared" si="1"/>
        <v>6597</v>
      </c>
      <c r="L9" s="68">
        <f t="shared" si="2"/>
        <v>0.25743853885083157</v>
      </c>
      <c r="P9" s="66"/>
    </row>
    <row r="10" spans="2:16" x14ac:dyDescent="0.25">
      <c r="B10" s="267"/>
      <c r="C10" s="270"/>
      <c r="D10" s="19" t="s">
        <v>46</v>
      </c>
      <c r="E10" s="20">
        <v>596</v>
      </c>
      <c r="F10" s="20">
        <v>2563</v>
      </c>
      <c r="G10" s="20">
        <v>6916</v>
      </c>
      <c r="H10" s="20">
        <v>4476</v>
      </c>
      <c r="I10" s="20">
        <v>4609</v>
      </c>
      <c r="J10" s="67">
        <f t="shared" si="0"/>
        <v>2.9714030384271561E-2</v>
      </c>
      <c r="K10" s="20">
        <f t="shared" si="1"/>
        <v>133</v>
      </c>
      <c r="L10" s="68">
        <f t="shared" si="2"/>
        <v>1.0909856981219613E-2</v>
      </c>
      <c r="P10" s="66"/>
    </row>
    <row r="11" spans="2:16" x14ac:dyDescent="0.25">
      <c r="B11" s="267"/>
      <c r="C11" s="270"/>
      <c r="D11" s="19" t="s">
        <v>47</v>
      </c>
      <c r="E11" s="20">
        <v>1197</v>
      </c>
      <c r="F11" s="20">
        <v>9896</v>
      </c>
      <c r="G11" s="20">
        <v>17947</v>
      </c>
      <c r="H11" s="20">
        <v>15841</v>
      </c>
      <c r="I11" s="20">
        <v>14788</v>
      </c>
      <c r="J11" s="67">
        <f t="shared" si="0"/>
        <v>-6.6473076194684677E-2</v>
      </c>
      <c r="K11" s="20">
        <f t="shared" si="1"/>
        <v>-1053</v>
      </c>
      <c r="L11" s="68">
        <f t="shared" si="2"/>
        <v>3.5004331750547978E-2</v>
      </c>
      <c r="P11" s="66"/>
    </row>
    <row r="12" spans="2:16" x14ac:dyDescent="0.25">
      <c r="B12" s="267"/>
      <c r="C12" s="270"/>
      <c r="D12" s="19" t="s">
        <v>48</v>
      </c>
      <c r="E12" s="20">
        <v>4603</v>
      </c>
      <c r="F12" s="20">
        <v>36105</v>
      </c>
      <c r="G12" s="20">
        <v>60088</v>
      </c>
      <c r="H12" s="20">
        <v>64481</v>
      </c>
      <c r="I12" s="20">
        <v>65410</v>
      </c>
      <c r="J12" s="67">
        <f t="shared" si="0"/>
        <v>1.4407344799243216E-2</v>
      </c>
      <c r="K12" s="20">
        <f t="shared" si="1"/>
        <v>929</v>
      </c>
      <c r="L12" s="68">
        <f t="shared" si="2"/>
        <v>0.15483049363019633</v>
      </c>
      <c r="P12" s="66"/>
    </row>
    <row r="13" spans="2:16" x14ac:dyDescent="0.25">
      <c r="B13" s="267"/>
      <c r="C13" s="270"/>
      <c r="D13" s="19" t="s">
        <v>49</v>
      </c>
      <c r="E13" s="20">
        <v>1146</v>
      </c>
      <c r="F13" s="20">
        <v>3527</v>
      </c>
      <c r="G13" s="20">
        <v>5390</v>
      </c>
      <c r="H13" s="20">
        <v>5217</v>
      </c>
      <c r="I13" s="20">
        <v>5311</v>
      </c>
      <c r="J13" s="67">
        <f t="shared" si="0"/>
        <v>1.8018018018018056E-2</v>
      </c>
      <c r="K13" s="20">
        <f t="shared" si="1"/>
        <v>94</v>
      </c>
      <c r="L13" s="68">
        <f t="shared" si="2"/>
        <v>1.2571544896345706E-2</v>
      </c>
      <c r="P13" s="66"/>
    </row>
    <row r="14" spans="2:16" x14ac:dyDescent="0.25">
      <c r="B14" s="267"/>
      <c r="C14" s="270"/>
      <c r="D14" s="19" t="s">
        <v>50</v>
      </c>
      <c r="E14" s="20">
        <v>2476</v>
      </c>
      <c r="F14" s="20">
        <v>11584</v>
      </c>
      <c r="G14" s="20">
        <v>15634</v>
      </c>
      <c r="H14" s="20">
        <v>17228</v>
      </c>
      <c r="I14" s="20">
        <v>20420</v>
      </c>
      <c r="J14" s="67">
        <f t="shared" si="0"/>
        <v>0.18527977710703514</v>
      </c>
      <c r="K14" s="20">
        <f t="shared" si="1"/>
        <v>3192</v>
      </c>
      <c r="L14" s="68">
        <f t="shared" si="2"/>
        <v>4.8335708300391515E-2</v>
      </c>
      <c r="P14" s="66"/>
    </row>
    <row r="15" spans="2:16" x14ac:dyDescent="0.25">
      <c r="B15" s="267"/>
      <c r="C15" s="270"/>
      <c r="D15" s="19" t="s">
        <v>51</v>
      </c>
      <c r="E15" s="20">
        <v>4767</v>
      </c>
      <c r="F15" s="20">
        <v>14146</v>
      </c>
      <c r="G15" s="20">
        <v>23609</v>
      </c>
      <c r="H15" s="20">
        <v>23867</v>
      </c>
      <c r="I15" s="20">
        <v>24602</v>
      </c>
      <c r="J15" s="67">
        <f t="shared" si="0"/>
        <v>3.0795659278501697E-2</v>
      </c>
      <c r="K15" s="20">
        <f t="shared" si="1"/>
        <v>735</v>
      </c>
      <c r="L15" s="68">
        <f t="shared" si="2"/>
        <v>5.8234823487082865E-2</v>
      </c>
      <c r="P15" s="66"/>
    </row>
    <row r="16" spans="2:16" x14ac:dyDescent="0.25">
      <c r="B16" s="267"/>
      <c r="C16" s="270"/>
      <c r="D16" s="19" t="s">
        <v>52</v>
      </c>
      <c r="E16" s="20">
        <v>6223</v>
      </c>
      <c r="F16" s="20">
        <v>15598</v>
      </c>
      <c r="G16" s="20">
        <v>22490</v>
      </c>
      <c r="H16" s="20">
        <v>22650</v>
      </c>
      <c r="I16" s="20">
        <v>22528</v>
      </c>
      <c r="J16" s="67">
        <f t="shared" si="0"/>
        <v>-5.3863134657836653E-3</v>
      </c>
      <c r="K16" s="20">
        <f t="shared" si="1"/>
        <v>-122</v>
      </c>
      <c r="L16" s="68">
        <f t="shared" si="2"/>
        <v>5.3325506199374144E-2</v>
      </c>
      <c r="P16" s="66"/>
    </row>
    <row r="17" spans="2:16" x14ac:dyDescent="0.25">
      <c r="B17" s="267"/>
      <c r="C17" s="271"/>
      <c r="D17" s="23" t="s">
        <v>53</v>
      </c>
      <c r="E17" s="69">
        <v>2162</v>
      </c>
      <c r="F17" s="69">
        <v>7357</v>
      </c>
      <c r="G17" s="69">
        <v>9834</v>
      </c>
      <c r="H17" s="69">
        <v>10776</v>
      </c>
      <c r="I17" s="69">
        <v>9985</v>
      </c>
      <c r="J17" s="25">
        <f t="shared" si="0"/>
        <v>-7.3403860430586443E-2</v>
      </c>
      <c r="K17" s="69">
        <f t="shared" si="1"/>
        <v>-791</v>
      </c>
      <c r="L17" s="46">
        <f t="shared" si="2"/>
        <v>2.3635261869706624E-2</v>
      </c>
      <c r="P17" s="66"/>
    </row>
    <row r="18" spans="2:16" x14ac:dyDescent="0.25">
      <c r="B18" s="267"/>
      <c r="C18" s="272" t="s">
        <v>18</v>
      </c>
      <c r="D18" s="63" t="s">
        <v>43</v>
      </c>
      <c r="E18" s="64">
        <v>58605</v>
      </c>
      <c r="F18" s="64">
        <v>348878</v>
      </c>
      <c r="G18" s="64">
        <v>496191</v>
      </c>
      <c r="H18" s="64">
        <v>514135</v>
      </c>
      <c r="I18" s="64">
        <v>519530</v>
      </c>
      <c r="J18" s="65">
        <f t="shared" si="0"/>
        <v>1.0493352913145459E-2</v>
      </c>
      <c r="K18" s="64">
        <f t="shared" si="1"/>
        <v>5395</v>
      </c>
      <c r="L18" s="65">
        <f t="shared" ref="L18:L19" si="3">I18/$I$18</f>
        <v>1</v>
      </c>
    </row>
    <row r="19" spans="2:16" x14ac:dyDescent="0.25">
      <c r="B19" s="267"/>
      <c r="C19" s="273"/>
      <c r="D19" s="26" t="s">
        <v>44</v>
      </c>
      <c r="E19" s="27">
        <v>20169</v>
      </c>
      <c r="F19" s="27">
        <v>128271</v>
      </c>
      <c r="G19" s="27">
        <v>176286</v>
      </c>
      <c r="H19" s="27">
        <v>189792</v>
      </c>
      <c r="I19" s="27">
        <v>182742</v>
      </c>
      <c r="J19" s="28">
        <f t="shared" si="0"/>
        <v>-3.7145928174000975E-2</v>
      </c>
      <c r="K19" s="27">
        <f t="shared" si="1"/>
        <v>-7050</v>
      </c>
      <c r="L19" s="18">
        <f t="shared" si="3"/>
        <v>0.35174484630338959</v>
      </c>
    </row>
    <row r="20" spans="2:16" x14ac:dyDescent="0.25">
      <c r="B20" s="267"/>
      <c r="C20" s="273"/>
      <c r="D20" s="4" t="s">
        <v>45</v>
      </c>
      <c r="E20" s="29">
        <v>10559</v>
      </c>
      <c r="F20" s="29">
        <v>94600</v>
      </c>
      <c r="G20" s="29">
        <v>128229</v>
      </c>
      <c r="H20" s="29">
        <v>128773</v>
      </c>
      <c r="I20" s="29">
        <v>137756</v>
      </c>
      <c r="J20" s="70">
        <f t="shared" si="0"/>
        <v>6.975841208949074E-2</v>
      </c>
      <c r="K20" s="29">
        <f t="shared" si="1"/>
        <v>8983</v>
      </c>
      <c r="L20" s="68">
        <f>I20/$I$18</f>
        <v>0.26515504398206069</v>
      </c>
    </row>
    <row r="21" spans="2:16" x14ac:dyDescent="0.25">
      <c r="B21" s="267"/>
      <c r="C21" s="273"/>
      <c r="D21" s="4" t="s">
        <v>46</v>
      </c>
      <c r="E21" s="29">
        <v>719</v>
      </c>
      <c r="F21" s="29">
        <v>3045</v>
      </c>
      <c r="G21" s="29">
        <v>7316</v>
      </c>
      <c r="H21" s="29">
        <v>5066</v>
      </c>
      <c r="I21" s="29">
        <v>5202</v>
      </c>
      <c r="J21" s="70">
        <f t="shared" si="0"/>
        <v>2.6845637583892579E-2</v>
      </c>
      <c r="K21" s="29">
        <f t="shared" si="1"/>
        <v>136</v>
      </c>
      <c r="L21" s="68">
        <f t="shared" ref="L21:L28" si="4">I21/$I$18</f>
        <v>1.0012896271630127E-2</v>
      </c>
    </row>
    <row r="22" spans="2:16" x14ac:dyDescent="0.25">
      <c r="B22" s="267"/>
      <c r="C22" s="273"/>
      <c r="D22" s="4" t="s">
        <v>47</v>
      </c>
      <c r="E22" s="29">
        <v>2138</v>
      </c>
      <c r="F22" s="29">
        <v>13086</v>
      </c>
      <c r="G22" s="29">
        <v>21478</v>
      </c>
      <c r="H22" s="29">
        <v>18765</v>
      </c>
      <c r="I22" s="29">
        <v>17806</v>
      </c>
      <c r="J22" s="70">
        <f t="shared" si="0"/>
        <v>-5.1105782041033887E-2</v>
      </c>
      <c r="K22" s="29">
        <f t="shared" si="1"/>
        <v>-959</v>
      </c>
      <c r="L22" s="68">
        <f t="shared" si="4"/>
        <v>3.4273285469559024E-2</v>
      </c>
    </row>
    <row r="23" spans="2:16" x14ac:dyDescent="0.25">
      <c r="B23" s="267"/>
      <c r="C23" s="273"/>
      <c r="D23" s="4" t="s">
        <v>48</v>
      </c>
      <c r="E23" s="29">
        <v>5686</v>
      </c>
      <c r="F23" s="29">
        <v>46455</v>
      </c>
      <c r="G23" s="29">
        <v>73539</v>
      </c>
      <c r="H23" s="29">
        <v>78833</v>
      </c>
      <c r="I23" s="29">
        <v>80690</v>
      </c>
      <c r="J23" s="70">
        <f t="shared" si="0"/>
        <v>2.3556124973044268E-2</v>
      </c>
      <c r="K23" s="29">
        <f t="shared" si="1"/>
        <v>1857</v>
      </c>
      <c r="L23" s="68">
        <f t="shared" si="4"/>
        <v>0.15531345639327854</v>
      </c>
    </row>
    <row r="24" spans="2:16" x14ac:dyDescent="0.25">
      <c r="B24" s="267"/>
      <c r="C24" s="273"/>
      <c r="D24" s="4" t="s">
        <v>49</v>
      </c>
      <c r="E24" s="29">
        <v>1199</v>
      </c>
      <c r="F24" s="29">
        <v>3897</v>
      </c>
      <c r="G24" s="29">
        <v>5725</v>
      </c>
      <c r="H24" s="29">
        <v>5545</v>
      </c>
      <c r="I24" s="29">
        <v>5676</v>
      </c>
      <c r="J24" s="70">
        <f t="shared" si="0"/>
        <v>2.362488728584311E-2</v>
      </c>
      <c r="K24" s="29">
        <f t="shared" si="1"/>
        <v>131</v>
      </c>
      <c r="L24" s="68">
        <f t="shared" si="4"/>
        <v>1.0925259369045098E-2</v>
      </c>
    </row>
    <row r="25" spans="2:16" x14ac:dyDescent="0.25">
      <c r="B25" s="267"/>
      <c r="C25" s="273"/>
      <c r="D25" s="4" t="s">
        <v>50</v>
      </c>
      <c r="E25" s="29">
        <v>3571</v>
      </c>
      <c r="F25" s="29">
        <v>15013</v>
      </c>
      <c r="G25" s="29">
        <v>18881</v>
      </c>
      <c r="H25" s="29">
        <v>21087</v>
      </c>
      <c r="I25" s="29">
        <v>23878</v>
      </c>
      <c r="J25" s="70">
        <f t="shared" si="0"/>
        <v>0.13235642813107606</v>
      </c>
      <c r="K25" s="29">
        <f t="shared" si="1"/>
        <v>2791</v>
      </c>
      <c r="L25" s="68">
        <f t="shared" si="4"/>
        <v>4.5960772236444479E-2</v>
      </c>
    </row>
    <row r="26" spans="2:16" x14ac:dyDescent="0.25">
      <c r="B26" s="267"/>
      <c r="C26" s="273"/>
      <c r="D26" s="4" t="s">
        <v>51</v>
      </c>
      <c r="E26" s="29">
        <v>4922</v>
      </c>
      <c r="F26" s="29">
        <v>15421</v>
      </c>
      <c r="G26" s="29">
        <v>25102</v>
      </c>
      <c r="H26" s="29">
        <v>25562</v>
      </c>
      <c r="I26" s="29">
        <v>26122</v>
      </c>
      <c r="J26" s="70">
        <f t="shared" si="0"/>
        <v>2.1907518973476314E-2</v>
      </c>
      <c r="K26" s="29">
        <f t="shared" si="1"/>
        <v>560</v>
      </c>
      <c r="L26" s="68">
        <f t="shared" si="4"/>
        <v>5.0280060824206496E-2</v>
      </c>
    </row>
    <row r="27" spans="2:16" x14ac:dyDescent="0.25">
      <c r="B27" s="267"/>
      <c r="C27" s="273"/>
      <c r="D27" s="4" t="s">
        <v>52</v>
      </c>
      <c r="E27" s="29">
        <v>7206</v>
      </c>
      <c r="F27" s="29">
        <v>20125</v>
      </c>
      <c r="G27" s="29">
        <v>27531</v>
      </c>
      <c r="H27" s="29">
        <v>27956</v>
      </c>
      <c r="I27" s="29">
        <v>27900</v>
      </c>
      <c r="J27" s="30">
        <f t="shared" si="0"/>
        <v>-2.0031478036914852E-3</v>
      </c>
      <c r="K27" s="29">
        <f t="shared" si="1"/>
        <v>-56</v>
      </c>
      <c r="L27" s="31">
        <f t="shared" si="4"/>
        <v>5.3702384847843246E-2</v>
      </c>
    </row>
    <row r="28" spans="2:16" x14ac:dyDescent="0.25">
      <c r="B28" s="267"/>
      <c r="C28" s="274"/>
      <c r="D28" s="32" t="s">
        <v>53</v>
      </c>
      <c r="E28" s="71">
        <v>2436</v>
      </c>
      <c r="F28" s="71">
        <v>8965</v>
      </c>
      <c r="G28" s="71">
        <v>12104</v>
      </c>
      <c r="H28" s="71">
        <v>12756</v>
      </c>
      <c r="I28" s="71">
        <v>11758</v>
      </c>
      <c r="J28" s="34">
        <f t="shared" si="0"/>
        <v>-7.823769206647857E-2</v>
      </c>
      <c r="K28" s="71">
        <f t="shared" si="1"/>
        <v>-998</v>
      </c>
      <c r="L28" s="72">
        <f t="shared" si="4"/>
        <v>2.2631994302542684E-2</v>
      </c>
    </row>
    <row r="29" spans="2:16" x14ac:dyDescent="0.25">
      <c r="B29" s="267"/>
      <c r="C29" s="269" t="s">
        <v>21</v>
      </c>
      <c r="D29" s="63" t="s">
        <v>43</v>
      </c>
      <c r="E29" s="64">
        <v>260161</v>
      </c>
      <c r="F29" s="64">
        <v>2017602</v>
      </c>
      <c r="G29" s="64">
        <v>2930663</v>
      </c>
      <c r="H29" s="64">
        <v>3028970</v>
      </c>
      <c r="I29" s="64">
        <v>3019532</v>
      </c>
      <c r="J29" s="65">
        <f t="shared" si="0"/>
        <v>-3.1159106891121002E-3</v>
      </c>
      <c r="K29" s="64">
        <f t="shared" si="1"/>
        <v>-9438</v>
      </c>
      <c r="L29" s="65">
        <f t="shared" ref="L29:L30" si="5">I29/$I$29</f>
        <v>1</v>
      </c>
    </row>
    <row r="30" spans="2:16" x14ac:dyDescent="0.25">
      <c r="B30" s="267"/>
      <c r="C30" s="270"/>
      <c r="D30" s="15" t="s">
        <v>44</v>
      </c>
      <c r="E30" s="16">
        <v>98412</v>
      </c>
      <c r="F30" s="16">
        <v>786358</v>
      </c>
      <c r="G30" s="16">
        <v>1105557</v>
      </c>
      <c r="H30" s="16">
        <v>1165181</v>
      </c>
      <c r="I30" s="16">
        <v>1119747</v>
      </c>
      <c r="J30" s="17">
        <f t="shared" si="0"/>
        <v>-3.8993083478017554E-2</v>
      </c>
      <c r="K30" s="16">
        <f t="shared" si="1"/>
        <v>-45434</v>
      </c>
      <c r="L30" s="18">
        <f t="shared" si="5"/>
        <v>0.3708346194045965</v>
      </c>
    </row>
    <row r="31" spans="2:16" x14ac:dyDescent="0.25">
      <c r="B31" s="267"/>
      <c r="C31" s="270"/>
      <c r="D31" s="19" t="s">
        <v>45</v>
      </c>
      <c r="E31" s="20">
        <v>51667</v>
      </c>
      <c r="F31" s="20">
        <v>576461</v>
      </c>
      <c r="G31" s="20">
        <v>810733</v>
      </c>
      <c r="H31" s="20">
        <v>836960</v>
      </c>
      <c r="I31" s="20">
        <v>876312</v>
      </c>
      <c r="J31" s="67">
        <f>I31/H31-1</f>
        <v>4.701777862741352E-2</v>
      </c>
      <c r="K31" s="20">
        <f t="shared" si="1"/>
        <v>39352</v>
      </c>
      <c r="L31" s="68">
        <f>I31/$I$29</f>
        <v>0.29021451006314886</v>
      </c>
    </row>
    <row r="32" spans="2:16" x14ac:dyDescent="0.25">
      <c r="B32" s="267"/>
      <c r="C32" s="270"/>
      <c r="D32" s="19" t="s">
        <v>46</v>
      </c>
      <c r="E32" s="20">
        <v>2960</v>
      </c>
      <c r="F32" s="20">
        <v>13922</v>
      </c>
      <c r="G32" s="20">
        <v>17982</v>
      </c>
      <c r="H32" s="20">
        <v>21297</v>
      </c>
      <c r="I32" s="20">
        <v>21020</v>
      </c>
      <c r="J32" s="67">
        <f t="shared" ref="J32:J41" si="6">I32/H32-1</f>
        <v>-1.3006526740855562E-2</v>
      </c>
      <c r="K32" s="20">
        <f t="shared" si="1"/>
        <v>-277</v>
      </c>
      <c r="L32" s="68">
        <f t="shared" ref="L32:L39" si="7">I32/$I$29</f>
        <v>6.9613436784243385E-3</v>
      </c>
    </row>
    <row r="33" spans="2:12" x14ac:dyDescent="0.25">
      <c r="B33" s="267"/>
      <c r="C33" s="270"/>
      <c r="D33" s="19" t="s">
        <v>47</v>
      </c>
      <c r="E33" s="20">
        <v>12913</v>
      </c>
      <c r="F33" s="20">
        <v>70697</v>
      </c>
      <c r="G33" s="20">
        <v>120145</v>
      </c>
      <c r="H33" s="20">
        <v>89491</v>
      </c>
      <c r="I33" s="20">
        <v>90625</v>
      </c>
      <c r="J33" s="67">
        <f t="shared" si="6"/>
        <v>1.2671665307125934E-2</v>
      </c>
      <c r="K33" s="20">
        <f t="shared" si="1"/>
        <v>1134</v>
      </c>
      <c r="L33" s="68">
        <f t="shared" si="7"/>
        <v>3.0012929155908929E-2</v>
      </c>
    </row>
    <row r="34" spans="2:12" x14ac:dyDescent="0.25">
      <c r="B34" s="267"/>
      <c r="C34" s="270"/>
      <c r="D34" s="19" t="s">
        <v>48</v>
      </c>
      <c r="E34" s="20">
        <v>29647</v>
      </c>
      <c r="F34" s="20">
        <v>262511</v>
      </c>
      <c r="G34" s="20">
        <v>459644</v>
      </c>
      <c r="H34" s="20">
        <v>482317</v>
      </c>
      <c r="I34" s="20">
        <v>494946</v>
      </c>
      <c r="J34" s="67">
        <f t="shared" si="6"/>
        <v>2.6184024199851885E-2</v>
      </c>
      <c r="K34" s="20">
        <f t="shared" si="1"/>
        <v>12629</v>
      </c>
      <c r="L34" s="68">
        <f t="shared" si="7"/>
        <v>0.16391480534069519</v>
      </c>
    </row>
    <row r="35" spans="2:12" x14ac:dyDescent="0.25">
      <c r="B35" s="267"/>
      <c r="C35" s="270"/>
      <c r="D35" s="19" t="s">
        <v>49</v>
      </c>
      <c r="E35" s="20">
        <v>2763</v>
      </c>
      <c r="F35" s="20">
        <v>11400</v>
      </c>
      <c r="G35" s="20">
        <v>14353</v>
      </c>
      <c r="H35" s="20">
        <v>14581</v>
      </c>
      <c r="I35" s="20">
        <v>14255</v>
      </c>
      <c r="J35" s="67">
        <f t="shared" si="6"/>
        <v>-2.2357862972361309E-2</v>
      </c>
      <c r="K35" s="20">
        <f t="shared" si="1"/>
        <v>-326</v>
      </c>
      <c r="L35" s="68">
        <f t="shared" si="7"/>
        <v>4.7209302633653165E-3</v>
      </c>
    </row>
    <row r="36" spans="2:12" x14ac:dyDescent="0.25">
      <c r="B36" s="267"/>
      <c r="C36" s="270"/>
      <c r="D36" s="19" t="s">
        <v>50</v>
      </c>
      <c r="E36" s="20">
        <v>18472</v>
      </c>
      <c r="F36" s="20">
        <v>95884</v>
      </c>
      <c r="G36" s="20">
        <v>98876</v>
      </c>
      <c r="H36" s="20">
        <v>114993</v>
      </c>
      <c r="I36" s="20">
        <v>115159</v>
      </c>
      <c r="J36" s="67">
        <f t="shared" si="6"/>
        <v>1.443566130112206E-3</v>
      </c>
      <c r="K36" s="20">
        <f t="shared" si="1"/>
        <v>166</v>
      </c>
      <c r="L36" s="68">
        <f t="shared" si="7"/>
        <v>3.8138029336996594E-2</v>
      </c>
    </row>
    <row r="37" spans="2:12" x14ac:dyDescent="0.25">
      <c r="B37" s="267"/>
      <c r="C37" s="270"/>
      <c r="D37" s="19" t="s">
        <v>51</v>
      </c>
      <c r="E37" s="20">
        <v>9068</v>
      </c>
      <c r="F37" s="20">
        <v>40065</v>
      </c>
      <c r="G37" s="20">
        <v>59578</v>
      </c>
      <c r="H37" s="20">
        <v>62651</v>
      </c>
      <c r="I37" s="20">
        <v>57077</v>
      </c>
      <c r="J37" s="67">
        <f t="shared" si="6"/>
        <v>-8.8969050773331615E-2</v>
      </c>
      <c r="K37" s="20">
        <f t="shared" si="1"/>
        <v>-5574</v>
      </c>
      <c r="L37" s="68">
        <f t="shared" si="7"/>
        <v>1.8902598150971742E-2</v>
      </c>
    </row>
    <row r="38" spans="2:12" x14ac:dyDescent="0.25">
      <c r="B38" s="267"/>
      <c r="C38" s="270"/>
      <c r="D38" s="19" t="s">
        <v>52</v>
      </c>
      <c r="E38" s="20">
        <v>26469</v>
      </c>
      <c r="F38" s="20">
        <v>114870</v>
      </c>
      <c r="G38" s="20">
        <v>163920</v>
      </c>
      <c r="H38" s="20">
        <v>173408</v>
      </c>
      <c r="I38" s="20">
        <v>169944</v>
      </c>
      <c r="J38" s="21">
        <f t="shared" si="6"/>
        <v>-1.9976010334009975E-2</v>
      </c>
      <c r="K38" s="20">
        <f t="shared" si="1"/>
        <v>-3464</v>
      </c>
      <c r="L38" s="22">
        <f t="shared" si="7"/>
        <v>5.628156946175765E-2</v>
      </c>
    </row>
    <row r="39" spans="2:12" x14ac:dyDescent="0.25">
      <c r="B39" s="267"/>
      <c r="C39" s="271"/>
      <c r="D39" s="23" t="s">
        <v>53</v>
      </c>
      <c r="E39" s="69">
        <v>7790</v>
      </c>
      <c r="F39" s="69">
        <v>45434</v>
      </c>
      <c r="G39" s="69">
        <v>79875</v>
      </c>
      <c r="H39" s="69">
        <v>68091</v>
      </c>
      <c r="I39" s="69">
        <v>60447</v>
      </c>
      <c r="J39" s="25">
        <f t="shared" si="6"/>
        <v>-0.11226153236110503</v>
      </c>
      <c r="K39" s="69">
        <f t="shared" si="1"/>
        <v>-7644</v>
      </c>
      <c r="L39" s="46">
        <f t="shared" si="7"/>
        <v>2.0018665144134917E-2</v>
      </c>
    </row>
    <row r="40" spans="2:12" x14ac:dyDescent="0.25">
      <c r="B40" s="267"/>
      <c r="C40" s="285" t="s">
        <v>22</v>
      </c>
      <c r="D40" s="63" t="s">
        <v>43</v>
      </c>
      <c r="E40" s="73">
        <v>5.6115137397006167</v>
      </c>
      <c r="F40" s="73">
        <v>7.3711241903133526</v>
      </c>
      <c r="G40" s="73">
        <v>7.2606401296214171</v>
      </c>
      <c r="H40" s="73">
        <v>7.2528985541949416</v>
      </c>
      <c r="I40" s="73">
        <v>7.1474641506218308</v>
      </c>
      <c r="J40" s="65">
        <f t="shared" si="6"/>
        <v>-1.4536864508070235E-2</v>
      </c>
      <c r="K40" s="73">
        <f t="shared" si="1"/>
        <v>-0.10543440357311074</v>
      </c>
      <c r="L40" s="65"/>
    </row>
    <row r="41" spans="2:12" x14ac:dyDescent="0.25">
      <c r="B41" s="267"/>
      <c r="C41" s="286"/>
      <c r="D41" s="26" t="s">
        <v>44</v>
      </c>
      <c r="E41" s="35">
        <v>6.4821499143722834</v>
      </c>
      <c r="F41" s="35">
        <v>7.8675924721608022</v>
      </c>
      <c r="G41" s="35">
        <v>7.9193492929900717</v>
      </c>
      <c r="H41" s="35">
        <v>7.7202650323008113</v>
      </c>
      <c r="I41" s="35">
        <v>7.6668218635955929</v>
      </c>
      <c r="J41" s="36">
        <f t="shared" si="6"/>
        <v>-6.9224525947771953E-3</v>
      </c>
      <c r="K41" s="37">
        <f t="shared" si="1"/>
        <v>-5.3443168705218369E-2</v>
      </c>
      <c r="L41" s="38"/>
    </row>
    <row r="42" spans="2:12" x14ac:dyDescent="0.25">
      <c r="B42" s="267"/>
      <c r="C42" s="286"/>
      <c r="D42" s="4" t="s">
        <v>45</v>
      </c>
      <c r="E42" s="39">
        <v>6.4503121098626712</v>
      </c>
      <c r="F42" s="39">
        <v>7.8975915168785624</v>
      </c>
      <c r="G42" s="39">
        <v>7.9384785610073729</v>
      </c>
      <c r="H42" s="39">
        <v>8.192558804240365</v>
      </c>
      <c r="I42" s="39">
        <v>8.0574486474558196</v>
      </c>
      <c r="J42" s="74">
        <f t="shared" si="0"/>
        <v>-1.6491814097765678E-2</v>
      </c>
      <c r="K42" s="41">
        <f t="shared" si="1"/>
        <v>-0.13511015678454541</v>
      </c>
      <c r="L42" s="75"/>
    </row>
    <row r="43" spans="2:12" x14ac:dyDescent="0.25">
      <c r="B43" s="267"/>
      <c r="C43" s="286"/>
      <c r="D43" s="4" t="s">
        <v>46</v>
      </c>
      <c r="E43" s="39">
        <v>4.9664429530201346</v>
      </c>
      <c r="F43" s="39">
        <v>5.4319157237612172</v>
      </c>
      <c r="G43" s="39">
        <v>2.6000578368999423</v>
      </c>
      <c r="H43" s="39">
        <v>4.758042895442359</v>
      </c>
      <c r="I43" s="39">
        <v>4.5606422217400739</v>
      </c>
      <c r="J43" s="74">
        <f t="shared" si="0"/>
        <v>-4.148778773965478E-2</v>
      </c>
      <c r="K43" s="41">
        <f t="shared" si="1"/>
        <v>-0.19740067370228509</v>
      </c>
      <c r="L43" s="75"/>
    </row>
    <row r="44" spans="2:12" x14ac:dyDescent="0.25">
      <c r="B44" s="267"/>
      <c r="C44" s="286"/>
      <c r="D44" s="4" t="s">
        <v>47</v>
      </c>
      <c r="E44" s="39">
        <v>10.78780284043442</v>
      </c>
      <c r="F44" s="39">
        <v>7.1439975747776883</v>
      </c>
      <c r="G44" s="39">
        <v>6.6944336100741069</v>
      </c>
      <c r="H44" s="39">
        <v>5.6493276939587149</v>
      </c>
      <c r="I44" s="39">
        <v>6.1282796862320801</v>
      </c>
      <c r="J44" s="74">
        <f t="shared" si="0"/>
        <v>8.478035232148895E-2</v>
      </c>
      <c r="K44" s="41">
        <f t="shared" si="1"/>
        <v>0.47895199227336516</v>
      </c>
      <c r="L44" s="75"/>
    </row>
    <row r="45" spans="2:12" x14ac:dyDescent="0.25">
      <c r="B45" s="267"/>
      <c r="C45" s="286"/>
      <c r="D45" s="4" t="s">
        <v>48</v>
      </c>
      <c r="E45" s="39">
        <v>6.4407994786009128</v>
      </c>
      <c r="F45" s="39">
        <v>7.2707658219083227</v>
      </c>
      <c r="G45" s="39">
        <v>7.6495140460657698</v>
      </c>
      <c r="H45" s="39">
        <v>7.4799863525689734</v>
      </c>
      <c r="I45" s="39">
        <v>7.5668246445497633</v>
      </c>
      <c r="J45" s="74">
        <f t="shared" si="0"/>
        <v>1.160941850528463E-2</v>
      </c>
      <c r="K45" s="41">
        <f t="shared" si="1"/>
        <v>8.6838291980789961E-2</v>
      </c>
      <c r="L45" s="75"/>
    </row>
    <row r="46" spans="2:12" x14ac:dyDescent="0.25">
      <c r="B46" s="267"/>
      <c r="C46" s="286"/>
      <c r="D46" s="4" t="s">
        <v>49</v>
      </c>
      <c r="E46" s="39">
        <v>2.4109947643979059</v>
      </c>
      <c r="F46" s="39">
        <v>3.2322086759285513</v>
      </c>
      <c r="G46" s="39">
        <v>2.6628942486085343</v>
      </c>
      <c r="H46" s="39">
        <v>2.7949012842629863</v>
      </c>
      <c r="I46" s="39">
        <v>2.6840519676143852</v>
      </c>
      <c r="J46" s="74">
        <f t="shared" si="0"/>
        <v>-3.9661263627717713E-2</v>
      </c>
      <c r="K46" s="41">
        <f t="shared" si="1"/>
        <v>-0.11084931664860109</v>
      </c>
      <c r="L46" s="75"/>
    </row>
    <row r="47" spans="2:12" x14ac:dyDescent="0.25">
      <c r="B47" s="267"/>
      <c r="C47" s="286"/>
      <c r="D47" s="4" t="s">
        <v>50</v>
      </c>
      <c r="E47" s="39">
        <v>7.4604200323101777</v>
      </c>
      <c r="F47" s="39">
        <v>8.2772790055248624</v>
      </c>
      <c r="G47" s="39">
        <v>6.3244211334271458</v>
      </c>
      <c r="H47" s="39">
        <v>6.6747736243324818</v>
      </c>
      <c r="I47" s="39">
        <v>5.639520078354554</v>
      </c>
      <c r="J47" s="74">
        <f t="shared" si="0"/>
        <v>-0.15509942422675937</v>
      </c>
      <c r="K47" s="41">
        <f t="shared" si="1"/>
        <v>-1.0352535459779277</v>
      </c>
      <c r="L47" s="75"/>
    </row>
    <row r="48" spans="2:12" x14ac:dyDescent="0.25">
      <c r="B48" s="267"/>
      <c r="C48" s="286"/>
      <c r="D48" s="4" t="s">
        <v>51</v>
      </c>
      <c r="E48" s="39">
        <v>1.9022445982798406</v>
      </c>
      <c r="F48" s="39">
        <v>2.8322493991234272</v>
      </c>
      <c r="G48" s="39">
        <v>2.5235291626074803</v>
      </c>
      <c r="H48" s="39">
        <v>2.6250052373570201</v>
      </c>
      <c r="I48" s="39">
        <v>2.3200146329566702</v>
      </c>
      <c r="J48" s="74">
        <f t="shared" si="0"/>
        <v>-0.11618666510068709</v>
      </c>
      <c r="K48" s="41">
        <f t="shared" si="1"/>
        <v>-0.30499060440034986</v>
      </c>
      <c r="L48" s="75"/>
    </row>
    <row r="49" spans="2:12" x14ac:dyDescent="0.25">
      <c r="B49" s="267"/>
      <c r="C49" s="286"/>
      <c r="D49" s="4" t="s">
        <v>52</v>
      </c>
      <c r="E49" s="39">
        <v>4.2534147517274628</v>
      </c>
      <c r="F49" s="39">
        <v>7.3644056930375692</v>
      </c>
      <c r="G49" s="39">
        <v>7.2885726989773234</v>
      </c>
      <c r="H49" s="39">
        <v>7.65598233995585</v>
      </c>
      <c r="I49" s="39">
        <v>7.5436789772727275</v>
      </c>
      <c r="J49" s="40">
        <f t="shared" si="0"/>
        <v>-1.4668707122928115E-2</v>
      </c>
      <c r="K49" s="41">
        <f t="shared" si="1"/>
        <v>-0.11230336268312247</v>
      </c>
      <c r="L49" s="42"/>
    </row>
    <row r="50" spans="2:12" x14ac:dyDescent="0.25">
      <c r="B50" s="267"/>
      <c r="C50" s="287"/>
      <c r="D50" s="32" t="s">
        <v>53</v>
      </c>
      <c r="E50" s="76">
        <v>3.6031452358926921</v>
      </c>
      <c r="F50" s="76">
        <v>6.1756150604866118</v>
      </c>
      <c r="G50" s="76">
        <v>8.1223306894447838</v>
      </c>
      <c r="H50" s="76">
        <v>6.3187639198218264</v>
      </c>
      <c r="I50" s="76">
        <v>6.0537806710065096</v>
      </c>
      <c r="J50" s="61">
        <f t="shared" si="0"/>
        <v>-4.1935931169080343E-2</v>
      </c>
      <c r="K50" s="77">
        <f t="shared" si="1"/>
        <v>-0.26498324881531676</v>
      </c>
      <c r="L50" s="55"/>
    </row>
    <row r="51" spans="2:12" x14ac:dyDescent="0.25">
      <c r="B51" s="267"/>
      <c r="C51" s="275" t="s">
        <v>34</v>
      </c>
      <c r="D51" s="63" t="s">
        <v>43</v>
      </c>
      <c r="E51" s="65">
        <v>0.14360000000000001</v>
      </c>
      <c r="F51" s="65">
        <v>0.53969999999999996</v>
      </c>
      <c r="G51" s="65">
        <v>18.086100000000002</v>
      </c>
      <c r="H51" s="65">
        <v>18.834900000000001</v>
      </c>
      <c r="I51" s="65">
        <v>19.095299999999998</v>
      </c>
      <c r="J51" s="65">
        <f t="shared" si="0"/>
        <v>1.3825398595160854E-2</v>
      </c>
      <c r="K51" s="73">
        <f t="shared" ref="K51" si="8">(I51-H51)*100</f>
        <v>26.039999999999708</v>
      </c>
      <c r="L51" s="65"/>
    </row>
    <row r="52" spans="2:12" x14ac:dyDescent="0.25">
      <c r="B52" s="267"/>
      <c r="C52" s="276"/>
      <c r="D52" s="15" t="s">
        <v>44</v>
      </c>
      <c r="E52" s="18">
        <v>0.16260000000000002</v>
      </c>
      <c r="F52" s="18">
        <v>0.59370000000000001</v>
      </c>
      <c r="G52" s="18">
        <v>0.77349999999999997</v>
      </c>
      <c r="H52" s="18">
        <v>0.80409999999999993</v>
      </c>
      <c r="I52" s="18">
        <v>0.78489999999999993</v>
      </c>
      <c r="J52" s="17">
        <f t="shared" si="0"/>
        <v>-2.3877627160800885E-2</v>
      </c>
      <c r="K52" s="44">
        <f>(I52-H52)*100</f>
        <v>-1.9199999999999995</v>
      </c>
      <c r="L52" s="18"/>
    </row>
    <row r="53" spans="2:12" x14ac:dyDescent="0.25">
      <c r="B53" s="267"/>
      <c r="C53" s="276"/>
      <c r="D53" s="19" t="s">
        <v>45</v>
      </c>
      <c r="E53" s="68">
        <v>9.5100000000000004E-2</v>
      </c>
      <c r="F53" s="68">
        <v>0.5</v>
      </c>
      <c r="G53" s="68">
        <v>0.66949999999999998</v>
      </c>
      <c r="H53" s="68">
        <v>0.70660000000000001</v>
      </c>
      <c r="I53" s="68">
        <v>0.73430000000000006</v>
      </c>
      <c r="J53" s="67">
        <f t="shared" si="0"/>
        <v>3.920181149165014E-2</v>
      </c>
      <c r="K53" s="45">
        <f t="shared" ref="K53:K61" si="9">(I53-H53)*100</f>
        <v>2.7700000000000058</v>
      </c>
      <c r="L53" s="68"/>
    </row>
    <row r="54" spans="2:12" x14ac:dyDescent="0.25">
      <c r="B54" s="267"/>
      <c r="C54" s="276"/>
      <c r="D54" s="19" t="s">
        <v>46</v>
      </c>
      <c r="E54" s="68">
        <v>0.1981</v>
      </c>
      <c r="F54" s="68">
        <v>0.56000000000000005</v>
      </c>
      <c r="G54" s="68">
        <v>0.63600000000000001</v>
      </c>
      <c r="H54" s="68">
        <v>0.75329999999999997</v>
      </c>
      <c r="I54" s="68">
        <v>0.74019999999999997</v>
      </c>
      <c r="J54" s="67">
        <f t="shared" si="0"/>
        <v>-1.7390150006637461E-2</v>
      </c>
      <c r="K54" s="45">
        <f t="shared" si="9"/>
        <v>-1.31</v>
      </c>
      <c r="L54" s="68"/>
    </row>
    <row r="55" spans="2:12" x14ac:dyDescent="0.25">
      <c r="B55" s="267"/>
      <c r="C55" s="276"/>
      <c r="D55" s="19" t="s">
        <v>47</v>
      </c>
      <c r="E55" s="68">
        <v>0.11410000000000001</v>
      </c>
      <c r="F55" s="68">
        <v>0.49990000000000001</v>
      </c>
      <c r="G55" s="68">
        <v>0.84950000000000003</v>
      </c>
      <c r="H55" s="68">
        <v>0.63280000000000003</v>
      </c>
      <c r="I55" s="68">
        <v>0.63329999999999997</v>
      </c>
      <c r="J55" s="67">
        <f t="shared" si="0"/>
        <v>7.9013906447533699E-4</v>
      </c>
      <c r="K55" s="45">
        <f t="shared" si="9"/>
        <v>4.9999999999994493E-2</v>
      </c>
      <c r="L55" s="68"/>
    </row>
    <row r="56" spans="2:12" x14ac:dyDescent="0.25">
      <c r="B56" s="267"/>
      <c r="C56" s="276"/>
      <c r="D56" s="19" t="s">
        <v>48</v>
      </c>
      <c r="E56" s="68">
        <v>0.1467</v>
      </c>
      <c r="F56" s="68">
        <v>0.46729999999999999</v>
      </c>
      <c r="G56" s="68">
        <v>0.77790000000000004</v>
      </c>
      <c r="H56" s="68">
        <v>0.78709999999999991</v>
      </c>
      <c r="I56" s="68">
        <v>0.80409999999999993</v>
      </c>
      <c r="J56" s="67">
        <f t="shared" si="0"/>
        <v>2.1598272138229069E-2</v>
      </c>
      <c r="K56" s="45">
        <f t="shared" si="9"/>
        <v>1.7000000000000015</v>
      </c>
      <c r="L56" s="68"/>
    </row>
    <row r="57" spans="2:12" x14ac:dyDescent="0.25">
      <c r="B57" s="267"/>
      <c r="C57" s="276"/>
      <c r="D57" s="19" t="s">
        <v>49</v>
      </c>
      <c r="E57" s="68">
        <v>0.19170000000000001</v>
      </c>
      <c r="F57" s="68">
        <v>0.58840000000000003</v>
      </c>
      <c r="G57" s="68">
        <v>0.69830000000000003</v>
      </c>
      <c r="H57" s="68">
        <v>0.69889999999999997</v>
      </c>
      <c r="I57" s="68">
        <v>0.68330000000000002</v>
      </c>
      <c r="J57" s="67">
        <f t="shared" si="0"/>
        <v>-2.2320789812562469E-2</v>
      </c>
      <c r="K57" s="45">
        <f t="shared" si="9"/>
        <v>-1.5599999999999947</v>
      </c>
      <c r="L57" s="68"/>
    </row>
    <row r="58" spans="2:12" x14ac:dyDescent="0.25">
      <c r="B58" s="267"/>
      <c r="C58" s="276"/>
      <c r="D58" s="19" t="s">
        <v>50</v>
      </c>
      <c r="E58" s="68">
        <v>0.29010000000000002</v>
      </c>
      <c r="F58" s="68">
        <v>0.7419</v>
      </c>
      <c r="G58" s="68">
        <v>0.66569999999999996</v>
      </c>
      <c r="H58" s="68">
        <v>0.77329999999999999</v>
      </c>
      <c r="I58" s="68">
        <v>0.76390000000000002</v>
      </c>
      <c r="J58" s="67">
        <f t="shared" si="0"/>
        <v>-1.2155696366222601E-2</v>
      </c>
      <c r="K58" s="45">
        <f t="shared" si="9"/>
        <v>-0.93999999999999639</v>
      </c>
      <c r="L58" s="68"/>
    </row>
    <row r="59" spans="2:12" x14ac:dyDescent="0.25">
      <c r="B59" s="267"/>
      <c r="C59" s="276"/>
      <c r="D59" s="19" t="s">
        <v>51</v>
      </c>
      <c r="E59" s="68">
        <v>0.17649999999999999</v>
      </c>
      <c r="F59" s="68">
        <v>0.51840000000000008</v>
      </c>
      <c r="G59" s="68">
        <v>0.67859999999999998</v>
      </c>
      <c r="H59" s="68">
        <v>0.73069999999999991</v>
      </c>
      <c r="I59" s="68">
        <v>0.68730000000000002</v>
      </c>
      <c r="J59" s="67">
        <f t="shared" si="0"/>
        <v>-5.9395100588476635E-2</v>
      </c>
      <c r="K59" s="45">
        <f t="shared" si="9"/>
        <v>-4.3399999999999883</v>
      </c>
      <c r="L59" s="68"/>
    </row>
    <row r="60" spans="2:12" x14ac:dyDescent="0.25">
      <c r="B60" s="267"/>
      <c r="C60" s="276"/>
      <c r="D60" s="19" t="s">
        <v>52</v>
      </c>
      <c r="E60" s="22">
        <v>0.22309999999999999</v>
      </c>
      <c r="F60" s="22">
        <v>0.57789999999999997</v>
      </c>
      <c r="G60" s="22">
        <v>0.82430000000000003</v>
      </c>
      <c r="H60" s="22">
        <v>0.872</v>
      </c>
      <c r="I60" s="22">
        <v>0.84379999999999999</v>
      </c>
      <c r="J60" s="21">
        <f t="shared" si="0"/>
        <v>-3.2339449541284426E-2</v>
      </c>
      <c r="K60" s="45">
        <f t="shared" si="9"/>
        <v>-2.8200000000000003</v>
      </c>
      <c r="L60" s="22"/>
    </row>
    <row r="61" spans="2:12" x14ac:dyDescent="0.25">
      <c r="B61" s="267"/>
      <c r="C61" s="277"/>
      <c r="D61" s="23" t="s">
        <v>53</v>
      </c>
      <c r="E61" s="46">
        <v>9.2100000000000015E-2</v>
      </c>
      <c r="F61" s="46">
        <v>0.41960000000000003</v>
      </c>
      <c r="G61" s="46">
        <v>0.83629999999999993</v>
      </c>
      <c r="H61" s="46">
        <v>0.71970000000000001</v>
      </c>
      <c r="I61" s="46">
        <v>0.62639999999999996</v>
      </c>
      <c r="J61" s="25">
        <f t="shared" si="0"/>
        <v>-0.12963734889537315</v>
      </c>
      <c r="K61" s="78">
        <f t="shared" si="9"/>
        <v>-9.3300000000000054</v>
      </c>
      <c r="L61" s="46"/>
    </row>
    <row r="62" spans="2:12" x14ac:dyDescent="0.25">
      <c r="B62" s="267"/>
      <c r="C62" s="278" t="s">
        <v>54</v>
      </c>
      <c r="D62" s="63" t="s">
        <v>43</v>
      </c>
      <c r="E62" s="64">
        <v>58432</v>
      </c>
      <c r="F62" s="64">
        <v>120593</v>
      </c>
      <c r="G62" s="64">
        <v>382461</v>
      </c>
      <c r="H62" s="64">
        <v>383691</v>
      </c>
      <c r="I62" s="64">
        <v>383193</v>
      </c>
      <c r="J62" s="65">
        <f t="shared" si="0"/>
        <v>-1.2979194195329447E-3</v>
      </c>
      <c r="K62" s="64">
        <f t="shared" ref="K62:K63" si="10">I62-H62</f>
        <v>-498</v>
      </c>
      <c r="L62" s="65">
        <f t="shared" ref="L62:L63" si="11">I62/$I$62</f>
        <v>1</v>
      </c>
    </row>
    <row r="63" spans="2:12" x14ac:dyDescent="0.25">
      <c r="B63" s="267"/>
      <c r="C63" s="279"/>
      <c r="D63" s="26" t="s">
        <v>44</v>
      </c>
      <c r="E63" s="27">
        <v>19529</v>
      </c>
      <c r="F63" s="27">
        <v>42725</v>
      </c>
      <c r="G63" s="27">
        <v>46105</v>
      </c>
      <c r="H63" s="27">
        <v>46741</v>
      </c>
      <c r="I63" s="27">
        <v>46019</v>
      </c>
      <c r="J63" s="36">
        <f t="shared" si="0"/>
        <v>-1.5446823987505631E-2</v>
      </c>
      <c r="K63" s="27">
        <f t="shared" si="10"/>
        <v>-722</v>
      </c>
      <c r="L63" s="38">
        <f t="shared" si="11"/>
        <v>0.12009352989224752</v>
      </c>
    </row>
    <row r="64" spans="2:12" x14ac:dyDescent="0.25">
      <c r="B64" s="267"/>
      <c r="C64" s="279"/>
      <c r="D64" s="4" t="s">
        <v>45</v>
      </c>
      <c r="E64" s="29">
        <v>17520</v>
      </c>
      <c r="F64" s="29">
        <v>37189</v>
      </c>
      <c r="G64" s="29">
        <v>39065</v>
      </c>
      <c r="H64" s="29">
        <v>38211</v>
      </c>
      <c r="I64" s="29">
        <v>38499</v>
      </c>
      <c r="J64" s="74">
        <f>I64/H64-1</f>
        <v>7.5370966475623025E-3</v>
      </c>
      <c r="K64" s="29">
        <f>I64-H64</f>
        <v>288</v>
      </c>
      <c r="L64" s="75">
        <f>I64/$I$62</f>
        <v>0.10046895428674324</v>
      </c>
    </row>
    <row r="65" spans="2:12" x14ac:dyDescent="0.25">
      <c r="B65" s="267"/>
      <c r="C65" s="279"/>
      <c r="D65" s="4" t="s">
        <v>46</v>
      </c>
      <c r="E65" s="29">
        <v>482</v>
      </c>
      <c r="F65" s="29">
        <v>802</v>
      </c>
      <c r="G65" s="29">
        <v>912</v>
      </c>
      <c r="H65" s="29">
        <v>912</v>
      </c>
      <c r="I65" s="29">
        <v>916</v>
      </c>
      <c r="J65" s="74">
        <f t="shared" ref="J65:J72" si="12">I65/H65-1</f>
        <v>4.3859649122806044E-3</v>
      </c>
      <c r="K65" s="29">
        <f t="shared" ref="K65:K72" si="13">I65-H65</f>
        <v>4</v>
      </c>
      <c r="L65" s="75">
        <f t="shared" ref="L65:L72" si="14">I65/$I$62</f>
        <v>2.3904403264151486E-3</v>
      </c>
    </row>
    <row r="66" spans="2:12" x14ac:dyDescent="0.25">
      <c r="B66" s="267"/>
      <c r="C66" s="279"/>
      <c r="D66" s="4" t="s">
        <v>47</v>
      </c>
      <c r="E66" s="29">
        <v>3652</v>
      </c>
      <c r="F66" s="29">
        <v>4562</v>
      </c>
      <c r="G66" s="29">
        <v>4562</v>
      </c>
      <c r="H66" s="29">
        <v>4562</v>
      </c>
      <c r="I66" s="29">
        <v>4616</v>
      </c>
      <c r="J66" s="74">
        <f t="shared" si="12"/>
        <v>1.1836913634370783E-2</v>
      </c>
      <c r="K66" s="29">
        <f t="shared" si="13"/>
        <v>54</v>
      </c>
      <c r="L66" s="75">
        <f t="shared" si="14"/>
        <v>1.2046149068485071E-2</v>
      </c>
    </row>
    <row r="67" spans="2:12" x14ac:dyDescent="0.25">
      <c r="B67" s="267"/>
      <c r="C67" s="279"/>
      <c r="D67" s="4" t="s">
        <v>48</v>
      </c>
      <c r="E67" s="29">
        <v>6518</v>
      </c>
      <c r="F67" s="29">
        <v>18123</v>
      </c>
      <c r="G67" s="29">
        <v>19061</v>
      </c>
      <c r="H67" s="29">
        <v>19768</v>
      </c>
      <c r="I67" s="29">
        <v>19856</v>
      </c>
      <c r="J67" s="74">
        <f t="shared" si="12"/>
        <v>4.4516390125455274E-3</v>
      </c>
      <c r="K67" s="29">
        <f t="shared" si="13"/>
        <v>88</v>
      </c>
      <c r="L67" s="75">
        <f t="shared" si="14"/>
        <v>5.1817230481767673E-2</v>
      </c>
    </row>
    <row r="68" spans="2:12" x14ac:dyDescent="0.25">
      <c r="B68" s="267"/>
      <c r="C68" s="279"/>
      <c r="D68" s="4" t="s">
        <v>49</v>
      </c>
      <c r="E68" s="29">
        <v>465</v>
      </c>
      <c r="F68" s="29">
        <v>625</v>
      </c>
      <c r="G68" s="29">
        <v>663</v>
      </c>
      <c r="H68" s="29">
        <v>673</v>
      </c>
      <c r="I68" s="29">
        <v>673</v>
      </c>
      <c r="J68" s="74">
        <f t="shared" si="12"/>
        <v>0</v>
      </c>
      <c r="K68" s="29">
        <f t="shared" si="13"/>
        <v>0</v>
      </c>
      <c r="L68" s="75">
        <f t="shared" si="14"/>
        <v>1.7562951306521778E-3</v>
      </c>
    </row>
    <row r="69" spans="2:12" x14ac:dyDescent="0.25">
      <c r="B69" s="267"/>
      <c r="C69" s="279"/>
      <c r="D69" s="4" t="s">
        <v>50</v>
      </c>
      <c r="E69" s="29">
        <v>2054</v>
      </c>
      <c r="F69" s="29">
        <v>4169</v>
      </c>
      <c r="G69" s="29">
        <v>4791</v>
      </c>
      <c r="H69" s="29">
        <v>4797</v>
      </c>
      <c r="I69" s="29">
        <v>4863</v>
      </c>
      <c r="J69" s="74">
        <f t="shared" si="12"/>
        <v>1.3758599124452875E-2</v>
      </c>
      <c r="K69" s="29">
        <f t="shared" si="13"/>
        <v>66</v>
      </c>
      <c r="L69" s="75">
        <f t="shared" si="14"/>
        <v>1.2690732868293524E-2</v>
      </c>
    </row>
    <row r="70" spans="2:12" x14ac:dyDescent="0.25">
      <c r="B70" s="267"/>
      <c r="C70" s="279"/>
      <c r="D70" s="4" t="s">
        <v>51</v>
      </c>
      <c r="E70" s="29">
        <v>1657</v>
      </c>
      <c r="F70" s="29">
        <v>2493</v>
      </c>
      <c r="G70" s="29">
        <v>2832</v>
      </c>
      <c r="H70" s="29">
        <v>2766</v>
      </c>
      <c r="I70" s="29">
        <v>2679</v>
      </c>
      <c r="J70" s="74">
        <f t="shared" si="12"/>
        <v>-3.1453362255965289E-2</v>
      </c>
      <c r="K70" s="29">
        <f t="shared" si="13"/>
        <v>-87</v>
      </c>
      <c r="L70" s="75">
        <f t="shared" si="14"/>
        <v>6.991255059460898E-3</v>
      </c>
    </row>
    <row r="71" spans="2:12" x14ac:dyDescent="0.25">
      <c r="B71" s="267"/>
      <c r="C71" s="279"/>
      <c r="D71" s="4" t="s">
        <v>52</v>
      </c>
      <c r="E71" s="29">
        <v>3828</v>
      </c>
      <c r="F71" s="29">
        <v>6412</v>
      </c>
      <c r="G71" s="29">
        <v>6415</v>
      </c>
      <c r="H71" s="29">
        <v>6415</v>
      </c>
      <c r="I71" s="29">
        <v>6497</v>
      </c>
      <c r="J71" s="40">
        <f t="shared" si="12"/>
        <v>1.278254091971931E-2</v>
      </c>
      <c r="K71" s="29">
        <f t="shared" si="13"/>
        <v>82</v>
      </c>
      <c r="L71" s="42">
        <f t="shared" si="14"/>
        <v>1.6954902620872511E-2</v>
      </c>
    </row>
    <row r="72" spans="2:12" x14ac:dyDescent="0.25">
      <c r="B72" s="268"/>
      <c r="C72" s="280"/>
      <c r="D72" s="32" t="s">
        <v>53</v>
      </c>
      <c r="E72" s="71">
        <v>2727</v>
      </c>
      <c r="F72" s="71">
        <v>3493</v>
      </c>
      <c r="G72" s="71">
        <v>3081</v>
      </c>
      <c r="H72" s="71">
        <v>3052</v>
      </c>
      <c r="I72" s="71">
        <v>3113</v>
      </c>
      <c r="J72" s="61">
        <f t="shared" si="12"/>
        <v>1.998689384010488E-2</v>
      </c>
      <c r="K72" s="71">
        <f t="shared" si="13"/>
        <v>61</v>
      </c>
      <c r="L72" s="55">
        <f t="shared" si="14"/>
        <v>8.1238435983955869E-3</v>
      </c>
    </row>
    <row r="73" spans="2:12" ht="7.5" customHeight="1" x14ac:dyDescent="0.25">
      <c r="B73" s="281"/>
      <c r="C73" s="281"/>
      <c r="D73" s="281"/>
      <c r="E73" s="281"/>
      <c r="F73" s="281"/>
      <c r="G73" s="281"/>
      <c r="H73" s="281"/>
      <c r="I73" s="281"/>
      <c r="J73" s="281"/>
      <c r="K73" s="281"/>
      <c r="L73" s="47"/>
    </row>
    <row r="74" spans="2:12" x14ac:dyDescent="0.25">
      <c r="B74" s="283" t="s">
        <v>55</v>
      </c>
      <c r="C74" s="283"/>
      <c r="D74" s="283"/>
      <c r="E74" s="283"/>
      <c r="F74" s="283"/>
      <c r="G74" s="283"/>
      <c r="H74" s="283"/>
      <c r="I74" s="283"/>
      <c r="J74" s="283"/>
      <c r="K74" s="283"/>
    </row>
    <row r="76" spans="2:12" x14ac:dyDescent="0.25">
      <c r="B76" s="56"/>
    </row>
    <row r="77" spans="2:12" ht="21.75" customHeight="1" thickBot="1" x14ac:dyDescent="0.3">
      <c r="B77" s="265" t="s">
        <v>56</v>
      </c>
      <c r="C77" s="265"/>
      <c r="D77" s="265"/>
      <c r="E77" s="265"/>
      <c r="F77" s="265"/>
      <c r="G77" s="265"/>
      <c r="H77" s="265"/>
      <c r="I77" s="265"/>
      <c r="J77" s="265"/>
      <c r="K77" s="265"/>
      <c r="L77" s="12"/>
    </row>
    <row r="78" spans="2:12" ht="6" customHeight="1" thickBot="1" x14ac:dyDescent="0.3"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</row>
    <row r="79" spans="2:12" ht="60" x14ac:dyDescent="0.25">
      <c r="B79" s="4"/>
      <c r="C79" s="4"/>
      <c r="D79" s="4"/>
      <c r="E79" s="13" t="s">
        <v>229</v>
      </c>
      <c r="F79" s="13" t="s">
        <v>230</v>
      </c>
      <c r="G79" s="13" t="s">
        <v>231</v>
      </c>
      <c r="H79" s="13" t="s">
        <v>232</v>
      </c>
      <c r="I79" s="13" t="s">
        <v>233</v>
      </c>
      <c r="J79" s="14" t="str">
        <f>CONCATENATE("var. ",RIGHT(I79,2),"/",RIGHT(H79,2))</f>
        <v>var. 25/24</v>
      </c>
      <c r="K79" s="14" t="str">
        <f>CONCATENATE("dif. ",RIGHT(I79,2),"/",RIGHT(H79,2))</f>
        <v>dif. 25/24</v>
      </c>
      <c r="L79" s="14" t="str">
        <f>CONCATENATE("cuota ",I79)</f>
        <v>cuota acumulado a enero 2025</v>
      </c>
    </row>
    <row r="80" spans="2:12" ht="15" customHeight="1" x14ac:dyDescent="0.25">
      <c r="B80" s="266" t="s">
        <v>42</v>
      </c>
      <c r="C80" s="269" t="s">
        <v>8</v>
      </c>
      <c r="D80" s="63" t="s">
        <v>43</v>
      </c>
      <c r="E80" s="64">
        <v>46362</v>
      </c>
      <c r="F80" s="64">
        <v>273717</v>
      </c>
      <c r="G80" s="64">
        <v>403637</v>
      </c>
      <c r="H80" s="64">
        <v>417622</v>
      </c>
      <c r="I80" s="64">
        <v>422462</v>
      </c>
      <c r="J80" s="65">
        <f t="shared" ref="J80:J81" si="15">I80/H80-1</f>
        <v>1.158942776003169E-2</v>
      </c>
      <c r="K80" s="64">
        <f t="shared" ref="K80:K81" si="16">I80-H80</f>
        <v>4840</v>
      </c>
      <c r="L80" s="65">
        <f t="shared" ref="L80:L81" si="17">I80/$I$80</f>
        <v>1</v>
      </c>
    </row>
    <row r="81" spans="2:13" ht="15" customHeight="1" x14ac:dyDescent="0.25">
      <c r="B81" s="267"/>
      <c r="C81" s="270"/>
      <c r="D81" s="15" t="s">
        <v>44</v>
      </c>
      <c r="E81" s="16">
        <v>15182</v>
      </c>
      <c r="F81" s="16">
        <v>99949</v>
      </c>
      <c r="G81" s="16">
        <v>139602</v>
      </c>
      <c r="H81" s="16">
        <v>150925</v>
      </c>
      <c r="I81" s="16">
        <v>146051</v>
      </c>
      <c r="J81" s="18">
        <f t="shared" si="15"/>
        <v>-3.2294185853900981E-2</v>
      </c>
      <c r="K81" s="16">
        <f t="shared" si="16"/>
        <v>-4874</v>
      </c>
      <c r="L81" s="18">
        <f t="shared" si="17"/>
        <v>0.34571393403430367</v>
      </c>
      <c r="M81" s="79"/>
    </row>
    <row r="82" spans="2:13" x14ac:dyDescent="0.25">
      <c r="B82" s="267"/>
      <c r="C82" s="270"/>
      <c r="D82" s="19" t="s">
        <v>45</v>
      </c>
      <c r="E82" s="20">
        <v>8010</v>
      </c>
      <c r="F82" s="20">
        <v>72992</v>
      </c>
      <c r="G82" s="20">
        <v>102127</v>
      </c>
      <c r="H82" s="20">
        <v>102161</v>
      </c>
      <c r="I82" s="20">
        <v>108758</v>
      </c>
      <c r="J82" s="68">
        <f>I82/H82-1</f>
        <v>6.4574544101956732E-2</v>
      </c>
      <c r="K82" s="20">
        <f>I82-H82</f>
        <v>6597</v>
      </c>
      <c r="L82" s="68">
        <f>I82/$I$80</f>
        <v>0.25743853885083157</v>
      </c>
      <c r="M82" s="79"/>
    </row>
    <row r="83" spans="2:13" x14ac:dyDescent="0.25">
      <c r="B83" s="267"/>
      <c r="C83" s="270"/>
      <c r="D83" s="19" t="s">
        <v>46</v>
      </c>
      <c r="E83" s="20">
        <v>596</v>
      </c>
      <c r="F83" s="20">
        <v>2563</v>
      </c>
      <c r="G83" s="20">
        <v>6916</v>
      </c>
      <c r="H83" s="20">
        <v>4476</v>
      </c>
      <c r="I83" s="20">
        <v>4609</v>
      </c>
      <c r="J83" s="68">
        <f t="shared" ref="J83:J136" si="18">I83/H83-1</f>
        <v>2.9714030384271561E-2</v>
      </c>
      <c r="K83" s="20">
        <f t="shared" ref="K83:K112" si="19">I83-H83</f>
        <v>133</v>
      </c>
      <c r="L83" s="68">
        <f t="shared" ref="L83:L90" si="20">I83/$I$80</f>
        <v>1.0909856981219613E-2</v>
      </c>
      <c r="M83" s="79"/>
    </row>
    <row r="84" spans="2:13" x14ac:dyDescent="0.25">
      <c r="B84" s="267"/>
      <c r="C84" s="270"/>
      <c r="D84" s="19" t="s">
        <v>47</v>
      </c>
      <c r="E84" s="20">
        <v>1197</v>
      </c>
      <c r="F84" s="20">
        <v>9896</v>
      </c>
      <c r="G84" s="20">
        <v>17947</v>
      </c>
      <c r="H84" s="20">
        <v>15841</v>
      </c>
      <c r="I84" s="20">
        <v>14788</v>
      </c>
      <c r="J84" s="68">
        <f t="shared" si="18"/>
        <v>-6.6473076194684677E-2</v>
      </c>
      <c r="K84" s="20">
        <f t="shared" si="19"/>
        <v>-1053</v>
      </c>
      <c r="L84" s="68">
        <f t="shared" si="20"/>
        <v>3.5004331750547978E-2</v>
      </c>
      <c r="M84" s="79"/>
    </row>
    <row r="85" spans="2:13" x14ac:dyDescent="0.25">
      <c r="B85" s="267"/>
      <c r="C85" s="270"/>
      <c r="D85" s="19" t="s">
        <v>48</v>
      </c>
      <c r="E85" s="20">
        <v>4603</v>
      </c>
      <c r="F85" s="20">
        <v>36105</v>
      </c>
      <c r="G85" s="20">
        <v>60088</v>
      </c>
      <c r="H85" s="20">
        <v>64481</v>
      </c>
      <c r="I85" s="20">
        <v>65410</v>
      </c>
      <c r="J85" s="68">
        <f t="shared" si="18"/>
        <v>1.4407344799243216E-2</v>
      </c>
      <c r="K85" s="20">
        <f t="shared" si="19"/>
        <v>929</v>
      </c>
      <c r="L85" s="68">
        <f t="shared" si="20"/>
        <v>0.15483049363019633</v>
      </c>
      <c r="M85" s="79"/>
    </row>
    <row r="86" spans="2:13" x14ac:dyDescent="0.25">
      <c r="B86" s="267"/>
      <c r="C86" s="270"/>
      <c r="D86" s="19" t="s">
        <v>49</v>
      </c>
      <c r="E86" s="20">
        <v>1146</v>
      </c>
      <c r="F86" s="20">
        <v>3527</v>
      </c>
      <c r="G86" s="20">
        <v>5390</v>
      </c>
      <c r="H86" s="20">
        <v>5217</v>
      </c>
      <c r="I86" s="20">
        <v>5311</v>
      </c>
      <c r="J86" s="68">
        <f t="shared" si="18"/>
        <v>1.8018018018018056E-2</v>
      </c>
      <c r="K86" s="20">
        <f t="shared" si="19"/>
        <v>94</v>
      </c>
      <c r="L86" s="68">
        <f t="shared" si="20"/>
        <v>1.2571544896345706E-2</v>
      </c>
      <c r="M86" s="79"/>
    </row>
    <row r="87" spans="2:13" x14ac:dyDescent="0.25">
      <c r="B87" s="267"/>
      <c r="C87" s="270"/>
      <c r="D87" s="19" t="s">
        <v>50</v>
      </c>
      <c r="E87" s="20">
        <v>2476</v>
      </c>
      <c r="F87" s="20">
        <v>11584</v>
      </c>
      <c r="G87" s="20">
        <v>15634</v>
      </c>
      <c r="H87" s="20">
        <v>17228</v>
      </c>
      <c r="I87" s="20">
        <v>20420</v>
      </c>
      <c r="J87" s="68">
        <f t="shared" si="18"/>
        <v>0.18527977710703514</v>
      </c>
      <c r="K87" s="20">
        <f t="shared" si="19"/>
        <v>3192</v>
      </c>
      <c r="L87" s="68">
        <f t="shared" si="20"/>
        <v>4.8335708300391515E-2</v>
      </c>
      <c r="M87" s="79"/>
    </row>
    <row r="88" spans="2:13" x14ac:dyDescent="0.25">
      <c r="B88" s="267"/>
      <c r="C88" s="270"/>
      <c r="D88" s="19" t="s">
        <v>51</v>
      </c>
      <c r="E88" s="20">
        <v>4767</v>
      </c>
      <c r="F88" s="20">
        <v>14146</v>
      </c>
      <c r="G88" s="20">
        <v>23609</v>
      </c>
      <c r="H88" s="20">
        <v>23867</v>
      </c>
      <c r="I88" s="20">
        <v>24602</v>
      </c>
      <c r="J88" s="68">
        <f t="shared" si="18"/>
        <v>3.0795659278501697E-2</v>
      </c>
      <c r="K88" s="20">
        <f t="shared" si="19"/>
        <v>735</v>
      </c>
      <c r="L88" s="68">
        <f t="shared" si="20"/>
        <v>5.8234823487082865E-2</v>
      </c>
      <c r="M88" s="79"/>
    </row>
    <row r="89" spans="2:13" ht="18" customHeight="1" x14ac:dyDescent="0.25">
      <c r="B89" s="267"/>
      <c r="C89" s="270"/>
      <c r="D89" s="19" t="s">
        <v>52</v>
      </c>
      <c r="E89" s="20">
        <v>6223</v>
      </c>
      <c r="F89" s="20">
        <v>15598</v>
      </c>
      <c r="G89" s="20">
        <v>22490</v>
      </c>
      <c r="H89" s="20">
        <v>22650</v>
      </c>
      <c r="I89" s="20">
        <v>22528</v>
      </c>
      <c r="J89" s="22">
        <f t="shared" si="18"/>
        <v>-5.3863134657836653E-3</v>
      </c>
      <c r="K89" s="20">
        <f t="shared" si="19"/>
        <v>-122</v>
      </c>
      <c r="L89" s="22">
        <f t="shared" si="20"/>
        <v>5.3325506199374144E-2</v>
      </c>
      <c r="M89" s="79"/>
    </row>
    <row r="90" spans="2:13" x14ac:dyDescent="0.25">
      <c r="B90" s="267"/>
      <c r="C90" s="271"/>
      <c r="D90" s="23" t="s">
        <v>53</v>
      </c>
      <c r="E90" s="69">
        <v>2162</v>
      </c>
      <c r="F90" s="69">
        <v>7357</v>
      </c>
      <c r="G90" s="69">
        <v>9834</v>
      </c>
      <c r="H90" s="69">
        <v>10776</v>
      </c>
      <c r="I90" s="69">
        <v>9985</v>
      </c>
      <c r="J90" s="46">
        <f t="shared" si="18"/>
        <v>-7.3403860430586443E-2</v>
      </c>
      <c r="K90" s="69">
        <f t="shared" si="19"/>
        <v>-791</v>
      </c>
      <c r="L90" s="46">
        <f t="shared" si="20"/>
        <v>2.3635261869706624E-2</v>
      </c>
      <c r="M90" s="79"/>
    </row>
    <row r="91" spans="2:13" x14ac:dyDescent="0.25">
      <c r="B91" s="267"/>
      <c r="C91" s="272" t="s">
        <v>18</v>
      </c>
      <c r="D91" s="63" t="s">
        <v>43</v>
      </c>
      <c r="E91" s="64">
        <v>58605</v>
      </c>
      <c r="F91" s="64">
        <v>348878</v>
      </c>
      <c r="G91" s="64">
        <v>496191</v>
      </c>
      <c r="H91" s="64">
        <v>514135</v>
      </c>
      <c r="I91" s="64">
        <v>519530</v>
      </c>
      <c r="J91" s="65">
        <f t="shared" si="18"/>
        <v>1.0493352913145459E-2</v>
      </c>
      <c r="K91" s="64">
        <f t="shared" si="19"/>
        <v>5395</v>
      </c>
      <c r="L91" s="65">
        <f t="shared" ref="L91:L92" si="21">I91/$I$91</f>
        <v>1</v>
      </c>
    </row>
    <row r="92" spans="2:13" x14ac:dyDescent="0.25">
      <c r="B92" s="267"/>
      <c r="C92" s="273"/>
      <c r="D92" s="26" t="s">
        <v>44</v>
      </c>
      <c r="E92" s="27">
        <v>20169</v>
      </c>
      <c r="F92" s="27">
        <v>128271</v>
      </c>
      <c r="G92" s="27">
        <v>176286</v>
      </c>
      <c r="H92" s="27">
        <v>189792</v>
      </c>
      <c r="I92" s="27">
        <v>182742</v>
      </c>
      <c r="J92" s="80">
        <f t="shared" si="18"/>
        <v>-3.7145928174000975E-2</v>
      </c>
      <c r="K92" s="27">
        <f t="shared" si="19"/>
        <v>-7050</v>
      </c>
      <c r="L92" s="38">
        <f t="shared" si="21"/>
        <v>0.35174484630338959</v>
      </c>
    </row>
    <row r="93" spans="2:13" x14ac:dyDescent="0.25">
      <c r="B93" s="267"/>
      <c r="C93" s="273"/>
      <c r="D93" s="4" t="s">
        <v>45</v>
      </c>
      <c r="E93" s="29">
        <v>10559</v>
      </c>
      <c r="F93" s="29">
        <v>94600</v>
      </c>
      <c r="G93" s="29">
        <v>128229</v>
      </c>
      <c r="H93" s="29">
        <v>128773</v>
      </c>
      <c r="I93" s="29">
        <v>137756</v>
      </c>
      <c r="J93" s="81">
        <f t="shared" si="18"/>
        <v>6.975841208949074E-2</v>
      </c>
      <c r="K93" s="29">
        <f t="shared" si="19"/>
        <v>8983</v>
      </c>
      <c r="L93" s="75">
        <f>I93/$I$91</f>
        <v>0.26515504398206069</v>
      </c>
    </row>
    <row r="94" spans="2:13" x14ac:dyDescent="0.25">
      <c r="B94" s="267"/>
      <c r="C94" s="273"/>
      <c r="D94" s="4" t="s">
        <v>46</v>
      </c>
      <c r="E94" s="29">
        <v>719</v>
      </c>
      <c r="F94" s="29">
        <v>3045</v>
      </c>
      <c r="G94" s="29">
        <v>7316</v>
      </c>
      <c r="H94" s="29">
        <v>5066</v>
      </c>
      <c r="I94" s="29">
        <v>5202</v>
      </c>
      <c r="J94" s="81">
        <f t="shared" si="18"/>
        <v>2.6845637583892579E-2</v>
      </c>
      <c r="K94" s="29">
        <f t="shared" si="19"/>
        <v>136</v>
      </c>
      <c r="L94" s="75">
        <f t="shared" ref="L94:L101" si="22">I94/$I$91</f>
        <v>1.0012896271630127E-2</v>
      </c>
    </row>
    <row r="95" spans="2:13" x14ac:dyDescent="0.25">
      <c r="B95" s="267"/>
      <c r="C95" s="273"/>
      <c r="D95" s="4" t="s">
        <v>47</v>
      </c>
      <c r="E95" s="29">
        <v>2138</v>
      </c>
      <c r="F95" s="29">
        <v>13086</v>
      </c>
      <c r="G95" s="29">
        <v>21478</v>
      </c>
      <c r="H95" s="29">
        <v>18765</v>
      </c>
      <c r="I95" s="29">
        <v>17806</v>
      </c>
      <c r="J95" s="81">
        <f t="shared" si="18"/>
        <v>-5.1105782041033887E-2</v>
      </c>
      <c r="K95" s="29">
        <f t="shared" si="19"/>
        <v>-959</v>
      </c>
      <c r="L95" s="75">
        <f t="shared" si="22"/>
        <v>3.4273285469559024E-2</v>
      </c>
    </row>
    <row r="96" spans="2:13" x14ac:dyDescent="0.25">
      <c r="B96" s="267"/>
      <c r="C96" s="273"/>
      <c r="D96" s="4" t="s">
        <v>48</v>
      </c>
      <c r="E96" s="29">
        <v>5686</v>
      </c>
      <c r="F96" s="29">
        <v>46455</v>
      </c>
      <c r="G96" s="29">
        <v>73539</v>
      </c>
      <c r="H96" s="29">
        <v>78833</v>
      </c>
      <c r="I96" s="29">
        <v>80690</v>
      </c>
      <c r="J96" s="81">
        <f t="shared" si="18"/>
        <v>2.3556124973044268E-2</v>
      </c>
      <c r="K96" s="29">
        <f t="shared" si="19"/>
        <v>1857</v>
      </c>
      <c r="L96" s="75">
        <f t="shared" si="22"/>
        <v>0.15531345639327854</v>
      </c>
    </row>
    <row r="97" spans="2:12" x14ac:dyDescent="0.25">
      <c r="B97" s="267"/>
      <c r="C97" s="273"/>
      <c r="D97" s="4" t="s">
        <v>49</v>
      </c>
      <c r="E97" s="29">
        <v>1199</v>
      </c>
      <c r="F97" s="29">
        <v>3897</v>
      </c>
      <c r="G97" s="29">
        <v>5725</v>
      </c>
      <c r="H97" s="29">
        <v>5545</v>
      </c>
      <c r="I97" s="29">
        <v>5676</v>
      </c>
      <c r="J97" s="81">
        <f t="shared" si="18"/>
        <v>2.362488728584311E-2</v>
      </c>
      <c r="K97" s="29">
        <f t="shared" si="19"/>
        <v>131</v>
      </c>
      <c r="L97" s="75">
        <f t="shared" si="22"/>
        <v>1.0925259369045098E-2</v>
      </c>
    </row>
    <row r="98" spans="2:12" x14ac:dyDescent="0.25">
      <c r="B98" s="267"/>
      <c r="C98" s="273"/>
      <c r="D98" s="4" t="s">
        <v>50</v>
      </c>
      <c r="E98" s="29">
        <v>3571</v>
      </c>
      <c r="F98" s="29">
        <v>15013</v>
      </c>
      <c r="G98" s="29">
        <v>18881</v>
      </c>
      <c r="H98" s="29">
        <v>21087</v>
      </c>
      <c r="I98" s="29">
        <v>23878</v>
      </c>
      <c r="J98" s="81">
        <f t="shared" si="18"/>
        <v>0.13235642813107606</v>
      </c>
      <c r="K98" s="29">
        <f t="shared" si="19"/>
        <v>2791</v>
      </c>
      <c r="L98" s="75">
        <f t="shared" si="22"/>
        <v>4.5960772236444479E-2</v>
      </c>
    </row>
    <row r="99" spans="2:12" x14ac:dyDescent="0.25">
      <c r="B99" s="267"/>
      <c r="C99" s="273"/>
      <c r="D99" s="4" t="s">
        <v>51</v>
      </c>
      <c r="E99" s="29">
        <v>4922</v>
      </c>
      <c r="F99" s="29">
        <v>15421</v>
      </c>
      <c r="G99" s="29">
        <v>25102</v>
      </c>
      <c r="H99" s="29">
        <v>25562</v>
      </c>
      <c r="I99" s="29">
        <v>26122</v>
      </c>
      <c r="J99" s="81">
        <f t="shared" si="18"/>
        <v>2.1907518973476314E-2</v>
      </c>
      <c r="K99" s="29">
        <f t="shared" si="19"/>
        <v>560</v>
      </c>
      <c r="L99" s="75">
        <f t="shared" si="22"/>
        <v>5.0280060824206496E-2</v>
      </c>
    </row>
    <row r="100" spans="2:12" x14ac:dyDescent="0.25">
      <c r="B100" s="267"/>
      <c r="C100" s="273"/>
      <c r="D100" s="4" t="s">
        <v>52</v>
      </c>
      <c r="E100" s="29">
        <v>7206</v>
      </c>
      <c r="F100" s="29">
        <v>20125</v>
      </c>
      <c r="G100" s="29">
        <v>27531</v>
      </c>
      <c r="H100" s="29">
        <v>27956</v>
      </c>
      <c r="I100" s="29">
        <v>27900</v>
      </c>
      <c r="J100" s="31">
        <f t="shared" si="18"/>
        <v>-2.0031478036914852E-3</v>
      </c>
      <c r="K100" s="29">
        <f t="shared" si="19"/>
        <v>-56</v>
      </c>
      <c r="L100" s="42">
        <f t="shared" si="22"/>
        <v>5.3702384847843246E-2</v>
      </c>
    </row>
    <row r="101" spans="2:12" x14ac:dyDescent="0.25">
      <c r="B101" s="267"/>
      <c r="C101" s="274"/>
      <c r="D101" s="32" t="s">
        <v>53</v>
      </c>
      <c r="E101" s="71">
        <v>2436</v>
      </c>
      <c r="F101" s="71">
        <v>8965</v>
      </c>
      <c r="G101" s="71">
        <v>12104</v>
      </c>
      <c r="H101" s="71">
        <v>12756</v>
      </c>
      <c r="I101" s="71">
        <v>11758</v>
      </c>
      <c r="J101" s="72">
        <f t="shared" si="18"/>
        <v>-7.823769206647857E-2</v>
      </c>
      <c r="K101" s="71">
        <f t="shared" si="19"/>
        <v>-998</v>
      </c>
      <c r="L101" s="55">
        <f t="shared" si="22"/>
        <v>2.2631994302542684E-2</v>
      </c>
    </row>
    <row r="102" spans="2:12" x14ac:dyDescent="0.25">
      <c r="B102" s="267"/>
      <c r="C102" s="269" t="s">
        <v>21</v>
      </c>
      <c r="D102" s="63" t="s">
        <v>43</v>
      </c>
      <c r="E102" s="64">
        <v>260161</v>
      </c>
      <c r="F102" s="64">
        <v>2017602</v>
      </c>
      <c r="G102" s="64">
        <v>2930663</v>
      </c>
      <c r="H102" s="64">
        <v>3028970</v>
      </c>
      <c r="I102" s="64">
        <v>3019532</v>
      </c>
      <c r="J102" s="65">
        <f t="shared" si="18"/>
        <v>-3.1159106891121002E-3</v>
      </c>
      <c r="K102" s="64">
        <f t="shared" si="19"/>
        <v>-9438</v>
      </c>
      <c r="L102" s="65">
        <f t="shared" ref="L102:L103" si="23">I102/$I$102</f>
        <v>1</v>
      </c>
    </row>
    <row r="103" spans="2:12" x14ac:dyDescent="0.25">
      <c r="B103" s="267"/>
      <c r="C103" s="270"/>
      <c r="D103" s="15" t="s">
        <v>44</v>
      </c>
      <c r="E103" s="16">
        <v>98412</v>
      </c>
      <c r="F103" s="16">
        <v>786358</v>
      </c>
      <c r="G103" s="16">
        <v>1105557</v>
      </c>
      <c r="H103" s="16">
        <v>1165181</v>
      </c>
      <c r="I103" s="16">
        <v>1119747</v>
      </c>
      <c r="J103" s="18">
        <f t="shared" si="18"/>
        <v>-3.8993083478017554E-2</v>
      </c>
      <c r="K103" s="16">
        <f t="shared" si="19"/>
        <v>-45434</v>
      </c>
      <c r="L103" s="18">
        <f t="shared" si="23"/>
        <v>0.3708346194045965</v>
      </c>
    </row>
    <row r="104" spans="2:12" x14ac:dyDescent="0.25">
      <c r="B104" s="267"/>
      <c r="C104" s="270"/>
      <c r="D104" s="19" t="s">
        <v>45</v>
      </c>
      <c r="E104" s="20">
        <v>51667</v>
      </c>
      <c r="F104" s="20">
        <v>576461</v>
      </c>
      <c r="G104" s="20">
        <v>810733</v>
      </c>
      <c r="H104" s="20">
        <v>836960</v>
      </c>
      <c r="I104" s="20">
        <v>876312</v>
      </c>
      <c r="J104" s="68">
        <f t="shared" si="18"/>
        <v>4.701777862741352E-2</v>
      </c>
      <c r="K104" s="20">
        <f t="shared" si="19"/>
        <v>39352</v>
      </c>
      <c r="L104" s="68">
        <f>I104/$I$102</f>
        <v>0.29021451006314886</v>
      </c>
    </row>
    <row r="105" spans="2:12" x14ac:dyDescent="0.25">
      <c r="B105" s="267"/>
      <c r="C105" s="270"/>
      <c r="D105" s="19" t="s">
        <v>46</v>
      </c>
      <c r="E105" s="20">
        <v>2960</v>
      </c>
      <c r="F105" s="20">
        <v>13922</v>
      </c>
      <c r="G105" s="20">
        <v>17982</v>
      </c>
      <c r="H105" s="20">
        <v>21297</v>
      </c>
      <c r="I105" s="20">
        <v>21020</v>
      </c>
      <c r="J105" s="68">
        <f t="shared" si="18"/>
        <v>-1.3006526740855562E-2</v>
      </c>
      <c r="K105" s="20">
        <f t="shared" si="19"/>
        <v>-277</v>
      </c>
      <c r="L105" s="68">
        <f t="shared" ref="L105:L112" si="24">I105/$I$102</f>
        <v>6.9613436784243385E-3</v>
      </c>
    </row>
    <row r="106" spans="2:12" x14ac:dyDescent="0.25">
      <c r="B106" s="267"/>
      <c r="C106" s="270"/>
      <c r="D106" s="19" t="s">
        <v>47</v>
      </c>
      <c r="E106" s="20">
        <v>12913</v>
      </c>
      <c r="F106" s="20">
        <v>70697</v>
      </c>
      <c r="G106" s="20">
        <v>120145</v>
      </c>
      <c r="H106" s="20">
        <v>89491</v>
      </c>
      <c r="I106" s="20">
        <v>90625</v>
      </c>
      <c r="J106" s="68">
        <f t="shared" si="18"/>
        <v>1.2671665307125934E-2</v>
      </c>
      <c r="K106" s="20">
        <f t="shared" si="19"/>
        <v>1134</v>
      </c>
      <c r="L106" s="68">
        <f t="shared" si="24"/>
        <v>3.0012929155908929E-2</v>
      </c>
    </row>
    <row r="107" spans="2:12" x14ac:dyDescent="0.25">
      <c r="B107" s="267"/>
      <c r="C107" s="270"/>
      <c r="D107" s="19" t="s">
        <v>48</v>
      </c>
      <c r="E107" s="20">
        <v>29647</v>
      </c>
      <c r="F107" s="20">
        <v>262511</v>
      </c>
      <c r="G107" s="20">
        <v>459644</v>
      </c>
      <c r="H107" s="20">
        <v>482317</v>
      </c>
      <c r="I107" s="20">
        <v>494946</v>
      </c>
      <c r="J107" s="68">
        <f t="shared" si="18"/>
        <v>2.6184024199851885E-2</v>
      </c>
      <c r="K107" s="20">
        <f t="shared" si="19"/>
        <v>12629</v>
      </c>
      <c r="L107" s="68">
        <f t="shared" si="24"/>
        <v>0.16391480534069519</v>
      </c>
    </row>
    <row r="108" spans="2:12" x14ac:dyDescent="0.25">
      <c r="B108" s="267"/>
      <c r="C108" s="270"/>
      <c r="D108" s="19" t="s">
        <v>49</v>
      </c>
      <c r="E108" s="20">
        <v>2763</v>
      </c>
      <c r="F108" s="20">
        <v>11400</v>
      </c>
      <c r="G108" s="20">
        <v>14353</v>
      </c>
      <c r="H108" s="20">
        <v>14581</v>
      </c>
      <c r="I108" s="20">
        <v>14255</v>
      </c>
      <c r="J108" s="68">
        <f t="shared" si="18"/>
        <v>-2.2357862972361309E-2</v>
      </c>
      <c r="K108" s="20">
        <f t="shared" si="19"/>
        <v>-326</v>
      </c>
      <c r="L108" s="68">
        <f t="shared" si="24"/>
        <v>4.7209302633653165E-3</v>
      </c>
    </row>
    <row r="109" spans="2:12" x14ac:dyDescent="0.25">
      <c r="B109" s="267"/>
      <c r="C109" s="270"/>
      <c r="D109" s="19" t="s">
        <v>50</v>
      </c>
      <c r="E109" s="20">
        <v>18472</v>
      </c>
      <c r="F109" s="20">
        <v>95884</v>
      </c>
      <c r="G109" s="20">
        <v>98876</v>
      </c>
      <c r="H109" s="20">
        <v>114993</v>
      </c>
      <c r="I109" s="20">
        <v>115159</v>
      </c>
      <c r="J109" s="68">
        <f t="shared" si="18"/>
        <v>1.443566130112206E-3</v>
      </c>
      <c r="K109" s="20">
        <f t="shared" si="19"/>
        <v>166</v>
      </c>
      <c r="L109" s="68">
        <f t="shared" si="24"/>
        <v>3.8138029336996594E-2</v>
      </c>
    </row>
    <row r="110" spans="2:12" x14ac:dyDescent="0.25">
      <c r="B110" s="267"/>
      <c r="C110" s="270"/>
      <c r="D110" s="19" t="s">
        <v>51</v>
      </c>
      <c r="E110" s="20">
        <v>9068</v>
      </c>
      <c r="F110" s="20">
        <v>40065</v>
      </c>
      <c r="G110" s="20">
        <v>59578</v>
      </c>
      <c r="H110" s="20">
        <v>62651</v>
      </c>
      <c r="I110" s="20">
        <v>57077</v>
      </c>
      <c r="J110" s="68">
        <f t="shared" si="18"/>
        <v>-8.8969050773331615E-2</v>
      </c>
      <c r="K110" s="20">
        <f t="shared" si="19"/>
        <v>-5574</v>
      </c>
      <c r="L110" s="68">
        <f t="shared" si="24"/>
        <v>1.8902598150971742E-2</v>
      </c>
    </row>
    <row r="111" spans="2:12" x14ac:dyDescent="0.25">
      <c r="B111" s="267"/>
      <c r="C111" s="270"/>
      <c r="D111" s="19" t="s">
        <v>52</v>
      </c>
      <c r="E111" s="20">
        <v>26469</v>
      </c>
      <c r="F111" s="20">
        <v>114870</v>
      </c>
      <c r="G111" s="20">
        <v>163920</v>
      </c>
      <c r="H111" s="20">
        <v>173408</v>
      </c>
      <c r="I111" s="20">
        <v>169944</v>
      </c>
      <c r="J111" s="22">
        <f t="shared" si="18"/>
        <v>-1.9976010334009975E-2</v>
      </c>
      <c r="K111" s="20">
        <f t="shared" si="19"/>
        <v>-3464</v>
      </c>
      <c r="L111" s="22">
        <f t="shared" si="24"/>
        <v>5.628156946175765E-2</v>
      </c>
    </row>
    <row r="112" spans="2:12" x14ac:dyDescent="0.25">
      <c r="B112" s="267"/>
      <c r="C112" s="271"/>
      <c r="D112" s="23" t="s">
        <v>53</v>
      </c>
      <c r="E112" s="69">
        <v>7790</v>
      </c>
      <c r="F112" s="69">
        <v>45434</v>
      </c>
      <c r="G112" s="69">
        <v>79875</v>
      </c>
      <c r="H112" s="69">
        <v>68091</v>
      </c>
      <c r="I112" s="69">
        <v>60447</v>
      </c>
      <c r="J112" s="46">
        <f t="shared" si="18"/>
        <v>-0.11226153236110503</v>
      </c>
      <c r="K112" s="69">
        <f t="shared" si="19"/>
        <v>-7644</v>
      </c>
      <c r="L112" s="46">
        <f t="shared" si="24"/>
        <v>2.0018665144134917E-2</v>
      </c>
    </row>
    <row r="113" spans="2:12" x14ac:dyDescent="0.25">
      <c r="B113" s="267"/>
      <c r="C113" s="272" t="s">
        <v>22</v>
      </c>
      <c r="D113" s="63" t="s">
        <v>43</v>
      </c>
      <c r="E113" s="73">
        <f t="shared" ref="E113:I114" si="25">E102/E80</f>
        <v>5.6115137397006167</v>
      </c>
      <c r="F113" s="73">
        <f t="shared" si="25"/>
        <v>7.3711241903133526</v>
      </c>
      <c r="G113" s="73">
        <f t="shared" si="25"/>
        <v>7.2606401296214171</v>
      </c>
      <c r="H113" s="73">
        <f t="shared" si="25"/>
        <v>7.2528985541949416</v>
      </c>
      <c r="I113" s="73">
        <f t="shared" si="25"/>
        <v>7.1474641506218308</v>
      </c>
      <c r="J113" s="65">
        <f t="shared" si="18"/>
        <v>-1.4536864508070235E-2</v>
      </c>
      <c r="K113" s="73">
        <f t="shared" ref="K113:K114" si="26">(I113-H113)</f>
        <v>-0.10543440357311074</v>
      </c>
      <c r="L113" s="65"/>
    </row>
    <row r="114" spans="2:12" x14ac:dyDescent="0.25">
      <c r="B114" s="267"/>
      <c r="C114" s="273"/>
      <c r="D114" s="26" t="s">
        <v>44</v>
      </c>
      <c r="E114" s="37">
        <f t="shared" si="25"/>
        <v>6.4821499143722834</v>
      </c>
      <c r="F114" s="37">
        <f t="shared" si="25"/>
        <v>7.8675924721608022</v>
      </c>
      <c r="G114" s="37">
        <f t="shared" si="25"/>
        <v>7.9193492929900717</v>
      </c>
      <c r="H114" s="37">
        <f t="shared" si="25"/>
        <v>7.7202650323008113</v>
      </c>
      <c r="I114" s="37">
        <f t="shared" si="25"/>
        <v>7.6668218635955929</v>
      </c>
      <c r="J114" s="80">
        <f t="shared" si="18"/>
        <v>-6.9224525947771953E-3</v>
      </c>
      <c r="K114" s="37">
        <f t="shared" si="26"/>
        <v>-5.3443168705218369E-2</v>
      </c>
      <c r="L114" s="38"/>
    </row>
    <row r="115" spans="2:12" x14ac:dyDescent="0.25">
      <c r="B115" s="267"/>
      <c r="C115" s="273"/>
      <c r="D115" s="4" t="s">
        <v>45</v>
      </c>
      <c r="E115" s="41">
        <f>E104/E82</f>
        <v>6.4503121098626712</v>
      </c>
      <c r="F115" s="41">
        <f>F104/F82</f>
        <v>7.8975915168785624</v>
      </c>
      <c r="G115" s="41">
        <f>G104/G82</f>
        <v>7.9384785610073729</v>
      </c>
      <c r="H115" s="41">
        <f>H104/H82</f>
        <v>8.192558804240365</v>
      </c>
      <c r="I115" s="41">
        <f>I104/I82</f>
        <v>8.0574486474558196</v>
      </c>
      <c r="J115" s="81">
        <f t="shared" si="18"/>
        <v>-1.6491814097765678E-2</v>
      </c>
      <c r="K115" s="41">
        <f>(I115-H115)</f>
        <v>-0.13511015678454541</v>
      </c>
      <c r="L115" s="75"/>
    </row>
    <row r="116" spans="2:12" x14ac:dyDescent="0.25">
      <c r="B116" s="267"/>
      <c r="C116" s="273"/>
      <c r="D116" s="4" t="s">
        <v>46</v>
      </c>
      <c r="E116" s="41">
        <f t="shared" ref="E116:I123" si="27">E105/E83</f>
        <v>4.9664429530201346</v>
      </c>
      <c r="F116" s="41">
        <f t="shared" si="27"/>
        <v>5.4319157237612172</v>
      </c>
      <c r="G116" s="41">
        <f t="shared" si="27"/>
        <v>2.6000578368999423</v>
      </c>
      <c r="H116" s="41">
        <f t="shared" si="27"/>
        <v>4.758042895442359</v>
      </c>
      <c r="I116" s="41">
        <f t="shared" si="27"/>
        <v>4.5606422217400739</v>
      </c>
      <c r="J116" s="81">
        <f t="shared" si="18"/>
        <v>-4.148778773965478E-2</v>
      </c>
      <c r="K116" s="41">
        <f t="shared" ref="K116:K123" si="28">(I116-H116)</f>
        <v>-0.19740067370228509</v>
      </c>
      <c r="L116" s="75"/>
    </row>
    <row r="117" spans="2:12" x14ac:dyDescent="0.25">
      <c r="B117" s="267"/>
      <c r="C117" s="273"/>
      <c r="D117" s="4" t="s">
        <v>47</v>
      </c>
      <c r="E117" s="41">
        <f t="shared" si="27"/>
        <v>10.78780284043442</v>
      </c>
      <c r="F117" s="41">
        <f t="shared" si="27"/>
        <v>7.1439975747776883</v>
      </c>
      <c r="G117" s="41">
        <f t="shared" si="27"/>
        <v>6.6944336100741069</v>
      </c>
      <c r="H117" s="41">
        <f t="shared" si="27"/>
        <v>5.6493276939587149</v>
      </c>
      <c r="I117" s="41">
        <f t="shared" si="27"/>
        <v>6.1282796862320801</v>
      </c>
      <c r="J117" s="81">
        <f t="shared" si="18"/>
        <v>8.478035232148895E-2</v>
      </c>
      <c r="K117" s="41">
        <f t="shared" si="28"/>
        <v>0.47895199227336516</v>
      </c>
      <c r="L117" s="75"/>
    </row>
    <row r="118" spans="2:12" x14ac:dyDescent="0.25">
      <c r="B118" s="267"/>
      <c r="C118" s="273"/>
      <c r="D118" s="4" t="s">
        <v>48</v>
      </c>
      <c r="E118" s="41">
        <f t="shared" si="27"/>
        <v>6.4407994786009128</v>
      </c>
      <c r="F118" s="41">
        <f t="shared" si="27"/>
        <v>7.2707658219083227</v>
      </c>
      <c r="G118" s="41">
        <f t="shared" si="27"/>
        <v>7.6495140460657698</v>
      </c>
      <c r="H118" s="41">
        <f t="shared" si="27"/>
        <v>7.4799863525689734</v>
      </c>
      <c r="I118" s="41">
        <f t="shared" si="27"/>
        <v>7.5668246445497633</v>
      </c>
      <c r="J118" s="81">
        <f t="shared" si="18"/>
        <v>1.160941850528463E-2</v>
      </c>
      <c r="K118" s="41">
        <f t="shared" si="28"/>
        <v>8.6838291980789961E-2</v>
      </c>
      <c r="L118" s="75"/>
    </row>
    <row r="119" spans="2:12" x14ac:dyDescent="0.25">
      <c r="B119" s="267"/>
      <c r="C119" s="273"/>
      <c r="D119" s="4" t="s">
        <v>49</v>
      </c>
      <c r="E119" s="41">
        <f t="shared" si="27"/>
        <v>2.4109947643979059</v>
      </c>
      <c r="F119" s="41">
        <f t="shared" si="27"/>
        <v>3.2322086759285513</v>
      </c>
      <c r="G119" s="41">
        <f t="shared" si="27"/>
        <v>2.6628942486085343</v>
      </c>
      <c r="H119" s="41">
        <f t="shared" si="27"/>
        <v>2.7949012842629863</v>
      </c>
      <c r="I119" s="41">
        <f t="shared" si="27"/>
        <v>2.6840519676143852</v>
      </c>
      <c r="J119" s="81">
        <f t="shared" si="18"/>
        <v>-3.9661263627717713E-2</v>
      </c>
      <c r="K119" s="41">
        <f t="shared" si="28"/>
        <v>-0.11084931664860109</v>
      </c>
      <c r="L119" s="75"/>
    </row>
    <row r="120" spans="2:12" x14ac:dyDescent="0.25">
      <c r="B120" s="267"/>
      <c r="C120" s="273"/>
      <c r="D120" s="4" t="s">
        <v>50</v>
      </c>
      <c r="E120" s="41">
        <f t="shared" si="27"/>
        <v>7.4604200323101777</v>
      </c>
      <c r="F120" s="41">
        <f t="shared" si="27"/>
        <v>8.2772790055248624</v>
      </c>
      <c r="G120" s="41">
        <f t="shared" si="27"/>
        <v>6.3244211334271458</v>
      </c>
      <c r="H120" s="41">
        <f t="shared" si="27"/>
        <v>6.6747736243324818</v>
      </c>
      <c r="I120" s="41">
        <f t="shared" si="27"/>
        <v>5.639520078354554</v>
      </c>
      <c r="J120" s="81">
        <f t="shared" si="18"/>
        <v>-0.15509942422675937</v>
      </c>
      <c r="K120" s="41">
        <f t="shared" si="28"/>
        <v>-1.0352535459779277</v>
      </c>
      <c r="L120" s="75"/>
    </row>
    <row r="121" spans="2:12" x14ac:dyDescent="0.25">
      <c r="B121" s="267"/>
      <c r="C121" s="273"/>
      <c r="D121" s="4" t="s">
        <v>51</v>
      </c>
      <c r="E121" s="41">
        <f t="shared" si="27"/>
        <v>1.9022445982798406</v>
      </c>
      <c r="F121" s="41">
        <f t="shared" si="27"/>
        <v>2.8322493991234272</v>
      </c>
      <c r="G121" s="41">
        <f t="shared" si="27"/>
        <v>2.5235291626074803</v>
      </c>
      <c r="H121" s="41">
        <f t="shared" si="27"/>
        <v>2.6250052373570201</v>
      </c>
      <c r="I121" s="41">
        <f t="shared" si="27"/>
        <v>2.3200146329566702</v>
      </c>
      <c r="J121" s="81">
        <f t="shared" si="18"/>
        <v>-0.11618666510068709</v>
      </c>
      <c r="K121" s="41">
        <f t="shared" si="28"/>
        <v>-0.30499060440034986</v>
      </c>
      <c r="L121" s="75"/>
    </row>
    <row r="122" spans="2:12" x14ac:dyDescent="0.25">
      <c r="B122" s="267"/>
      <c r="C122" s="273"/>
      <c r="D122" s="4" t="s">
        <v>52</v>
      </c>
      <c r="E122" s="41">
        <f t="shared" si="27"/>
        <v>4.2534147517274628</v>
      </c>
      <c r="F122" s="41">
        <f t="shared" si="27"/>
        <v>7.3644056930375692</v>
      </c>
      <c r="G122" s="41">
        <f t="shared" si="27"/>
        <v>7.2885726989773234</v>
      </c>
      <c r="H122" s="41">
        <f t="shared" si="27"/>
        <v>7.65598233995585</v>
      </c>
      <c r="I122" s="41">
        <f t="shared" si="27"/>
        <v>7.5436789772727275</v>
      </c>
      <c r="J122" s="31">
        <f t="shared" si="18"/>
        <v>-1.4668707122928115E-2</v>
      </c>
      <c r="K122" s="41">
        <f t="shared" si="28"/>
        <v>-0.11230336268312247</v>
      </c>
      <c r="L122" s="42"/>
    </row>
    <row r="123" spans="2:12" x14ac:dyDescent="0.25">
      <c r="B123" s="267"/>
      <c r="C123" s="274"/>
      <c r="D123" s="32" t="s">
        <v>53</v>
      </c>
      <c r="E123" s="77">
        <f t="shared" si="27"/>
        <v>3.6031452358926921</v>
      </c>
      <c r="F123" s="77">
        <f t="shared" si="27"/>
        <v>6.1756150604866118</v>
      </c>
      <c r="G123" s="77">
        <f t="shared" si="27"/>
        <v>8.1223306894447838</v>
      </c>
      <c r="H123" s="77">
        <f t="shared" si="27"/>
        <v>6.3187639198218264</v>
      </c>
      <c r="I123" s="77">
        <f t="shared" si="27"/>
        <v>6.0537806710065096</v>
      </c>
      <c r="J123" s="72">
        <f t="shared" si="18"/>
        <v>-4.1935931169080343E-2</v>
      </c>
      <c r="K123" s="77">
        <f t="shared" si="28"/>
        <v>-0.26498324881531676</v>
      </c>
      <c r="L123" s="55"/>
    </row>
    <row r="124" spans="2:12" x14ac:dyDescent="0.25">
      <c r="B124" s="267"/>
      <c r="C124" s="275" t="s">
        <v>34</v>
      </c>
      <c r="D124" s="63" t="s">
        <v>43</v>
      </c>
      <c r="E124" s="65">
        <v>0.14362490283715507</v>
      </c>
      <c r="F124" s="65">
        <v>0.53969911590117969</v>
      </c>
      <c r="G124" s="65">
        <v>0.74154632338224491</v>
      </c>
      <c r="H124" s="65">
        <v>0.76396404667364637</v>
      </c>
      <c r="I124" s="65">
        <v>0.76257336170949985</v>
      </c>
      <c r="J124" s="65">
        <f t="shared" si="18"/>
        <v>-1.8203539423113924E-3</v>
      </c>
      <c r="K124" s="73">
        <f t="shared" ref="K124:K125" si="29">(I124-H124)*100</f>
        <v>-0.13906849641465158</v>
      </c>
      <c r="L124" s="65"/>
    </row>
    <row r="125" spans="2:12" x14ac:dyDescent="0.25">
      <c r="B125" s="267"/>
      <c r="C125" s="276"/>
      <c r="D125" s="15" t="s">
        <v>44</v>
      </c>
      <c r="E125" s="18">
        <v>0.16255725562810641</v>
      </c>
      <c r="F125" s="18">
        <v>0.59371298061496069</v>
      </c>
      <c r="G125" s="18">
        <v>0.77351977078967715</v>
      </c>
      <c r="H125" s="18">
        <v>0.80414376823276656</v>
      </c>
      <c r="I125" s="18">
        <v>0.78491212255246601</v>
      </c>
      <c r="J125" s="18">
        <f t="shared" si="18"/>
        <v>-2.3915680802408246E-2</v>
      </c>
      <c r="K125" s="44">
        <f t="shared" si="29"/>
        <v>-1.9231645680300558</v>
      </c>
      <c r="L125" s="18"/>
    </row>
    <row r="126" spans="2:12" x14ac:dyDescent="0.25">
      <c r="B126" s="267"/>
      <c r="C126" s="276"/>
      <c r="D126" s="19" t="s">
        <v>45</v>
      </c>
      <c r="E126" s="68">
        <v>9.5129989689203123E-2</v>
      </c>
      <c r="F126" s="68">
        <v>0.50002732337605904</v>
      </c>
      <c r="G126" s="68">
        <v>0.66946569613093154</v>
      </c>
      <c r="H126" s="68">
        <v>0.70656904235480245</v>
      </c>
      <c r="I126" s="68">
        <v>0.73425618931032144</v>
      </c>
      <c r="J126" s="68">
        <f t="shared" si="18"/>
        <v>3.9185338297932359E-2</v>
      </c>
      <c r="K126" s="45">
        <f>(I126-H126)*100</f>
        <v>2.7687146955518993</v>
      </c>
      <c r="L126" s="68"/>
    </row>
    <row r="127" spans="2:12" x14ac:dyDescent="0.25">
      <c r="B127" s="267"/>
      <c r="C127" s="276"/>
      <c r="D127" s="19" t="s">
        <v>46</v>
      </c>
      <c r="E127" s="68">
        <v>0.19809931736046044</v>
      </c>
      <c r="F127" s="68">
        <v>0.5599710401415815</v>
      </c>
      <c r="G127" s="68">
        <v>0.63603565365025472</v>
      </c>
      <c r="H127" s="68">
        <v>0.75328947368421051</v>
      </c>
      <c r="I127" s="68">
        <v>0.74024510494435836</v>
      </c>
      <c r="J127" s="68">
        <f t="shared" si="18"/>
        <v>-1.7316541907925975E-2</v>
      </c>
      <c r="K127" s="45">
        <f t="shared" ref="K127:K134" si="30">(I127-H127)*100</f>
        <v>-1.3044368739852152</v>
      </c>
      <c r="L127" s="68"/>
    </row>
    <row r="128" spans="2:12" x14ac:dyDescent="0.25">
      <c r="B128" s="267"/>
      <c r="C128" s="276"/>
      <c r="D128" s="19" t="s">
        <v>47</v>
      </c>
      <c r="E128" s="68">
        <v>0.11406034695968625</v>
      </c>
      <c r="F128" s="68">
        <v>0.4999010055012657</v>
      </c>
      <c r="G128" s="68">
        <v>0.84954957503075901</v>
      </c>
      <c r="H128" s="68">
        <v>0.63279404901641889</v>
      </c>
      <c r="I128" s="68">
        <v>0.63331609548834344</v>
      </c>
      <c r="J128" s="68">
        <f t="shared" si="18"/>
        <v>8.2498638022276971E-4</v>
      </c>
      <c r="K128" s="45">
        <f t="shared" si="30"/>
        <v>5.2204647192455322E-2</v>
      </c>
      <c r="L128" s="68"/>
    </row>
    <row r="129" spans="2:12" x14ac:dyDescent="0.25">
      <c r="B129" s="267"/>
      <c r="C129" s="276"/>
      <c r="D129" s="19" t="s">
        <v>48</v>
      </c>
      <c r="E129" s="68">
        <v>0.14672519771550743</v>
      </c>
      <c r="F129" s="68">
        <v>0.4672568986477707</v>
      </c>
      <c r="G129" s="68">
        <v>0.77788289210700445</v>
      </c>
      <c r="H129" s="68">
        <v>0.78706054751243459</v>
      </c>
      <c r="I129" s="68">
        <v>0.80408944399677684</v>
      </c>
      <c r="J129" s="68">
        <f t="shared" si="18"/>
        <v>2.163606921749972E-2</v>
      </c>
      <c r="K129" s="45">
        <f t="shared" si="30"/>
        <v>1.7028896484342249</v>
      </c>
      <c r="L129" s="68"/>
    </row>
    <row r="130" spans="2:12" x14ac:dyDescent="0.25">
      <c r="B130" s="267"/>
      <c r="C130" s="276"/>
      <c r="D130" s="19" t="s">
        <v>49</v>
      </c>
      <c r="E130" s="68">
        <v>0.19167533818938606</v>
      </c>
      <c r="F130" s="68">
        <v>0.58838709677419354</v>
      </c>
      <c r="G130" s="68">
        <v>0.69834087481146301</v>
      </c>
      <c r="H130" s="68">
        <v>0.69889277668599914</v>
      </c>
      <c r="I130" s="68">
        <v>0.68326702775248049</v>
      </c>
      <c r="J130" s="68">
        <f t="shared" si="18"/>
        <v>-2.2357862972361309E-2</v>
      </c>
      <c r="K130" s="45">
        <f t="shared" si="30"/>
        <v>-1.5625748933518646</v>
      </c>
      <c r="L130" s="68"/>
    </row>
    <row r="131" spans="2:12" x14ac:dyDescent="0.25">
      <c r="B131" s="267"/>
      <c r="C131" s="276"/>
      <c r="D131" s="19" t="s">
        <v>50</v>
      </c>
      <c r="E131" s="68">
        <v>0.29010271068253918</v>
      </c>
      <c r="F131" s="68">
        <v>0.74191227106368818</v>
      </c>
      <c r="G131" s="68">
        <v>0.66573750513395413</v>
      </c>
      <c r="H131" s="68">
        <v>0.77328572293167097</v>
      </c>
      <c r="I131" s="68">
        <v>0.76389192918217219</v>
      </c>
      <c r="J131" s="68">
        <f t="shared" si="18"/>
        <v>-1.2147894977143969E-2</v>
      </c>
      <c r="K131" s="45">
        <f t="shared" si="30"/>
        <v>-0.939379374949878</v>
      </c>
      <c r="L131" s="68"/>
    </row>
    <row r="132" spans="2:12" x14ac:dyDescent="0.25">
      <c r="B132" s="267"/>
      <c r="C132" s="276"/>
      <c r="D132" s="19" t="s">
        <v>51</v>
      </c>
      <c r="E132" s="68">
        <v>0.17653357213775381</v>
      </c>
      <c r="F132" s="68">
        <v>0.51841931602034086</v>
      </c>
      <c r="G132" s="68">
        <v>0.67862675414616369</v>
      </c>
      <c r="H132" s="68">
        <v>0.73065798987707886</v>
      </c>
      <c r="I132" s="68">
        <v>0.68726896169731122</v>
      </c>
      <c r="J132" s="68">
        <f t="shared" si="18"/>
        <v>-5.9383499230696302E-2</v>
      </c>
      <c r="K132" s="45">
        <f t="shared" si="30"/>
        <v>-4.3389028179767646</v>
      </c>
      <c r="L132" s="68"/>
    </row>
    <row r="133" spans="2:12" x14ac:dyDescent="0.25">
      <c r="B133" s="267"/>
      <c r="C133" s="276"/>
      <c r="D133" s="19" t="s">
        <v>52</v>
      </c>
      <c r="E133" s="68">
        <v>0.223050864597027</v>
      </c>
      <c r="F133" s="68">
        <v>0.57789829553458238</v>
      </c>
      <c r="G133" s="68">
        <v>0.824277776380962</v>
      </c>
      <c r="H133" s="68">
        <v>0.87198853493576045</v>
      </c>
      <c r="I133" s="68">
        <v>0.84378397970279084</v>
      </c>
      <c r="J133" s="68">
        <f t="shared" si="18"/>
        <v>-3.2345098705968023E-2</v>
      </c>
      <c r="K133" s="45">
        <f t="shared" si="30"/>
        <v>-2.8204555232969608</v>
      </c>
      <c r="L133" s="22"/>
    </row>
    <row r="134" spans="2:12" x14ac:dyDescent="0.25">
      <c r="B134" s="267"/>
      <c r="C134" s="277"/>
      <c r="D134" s="23" t="s">
        <v>53</v>
      </c>
      <c r="E134" s="68">
        <v>9.2148999846221186E-2</v>
      </c>
      <c r="F134" s="68">
        <v>0.41958571520922028</v>
      </c>
      <c r="G134" s="68">
        <v>0.83629110783051164</v>
      </c>
      <c r="H134" s="68">
        <v>0.7196867205005707</v>
      </c>
      <c r="I134" s="68">
        <v>0.62637430960695517</v>
      </c>
      <c r="J134" s="68">
        <f t="shared" si="18"/>
        <v>-0.12965698579058549</v>
      </c>
      <c r="K134" s="45">
        <f t="shared" si="30"/>
        <v>-9.3312410893615532</v>
      </c>
      <c r="L134" s="46"/>
    </row>
    <row r="135" spans="2:12" x14ac:dyDescent="0.25">
      <c r="B135" s="267"/>
      <c r="C135" s="278" t="s">
        <v>37</v>
      </c>
      <c r="D135" s="63" t="s">
        <v>43</v>
      </c>
      <c r="E135" s="64">
        <v>58432</v>
      </c>
      <c r="F135" s="64">
        <v>120593</v>
      </c>
      <c r="G135" s="64">
        <v>127487</v>
      </c>
      <c r="H135" s="64">
        <v>127897</v>
      </c>
      <c r="I135" s="64">
        <v>127731</v>
      </c>
      <c r="J135" s="65">
        <f t="shared" si="18"/>
        <v>-1.2979194195329447E-3</v>
      </c>
      <c r="K135" s="64">
        <f t="shared" ref="K135:K136" si="31">I135-H135</f>
        <v>-166</v>
      </c>
      <c r="L135" s="65">
        <f>I135/$I$135</f>
        <v>1</v>
      </c>
    </row>
    <row r="136" spans="2:12" x14ac:dyDescent="0.25">
      <c r="B136" s="267"/>
      <c r="C136" s="273"/>
      <c r="D136" s="26" t="s">
        <v>44</v>
      </c>
      <c r="E136" s="27">
        <v>19529</v>
      </c>
      <c r="F136" s="27">
        <v>42725</v>
      </c>
      <c r="G136" s="27">
        <v>46105</v>
      </c>
      <c r="H136" s="27">
        <v>46741</v>
      </c>
      <c r="I136" s="27">
        <v>46019</v>
      </c>
      <c r="J136" s="36">
        <f t="shared" si="18"/>
        <v>-1.5446823987505631E-2</v>
      </c>
      <c r="K136" s="27">
        <f t="shared" si="31"/>
        <v>-722</v>
      </c>
      <c r="L136" s="38">
        <f t="shared" ref="L136:L145" si="32">I136/$I$135</f>
        <v>0.36028058967674254</v>
      </c>
    </row>
    <row r="137" spans="2:12" x14ac:dyDescent="0.25">
      <c r="B137" s="267"/>
      <c r="C137" s="273"/>
      <c r="D137" s="4" t="s">
        <v>45</v>
      </c>
      <c r="E137" s="29">
        <v>17520</v>
      </c>
      <c r="F137" s="29">
        <v>37189</v>
      </c>
      <c r="G137" s="29">
        <v>39065</v>
      </c>
      <c r="H137" s="29">
        <v>38211</v>
      </c>
      <c r="I137" s="29">
        <v>38499</v>
      </c>
      <c r="J137" s="74">
        <f>I137/H137-1</f>
        <v>7.5370966475623025E-3</v>
      </c>
      <c r="K137" s="29">
        <f>I137-H137</f>
        <v>288</v>
      </c>
      <c r="L137" s="75">
        <f t="shared" si="32"/>
        <v>0.30140686286022972</v>
      </c>
    </row>
    <row r="138" spans="2:12" x14ac:dyDescent="0.25">
      <c r="B138" s="267"/>
      <c r="C138" s="273"/>
      <c r="D138" s="4" t="s">
        <v>46</v>
      </c>
      <c r="E138" s="29">
        <v>482</v>
      </c>
      <c r="F138" s="29">
        <v>802</v>
      </c>
      <c r="G138" s="29">
        <v>912</v>
      </c>
      <c r="H138" s="29">
        <v>912</v>
      </c>
      <c r="I138" s="29">
        <v>916</v>
      </c>
      <c r="J138" s="74">
        <f t="shared" ref="J138:J145" si="33">I138/H138-1</f>
        <v>4.3859649122806044E-3</v>
      </c>
      <c r="K138" s="29">
        <f t="shared" ref="K138:K145" si="34">I138-H138</f>
        <v>4</v>
      </c>
      <c r="L138" s="75">
        <f t="shared" si="32"/>
        <v>7.1713209792454453E-3</v>
      </c>
    </row>
    <row r="139" spans="2:12" x14ac:dyDescent="0.25">
      <c r="B139" s="267"/>
      <c r="C139" s="273"/>
      <c r="D139" s="4" t="s">
        <v>47</v>
      </c>
      <c r="E139" s="29">
        <v>3652</v>
      </c>
      <c r="F139" s="29">
        <v>4562</v>
      </c>
      <c r="G139" s="29">
        <v>4562</v>
      </c>
      <c r="H139" s="29">
        <v>4562</v>
      </c>
      <c r="I139" s="29">
        <v>4616</v>
      </c>
      <c r="J139" s="74">
        <f t="shared" si="33"/>
        <v>1.1836913634370783E-2</v>
      </c>
      <c r="K139" s="29">
        <f t="shared" si="34"/>
        <v>54</v>
      </c>
      <c r="L139" s="75">
        <f t="shared" si="32"/>
        <v>3.6138447205455212E-2</v>
      </c>
    </row>
    <row r="140" spans="2:12" x14ac:dyDescent="0.25">
      <c r="B140" s="267"/>
      <c r="C140" s="273"/>
      <c r="D140" s="4" t="s">
        <v>48</v>
      </c>
      <c r="E140" s="29">
        <v>6518</v>
      </c>
      <c r="F140" s="29">
        <v>18123</v>
      </c>
      <c r="G140" s="29">
        <v>19061</v>
      </c>
      <c r="H140" s="29">
        <v>19768</v>
      </c>
      <c r="I140" s="29">
        <v>19856</v>
      </c>
      <c r="J140" s="74">
        <f t="shared" si="33"/>
        <v>4.4516390125455274E-3</v>
      </c>
      <c r="K140" s="29">
        <f t="shared" si="34"/>
        <v>88</v>
      </c>
      <c r="L140" s="75">
        <f t="shared" si="32"/>
        <v>0.15545169144530302</v>
      </c>
    </row>
    <row r="141" spans="2:12" x14ac:dyDescent="0.25">
      <c r="B141" s="267"/>
      <c r="C141" s="273"/>
      <c r="D141" s="4" t="s">
        <v>49</v>
      </c>
      <c r="E141" s="29">
        <v>465</v>
      </c>
      <c r="F141" s="29">
        <v>625</v>
      </c>
      <c r="G141" s="29">
        <v>663</v>
      </c>
      <c r="H141" s="29">
        <v>673</v>
      </c>
      <c r="I141" s="29">
        <v>673</v>
      </c>
      <c r="J141" s="74">
        <f t="shared" si="33"/>
        <v>0</v>
      </c>
      <c r="K141" s="29">
        <f t="shared" si="34"/>
        <v>0</v>
      </c>
      <c r="L141" s="75">
        <f t="shared" si="32"/>
        <v>5.2688853919565333E-3</v>
      </c>
    </row>
    <row r="142" spans="2:12" x14ac:dyDescent="0.25">
      <c r="B142" s="267"/>
      <c r="C142" s="273"/>
      <c r="D142" s="4" t="s">
        <v>50</v>
      </c>
      <c r="E142" s="29">
        <v>2054</v>
      </c>
      <c r="F142" s="29">
        <v>4169</v>
      </c>
      <c r="G142" s="29">
        <v>4791</v>
      </c>
      <c r="H142" s="29">
        <v>4797</v>
      </c>
      <c r="I142" s="29">
        <v>4863</v>
      </c>
      <c r="J142" s="74">
        <f t="shared" si="33"/>
        <v>1.3758599124452875E-2</v>
      </c>
      <c r="K142" s="29">
        <f t="shared" si="34"/>
        <v>66</v>
      </c>
      <c r="L142" s="75">
        <f t="shared" si="32"/>
        <v>3.8072198604880571E-2</v>
      </c>
    </row>
    <row r="143" spans="2:12" x14ac:dyDescent="0.25">
      <c r="B143" s="267"/>
      <c r="C143" s="273"/>
      <c r="D143" s="4" t="s">
        <v>51</v>
      </c>
      <c r="E143" s="29">
        <v>1657</v>
      </c>
      <c r="F143" s="29">
        <v>2493</v>
      </c>
      <c r="G143" s="29">
        <v>2832</v>
      </c>
      <c r="H143" s="29">
        <v>2766</v>
      </c>
      <c r="I143" s="29">
        <v>2679</v>
      </c>
      <c r="J143" s="74">
        <f t="shared" si="33"/>
        <v>-3.1453362255965289E-2</v>
      </c>
      <c r="K143" s="29">
        <f t="shared" si="34"/>
        <v>-87</v>
      </c>
      <c r="L143" s="75">
        <f t="shared" si="32"/>
        <v>2.0973765178382696E-2</v>
      </c>
    </row>
    <row r="144" spans="2:12" x14ac:dyDescent="0.25">
      <c r="B144" s="267"/>
      <c r="C144" s="273"/>
      <c r="D144" s="4" t="s">
        <v>52</v>
      </c>
      <c r="E144" s="29">
        <v>3828</v>
      </c>
      <c r="F144" s="29">
        <v>6412</v>
      </c>
      <c r="G144" s="29">
        <v>6415</v>
      </c>
      <c r="H144" s="29">
        <v>6415</v>
      </c>
      <c r="I144" s="29">
        <v>6497</v>
      </c>
      <c r="J144" s="40">
        <f t="shared" si="33"/>
        <v>1.278254091971931E-2</v>
      </c>
      <c r="K144" s="29">
        <f t="shared" si="34"/>
        <v>82</v>
      </c>
      <c r="L144" s="42">
        <f t="shared" si="32"/>
        <v>5.0864707862617535E-2</v>
      </c>
    </row>
    <row r="145" spans="2:12" x14ac:dyDescent="0.25">
      <c r="B145" s="268"/>
      <c r="C145" s="274"/>
      <c r="D145" s="32" t="s">
        <v>53</v>
      </c>
      <c r="E145" s="71">
        <v>2727</v>
      </c>
      <c r="F145" s="71">
        <v>3493</v>
      </c>
      <c r="G145" s="71">
        <v>3081</v>
      </c>
      <c r="H145" s="71">
        <v>3052</v>
      </c>
      <c r="I145" s="71">
        <v>3113</v>
      </c>
      <c r="J145" s="61">
        <f t="shared" si="33"/>
        <v>1.998689384010488E-2</v>
      </c>
      <c r="K145" s="71">
        <f t="shared" si="34"/>
        <v>61</v>
      </c>
      <c r="L145" s="55">
        <f t="shared" si="32"/>
        <v>2.4371530795186759E-2</v>
      </c>
    </row>
    <row r="146" spans="2:12" ht="6" customHeight="1" x14ac:dyDescent="0.25">
      <c r="B146" s="281"/>
      <c r="C146" s="281"/>
      <c r="D146" s="281"/>
      <c r="E146" s="281"/>
      <c r="F146" s="281"/>
      <c r="G146" s="281"/>
      <c r="H146" s="281"/>
      <c r="I146" s="281"/>
      <c r="J146" s="281"/>
      <c r="K146" s="281"/>
      <c r="L146" s="47"/>
    </row>
    <row r="147" spans="2:12" x14ac:dyDescent="0.25">
      <c r="B147" s="283" t="s">
        <v>55</v>
      </c>
      <c r="C147" s="283"/>
      <c r="D147" s="283"/>
      <c r="E147" s="283"/>
      <c r="F147" s="283"/>
      <c r="G147" s="283"/>
      <c r="H147" s="283"/>
      <c r="I147" s="283"/>
      <c r="J147" s="283"/>
      <c r="K147" s="283"/>
    </row>
    <row r="148" spans="2:12" x14ac:dyDescent="0.25">
      <c r="B148" s="60"/>
    </row>
    <row r="150" spans="2:12" ht="21.75" thickBot="1" x14ac:dyDescent="0.3">
      <c r="B150" s="265" t="s">
        <v>56</v>
      </c>
      <c r="C150" s="265"/>
      <c r="D150" s="265"/>
      <c r="E150" s="265"/>
      <c r="F150" s="265"/>
      <c r="G150" s="265"/>
      <c r="H150" s="265"/>
      <c r="I150" s="265"/>
      <c r="J150" s="265"/>
      <c r="K150" s="265"/>
      <c r="L150" s="12"/>
    </row>
    <row r="151" spans="2:12" ht="15.75" thickBot="1" x14ac:dyDescent="0.3"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</row>
    <row r="152" spans="2:12" x14ac:dyDescent="0.25">
      <c r="B152" s="4"/>
      <c r="C152" s="4"/>
      <c r="D152" s="4"/>
      <c r="E152" s="14">
        <v>2020</v>
      </c>
      <c r="F152" s="14">
        <v>2021</v>
      </c>
      <c r="G152" s="14">
        <v>2022</v>
      </c>
      <c r="H152" s="14">
        <v>2023</v>
      </c>
      <c r="I152" s="14">
        <v>2024</v>
      </c>
      <c r="J152" s="14" t="str">
        <f>CONCATENATE("var. ",RIGHT(I152,2),"/",RIGHT(H152,2))</f>
        <v>var. 24/23</v>
      </c>
      <c r="K152" s="14" t="str">
        <f>CONCATENATE("dif. ",RIGHT(I152,2),"/",RIGHT(H152,2))</f>
        <v>dif. 24/23</v>
      </c>
      <c r="L152" s="14" t="str">
        <f>CONCATENATE("cuota ",I152)</f>
        <v>cuota 2024</v>
      </c>
    </row>
    <row r="153" spans="2:12" x14ac:dyDescent="0.25">
      <c r="B153" s="266" t="s">
        <v>42</v>
      </c>
      <c r="C153" s="269" t="s">
        <v>8</v>
      </c>
      <c r="D153" s="63" t="s">
        <v>43</v>
      </c>
      <c r="E153" s="64">
        <v>1565303</v>
      </c>
      <c r="F153" s="64">
        <v>2335438</v>
      </c>
      <c r="G153" s="64">
        <v>4757683</v>
      </c>
      <c r="H153" s="64">
        <v>5188807</v>
      </c>
      <c r="I153" s="64">
        <v>5480280</v>
      </c>
      <c r="J153" s="65">
        <f>I153/H153-1</f>
        <v>5.6173413272068151E-2</v>
      </c>
      <c r="K153" s="64">
        <f>I153-H153</f>
        <v>291473</v>
      </c>
      <c r="L153" s="65">
        <f>I153/$I$153</f>
        <v>1</v>
      </c>
    </row>
    <row r="154" spans="2:12" x14ac:dyDescent="0.25">
      <c r="B154" s="267"/>
      <c r="C154" s="270"/>
      <c r="D154" s="15" t="s">
        <v>44</v>
      </c>
      <c r="E154" s="16">
        <v>550867</v>
      </c>
      <c r="F154" s="16">
        <v>881045</v>
      </c>
      <c r="G154" s="16">
        <v>1757049</v>
      </c>
      <c r="H154" s="16">
        <v>1888332</v>
      </c>
      <c r="I154" s="16">
        <v>1938898</v>
      </c>
      <c r="J154" s="18">
        <f t="shared" ref="J154" si="35">I154/H154-1</f>
        <v>2.677813011694985E-2</v>
      </c>
      <c r="K154" s="16">
        <f t="shared" ref="K154" si="36">I154-H154</f>
        <v>50566</v>
      </c>
      <c r="L154" s="18">
        <f t="shared" ref="L154:L163" si="37">I154/$I$153</f>
        <v>0.35379542651105417</v>
      </c>
    </row>
    <row r="155" spans="2:12" x14ac:dyDescent="0.25">
      <c r="B155" s="267"/>
      <c r="C155" s="270"/>
      <c r="D155" s="19" t="s">
        <v>45</v>
      </c>
      <c r="E155" s="20">
        <v>375345</v>
      </c>
      <c r="F155" s="20">
        <v>492258</v>
      </c>
      <c r="G155" s="20">
        <v>1243535</v>
      </c>
      <c r="H155" s="20">
        <v>1319978</v>
      </c>
      <c r="I155" s="20">
        <v>1387823</v>
      </c>
      <c r="J155" s="68">
        <f>I155/H155-1</f>
        <v>5.139858391579244E-2</v>
      </c>
      <c r="K155" s="20">
        <f>I155-H155</f>
        <v>67845</v>
      </c>
      <c r="L155" s="68">
        <f t="shared" si="37"/>
        <v>0.2532394330216704</v>
      </c>
    </row>
    <row r="156" spans="2:12" x14ac:dyDescent="0.25">
      <c r="B156" s="267"/>
      <c r="C156" s="270"/>
      <c r="D156" s="19" t="s">
        <v>46</v>
      </c>
      <c r="E156" s="20">
        <v>12633</v>
      </c>
      <c r="F156" s="20">
        <v>20161</v>
      </c>
      <c r="G156" s="20">
        <v>37751</v>
      </c>
      <c r="H156" s="20">
        <v>51166</v>
      </c>
      <c r="I156" s="20">
        <v>43737</v>
      </c>
      <c r="J156" s="68">
        <f t="shared" ref="J156:J218" si="38">I156/H156-1</f>
        <v>-0.14519407418989172</v>
      </c>
      <c r="K156" s="20">
        <f t="shared" ref="K156:K185" si="39">I156-H156</f>
        <v>-7429</v>
      </c>
      <c r="L156" s="68">
        <f t="shared" si="37"/>
        <v>7.9807966016334931E-3</v>
      </c>
    </row>
    <row r="157" spans="2:12" x14ac:dyDescent="0.25">
      <c r="B157" s="267"/>
      <c r="C157" s="270"/>
      <c r="D157" s="19" t="s">
        <v>47</v>
      </c>
      <c r="E157" s="20">
        <v>55313</v>
      </c>
      <c r="F157" s="20">
        <v>70304</v>
      </c>
      <c r="G157" s="20">
        <v>161080</v>
      </c>
      <c r="H157" s="20">
        <v>179837</v>
      </c>
      <c r="I157" s="20">
        <v>231856</v>
      </c>
      <c r="J157" s="68">
        <f t="shared" si="38"/>
        <v>0.28925638216829674</v>
      </c>
      <c r="K157" s="20">
        <f t="shared" si="39"/>
        <v>52019</v>
      </c>
      <c r="L157" s="68">
        <f t="shared" si="37"/>
        <v>4.2307327362835476E-2</v>
      </c>
    </row>
    <row r="158" spans="2:12" x14ac:dyDescent="0.25">
      <c r="B158" s="267"/>
      <c r="C158" s="270"/>
      <c r="D158" s="19" t="s">
        <v>48</v>
      </c>
      <c r="E158" s="20">
        <v>225835</v>
      </c>
      <c r="F158" s="20">
        <v>354204</v>
      </c>
      <c r="G158" s="20">
        <v>710225</v>
      </c>
      <c r="H158" s="20">
        <v>797848</v>
      </c>
      <c r="I158" s="20">
        <v>914356</v>
      </c>
      <c r="J158" s="68">
        <f t="shared" si="38"/>
        <v>0.14602781482187077</v>
      </c>
      <c r="K158" s="20">
        <f t="shared" si="39"/>
        <v>116508</v>
      </c>
      <c r="L158" s="68">
        <f t="shared" si="37"/>
        <v>0.16684475975680074</v>
      </c>
    </row>
    <row r="159" spans="2:12" x14ac:dyDescent="0.25">
      <c r="B159" s="267"/>
      <c r="C159" s="270"/>
      <c r="D159" s="19" t="s">
        <v>49</v>
      </c>
      <c r="E159" s="20">
        <v>24221</v>
      </c>
      <c r="F159" s="20">
        <v>33444</v>
      </c>
      <c r="G159" s="20">
        <v>51485</v>
      </c>
      <c r="H159" s="20">
        <v>58157</v>
      </c>
      <c r="I159" s="20">
        <v>57388</v>
      </c>
      <c r="J159" s="68">
        <f t="shared" si="38"/>
        <v>-1.3222827862510056E-2</v>
      </c>
      <c r="K159" s="20">
        <f t="shared" si="39"/>
        <v>-769</v>
      </c>
      <c r="L159" s="68">
        <f t="shared" si="37"/>
        <v>1.0471727721941215E-2</v>
      </c>
    </row>
    <row r="160" spans="2:12" x14ac:dyDescent="0.25">
      <c r="B160" s="267"/>
      <c r="C160" s="270"/>
      <c r="D160" s="19" t="s">
        <v>50</v>
      </c>
      <c r="E160" s="20">
        <v>77467</v>
      </c>
      <c r="F160" s="20">
        <v>107459</v>
      </c>
      <c r="G160" s="20">
        <v>198873</v>
      </c>
      <c r="H160" s="20">
        <v>252588</v>
      </c>
      <c r="I160" s="20">
        <v>239146</v>
      </c>
      <c r="J160" s="68">
        <f t="shared" si="38"/>
        <v>-5.3217096615832848E-2</v>
      </c>
      <c r="K160" s="20">
        <f t="shared" si="39"/>
        <v>-13442</v>
      </c>
      <c r="L160" s="68">
        <f t="shared" si="37"/>
        <v>4.3637551365988597E-2</v>
      </c>
    </row>
    <row r="161" spans="2:12" x14ac:dyDescent="0.25">
      <c r="B161" s="267"/>
      <c r="C161" s="270"/>
      <c r="D161" s="19" t="s">
        <v>51</v>
      </c>
      <c r="E161" s="20">
        <v>103516</v>
      </c>
      <c r="F161" s="20">
        <v>164258</v>
      </c>
      <c r="G161" s="20">
        <v>229131</v>
      </c>
      <c r="H161" s="20">
        <v>239109</v>
      </c>
      <c r="I161" s="20">
        <v>250871</v>
      </c>
      <c r="J161" s="68">
        <f t="shared" si="38"/>
        <v>4.9190954752853289E-2</v>
      </c>
      <c r="K161" s="20">
        <f t="shared" si="39"/>
        <v>11762</v>
      </c>
      <c r="L161" s="68">
        <f t="shared" si="37"/>
        <v>4.5777040589166977E-2</v>
      </c>
    </row>
    <row r="162" spans="2:12" x14ac:dyDescent="0.25">
      <c r="B162" s="267"/>
      <c r="C162" s="270"/>
      <c r="D162" s="19" t="s">
        <v>52</v>
      </c>
      <c r="E162" s="20">
        <v>96681</v>
      </c>
      <c r="F162" s="20">
        <v>140346</v>
      </c>
      <c r="G162" s="20">
        <v>257117</v>
      </c>
      <c r="H162" s="20">
        <v>278594</v>
      </c>
      <c r="I162" s="20">
        <v>287810</v>
      </c>
      <c r="J162" s="22">
        <f t="shared" si="38"/>
        <v>3.3080396562739978E-2</v>
      </c>
      <c r="K162" s="20">
        <f t="shared" si="39"/>
        <v>9216</v>
      </c>
      <c r="L162" s="22">
        <f t="shared" si="37"/>
        <v>5.2517389622428051E-2</v>
      </c>
    </row>
    <row r="163" spans="2:12" x14ac:dyDescent="0.25">
      <c r="B163" s="267"/>
      <c r="C163" s="271"/>
      <c r="D163" s="23" t="s">
        <v>53</v>
      </c>
      <c r="E163" s="69">
        <v>43425</v>
      </c>
      <c r="F163" s="69">
        <v>71959</v>
      </c>
      <c r="G163" s="69">
        <v>111437</v>
      </c>
      <c r="H163" s="69">
        <v>123198</v>
      </c>
      <c r="I163" s="69">
        <v>128395</v>
      </c>
      <c r="J163" s="46">
        <f t="shared" si="38"/>
        <v>4.2184126365687691E-2</v>
      </c>
      <c r="K163" s="69">
        <f t="shared" si="39"/>
        <v>5197</v>
      </c>
      <c r="L163" s="46">
        <f t="shared" si="37"/>
        <v>2.3428547446480836E-2</v>
      </c>
    </row>
    <row r="164" spans="2:12" x14ac:dyDescent="0.25">
      <c r="B164" s="267"/>
      <c r="C164" s="272" t="s">
        <v>18</v>
      </c>
      <c r="D164" s="63" t="s">
        <v>43</v>
      </c>
      <c r="E164" s="64">
        <v>1664028</v>
      </c>
      <c r="F164" s="64">
        <v>2347681</v>
      </c>
      <c r="G164" s="64">
        <v>4832844</v>
      </c>
      <c r="H164" s="64">
        <v>5281361</v>
      </c>
      <c r="I164" s="64">
        <v>5576793</v>
      </c>
      <c r="J164" s="65">
        <f>I164/H164-1</f>
        <v>5.5938611278418593E-2</v>
      </c>
      <c r="K164" s="64">
        <f>I164-H164</f>
        <v>295432</v>
      </c>
      <c r="L164" s="65">
        <f t="shared" ref="L164:L174" si="40">I164/$I$164</f>
        <v>1</v>
      </c>
    </row>
    <row r="165" spans="2:12" x14ac:dyDescent="0.25">
      <c r="B165" s="267"/>
      <c r="C165" s="273"/>
      <c r="D165" s="26" t="s">
        <v>44</v>
      </c>
      <c r="E165" s="27">
        <v>590539</v>
      </c>
      <c r="F165" s="27">
        <v>886032</v>
      </c>
      <c r="G165" s="27">
        <v>1785371</v>
      </c>
      <c r="H165" s="27">
        <v>1925016</v>
      </c>
      <c r="I165" s="27">
        <v>1977765</v>
      </c>
      <c r="J165" s="80">
        <f t="shared" ref="J165" si="41">I165/H165-1</f>
        <v>2.7401850166440145E-2</v>
      </c>
      <c r="K165" s="27">
        <f t="shared" ref="K165" si="42">I165-H165</f>
        <v>52749</v>
      </c>
      <c r="L165" s="38">
        <f t="shared" si="40"/>
        <v>0.35464199585675854</v>
      </c>
    </row>
    <row r="166" spans="2:12" x14ac:dyDescent="0.25">
      <c r="B166" s="267"/>
      <c r="C166" s="273"/>
      <c r="D166" s="4" t="s">
        <v>45</v>
      </c>
      <c r="E166" s="29">
        <v>404818</v>
      </c>
      <c r="F166" s="29">
        <v>494807</v>
      </c>
      <c r="G166" s="29">
        <v>1265143</v>
      </c>
      <c r="H166" s="29">
        <v>1346080</v>
      </c>
      <c r="I166" s="29">
        <v>1414435</v>
      </c>
      <c r="J166" s="81">
        <f>I166/H166-1</f>
        <v>5.0780785688814944E-2</v>
      </c>
      <c r="K166" s="29">
        <f>I166-H166</f>
        <v>68355</v>
      </c>
      <c r="L166" s="75">
        <f t="shared" si="40"/>
        <v>0.25362874325799795</v>
      </c>
    </row>
    <row r="167" spans="2:12" x14ac:dyDescent="0.25">
      <c r="B167" s="267"/>
      <c r="C167" s="273"/>
      <c r="D167" s="4" t="s">
        <v>46</v>
      </c>
      <c r="E167" s="29">
        <v>13335</v>
      </c>
      <c r="F167" s="29">
        <v>20284</v>
      </c>
      <c r="G167" s="29">
        <v>38233</v>
      </c>
      <c r="H167" s="29">
        <v>51566</v>
      </c>
      <c r="I167" s="29">
        <v>44327</v>
      </c>
      <c r="J167" s="81">
        <f t="shared" ref="J167:J174" si="43">I167/H167-1</f>
        <v>-0.14038319823139278</v>
      </c>
      <c r="K167" s="29">
        <f t="shared" ref="K167:K174" si="44">I167-H167</f>
        <v>-7239</v>
      </c>
      <c r="L167" s="75">
        <f t="shared" si="40"/>
        <v>7.948475046500739E-3</v>
      </c>
    </row>
    <row r="168" spans="2:12" x14ac:dyDescent="0.25">
      <c r="B168" s="267"/>
      <c r="C168" s="273"/>
      <c r="D168" s="4" t="s">
        <v>47</v>
      </c>
      <c r="E168" s="29">
        <v>57877</v>
      </c>
      <c r="F168" s="29">
        <v>71245</v>
      </c>
      <c r="G168" s="29">
        <v>164270</v>
      </c>
      <c r="H168" s="29">
        <v>183368</v>
      </c>
      <c r="I168" s="29">
        <v>234780</v>
      </c>
      <c r="J168" s="81">
        <f t="shared" si="43"/>
        <v>0.28037607434230627</v>
      </c>
      <c r="K168" s="29">
        <f t="shared" si="44"/>
        <v>51412</v>
      </c>
      <c r="L168" s="75">
        <f t="shared" si="40"/>
        <v>4.2099464692341999E-2</v>
      </c>
    </row>
    <row r="169" spans="2:12" x14ac:dyDescent="0.25">
      <c r="B169" s="267"/>
      <c r="C169" s="273"/>
      <c r="D169" s="4" t="s">
        <v>48</v>
      </c>
      <c r="E169" s="29">
        <v>240954</v>
      </c>
      <c r="F169" s="29">
        <v>355287</v>
      </c>
      <c r="G169" s="29">
        <v>720575</v>
      </c>
      <c r="H169" s="29">
        <v>811299</v>
      </c>
      <c r="I169" s="29">
        <v>928708</v>
      </c>
      <c r="J169" s="81">
        <f t="shared" si="43"/>
        <v>0.14471729904757669</v>
      </c>
      <c r="K169" s="29">
        <f t="shared" si="44"/>
        <v>117409</v>
      </c>
      <c r="L169" s="75">
        <f t="shared" si="40"/>
        <v>0.16653083591232451</v>
      </c>
    </row>
    <row r="170" spans="2:12" x14ac:dyDescent="0.25">
      <c r="B170" s="267"/>
      <c r="C170" s="273"/>
      <c r="D170" s="4" t="s">
        <v>49</v>
      </c>
      <c r="E170" s="29">
        <v>24525</v>
      </c>
      <c r="F170" s="29">
        <v>33497</v>
      </c>
      <c r="G170" s="29">
        <v>51855</v>
      </c>
      <c r="H170" s="29">
        <v>58492</v>
      </c>
      <c r="I170" s="29">
        <v>57716</v>
      </c>
      <c r="J170" s="81">
        <f t="shared" si="43"/>
        <v>-1.3266771524310994E-2</v>
      </c>
      <c r="K170" s="29">
        <f t="shared" si="44"/>
        <v>-776</v>
      </c>
      <c r="L170" s="75">
        <f t="shared" si="40"/>
        <v>1.0349317250972019E-2</v>
      </c>
    </row>
    <row r="171" spans="2:12" x14ac:dyDescent="0.25">
      <c r="B171" s="267"/>
      <c r="C171" s="273"/>
      <c r="D171" s="4" t="s">
        <v>50</v>
      </c>
      <c r="E171" s="29">
        <v>80970</v>
      </c>
      <c r="F171" s="29">
        <v>108554</v>
      </c>
      <c r="G171" s="29">
        <v>202302</v>
      </c>
      <c r="H171" s="29">
        <v>255835</v>
      </c>
      <c r="I171" s="29">
        <v>243005</v>
      </c>
      <c r="J171" s="81">
        <f t="shared" si="43"/>
        <v>-5.0149510426642174E-2</v>
      </c>
      <c r="K171" s="29">
        <f t="shared" si="44"/>
        <v>-12830</v>
      </c>
      <c r="L171" s="75">
        <f t="shared" si="40"/>
        <v>4.3574326678433285E-2</v>
      </c>
    </row>
    <row r="172" spans="2:12" x14ac:dyDescent="0.25">
      <c r="B172" s="267"/>
      <c r="C172" s="273"/>
      <c r="D172" s="4" t="s">
        <v>51</v>
      </c>
      <c r="E172" s="29">
        <v>104957</v>
      </c>
      <c r="F172" s="29">
        <v>164413</v>
      </c>
      <c r="G172" s="29">
        <v>230406</v>
      </c>
      <c r="H172" s="29">
        <v>240602</v>
      </c>
      <c r="I172" s="29">
        <v>252566</v>
      </c>
      <c r="J172" s="81">
        <f t="shared" si="43"/>
        <v>4.9725272441625501E-2</v>
      </c>
      <c r="K172" s="29">
        <f t="shared" si="44"/>
        <v>11964</v>
      </c>
      <c r="L172" s="75">
        <f t="shared" si="40"/>
        <v>4.5288752872842869E-2</v>
      </c>
    </row>
    <row r="173" spans="2:12" x14ac:dyDescent="0.25">
      <c r="B173" s="267"/>
      <c r="C173" s="273"/>
      <c r="D173" s="4" t="s">
        <v>52</v>
      </c>
      <c r="E173" s="29">
        <v>100783</v>
      </c>
      <c r="F173" s="29">
        <v>141329</v>
      </c>
      <c r="G173" s="29">
        <v>261644</v>
      </c>
      <c r="H173" s="29">
        <v>283635</v>
      </c>
      <c r="I173" s="29">
        <v>293116</v>
      </c>
      <c r="J173" s="31">
        <f t="shared" si="43"/>
        <v>3.3426763269695181E-2</v>
      </c>
      <c r="K173" s="29">
        <f t="shared" si="44"/>
        <v>9481</v>
      </c>
      <c r="L173" s="42">
        <f t="shared" si="40"/>
        <v>5.2559956950168317E-2</v>
      </c>
    </row>
    <row r="174" spans="2:12" x14ac:dyDescent="0.25">
      <c r="B174" s="267"/>
      <c r="C174" s="274"/>
      <c r="D174" s="32" t="s">
        <v>53</v>
      </c>
      <c r="E174" s="71">
        <v>45270</v>
      </c>
      <c r="F174" s="71">
        <v>72233</v>
      </c>
      <c r="G174" s="71">
        <v>113045</v>
      </c>
      <c r="H174" s="71">
        <v>125468</v>
      </c>
      <c r="I174" s="71">
        <v>130375</v>
      </c>
      <c r="J174" s="72">
        <f t="shared" si="43"/>
        <v>3.9109573755857996E-2</v>
      </c>
      <c r="K174" s="71">
        <f t="shared" si="44"/>
        <v>4907</v>
      </c>
      <c r="L174" s="55">
        <f t="shared" si="40"/>
        <v>2.3378131481659799E-2</v>
      </c>
    </row>
    <row r="175" spans="2:12" x14ac:dyDescent="0.25">
      <c r="B175" s="267"/>
      <c r="C175" s="269" t="s">
        <v>21</v>
      </c>
      <c r="D175" s="63" t="s">
        <v>43</v>
      </c>
      <c r="E175" s="64">
        <v>10243785</v>
      </c>
      <c r="F175" s="64">
        <v>13903380</v>
      </c>
      <c r="G175" s="64">
        <v>31405937</v>
      </c>
      <c r="H175" s="64">
        <v>34509923</v>
      </c>
      <c r="I175" s="64">
        <v>36076748</v>
      </c>
      <c r="J175" s="65">
        <f t="shared" si="38"/>
        <v>4.540215867766495E-2</v>
      </c>
      <c r="K175" s="64">
        <f t="shared" si="39"/>
        <v>1566825</v>
      </c>
      <c r="L175" s="65">
        <f>I175/$I$175</f>
        <v>1</v>
      </c>
    </row>
    <row r="176" spans="2:12" x14ac:dyDescent="0.25">
      <c r="B176" s="267"/>
      <c r="C176" s="270"/>
      <c r="D176" s="15" t="s">
        <v>44</v>
      </c>
      <c r="E176" s="16">
        <v>3913809</v>
      </c>
      <c r="F176" s="16">
        <v>5763674</v>
      </c>
      <c r="G176" s="16">
        <v>12632387</v>
      </c>
      <c r="H176" s="16">
        <v>13590517</v>
      </c>
      <c r="I176" s="16">
        <v>13839613</v>
      </c>
      <c r="J176" s="18">
        <f t="shared" si="38"/>
        <v>1.8328662551983843E-2</v>
      </c>
      <c r="K176" s="16">
        <f t="shared" si="39"/>
        <v>249096</v>
      </c>
      <c r="L176" s="18">
        <f t="shared" ref="L176:L185" si="45">I176/$I$175</f>
        <v>0.38361586803777326</v>
      </c>
    </row>
    <row r="177" spans="2:12" x14ac:dyDescent="0.25">
      <c r="B177" s="267"/>
      <c r="C177" s="270"/>
      <c r="D177" s="19" t="s">
        <v>45</v>
      </c>
      <c r="E177" s="20">
        <v>2858440</v>
      </c>
      <c r="F177" s="20">
        <v>3367162</v>
      </c>
      <c r="G177" s="20">
        <v>8865243</v>
      </c>
      <c r="H177" s="20">
        <v>9739308</v>
      </c>
      <c r="I177" s="20">
        <v>10014981</v>
      </c>
      <c r="J177" s="68">
        <f t="shared" si="38"/>
        <v>2.8305193757092395E-2</v>
      </c>
      <c r="K177" s="20">
        <f t="shared" si="39"/>
        <v>275673</v>
      </c>
      <c r="L177" s="68">
        <f t="shared" si="45"/>
        <v>0.2776020998344973</v>
      </c>
    </row>
    <row r="178" spans="2:12" x14ac:dyDescent="0.25">
      <c r="B178" s="267"/>
      <c r="C178" s="270"/>
      <c r="D178" s="19" t="s">
        <v>46</v>
      </c>
      <c r="E178" s="20">
        <v>65275</v>
      </c>
      <c r="F178" s="20">
        <v>98762</v>
      </c>
      <c r="G178" s="20">
        <v>168339</v>
      </c>
      <c r="H178" s="20">
        <v>182035</v>
      </c>
      <c r="I178" s="20">
        <v>194642</v>
      </c>
      <c r="J178" s="68">
        <f t="shared" si="38"/>
        <v>6.925591232455286E-2</v>
      </c>
      <c r="K178" s="20">
        <f t="shared" si="39"/>
        <v>12607</v>
      </c>
      <c r="L178" s="68">
        <f t="shared" si="45"/>
        <v>5.3952202121987274E-3</v>
      </c>
    </row>
    <row r="179" spans="2:12" x14ac:dyDescent="0.25">
      <c r="B179" s="267"/>
      <c r="C179" s="270"/>
      <c r="D179" s="19" t="s">
        <v>47</v>
      </c>
      <c r="E179" s="20">
        <v>295880</v>
      </c>
      <c r="F179" s="20">
        <v>419370</v>
      </c>
      <c r="G179" s="20">
        <v>1014697</v>
      </c>
      <c r="H179" s="20">
        <v>1034949</v>
      </c>
      <c r="I179" s="20">
        <v>1361415</v>
      </c>
      <c r="J179" s="68">
        <f t="shared" si="38"/>
        <v>0.31544163045715301</v>
      </c>
      <c r="K179" s="20">
        <f t="shared" si="39"/>
        <v>326466</v>
      </c>
      <c r="L179" s="68">
        <f t="shared" si="45"/>
        <v>3.7736633024683934E-2</v>
      </c>
    </row>
    <row r="180" spans="2:12" x14ac:dyDescent="0.25">
      <c r="B180" s="267"/>
      <c r="C180" s="270"/>
      <c r="D180" s="19" t="s">
        <v>48</v>
      </c>
      <c r="E180" s="20">
        <v>1546641</v>
      </c>
      <c r="F180" s="20">
        <v>1967362</v>
      </c>
      <c r="G180" s="20">
        <v>4352393</v>
      </c>
      <c r="H180" s="20">
        <v>5123327</v>
      </c>
      <c r="I180" s="20">
        <v>5751799</v>
      </c>
      <c r="J180" s="68">
        <f t="shared" si="38"/>
        <v>0.12266872678632468</v>
      </c>
      <c r="K180" s="20">
        <f t="shared" si="39"/>
        <v>628472</v>
      </c>
      <c r="L180" s="68">
        <f t="shared" si="45"/>
        <v>0.15943230249023554</v>
      </c>
    </row>
    <row r="181" spans="2:12" x14ac:dyDescent="0.25">
      <c r="B181" s="267"/>
      <c r="C181" s="270"/>
      <c r="D181" s="19" t="s">
        <v>49</v>
      </c>
      <c r="E181" s="20">
        <v>59047</v>
      </c>
      <c r="F181" s="20">
        <v>83402</v>
      </c>
      <c r="G181" s="20">
        <v>137757</v>
      </c>
      <c r="H181" s="20">
        <v>148334</v>
      </c>
      <c r="I181" s="20">
        <v>152300</v>
      </c>
      <c r="J181" s="68">
        <f t="shared" si="38"/>
        <v>2.6736958485579887E-2</v>
      </c>
      <c r="K181" s="20">
        <f t="shared" si="39"/>
        <v>3966</v>
      </c>
      <c r="L181" s="68">
        <f t="shared" si="45"/>
        <v>4.2215556679332626E-3</v>
      </c>
    </row>
    <row r="182" spans="2:12" x14ac:dyDescent="0.25">
      <c r="B182" s="267"/>
      <c r="C182" s="270"/>
      <c r="D182" s="19" t="s">
        <v>50</v>
      </c>
      <c r="E182" s="20">
        <v>442013</v>
      </c>
      <c r="F182" s="20">
        <v>749212</v>
      </c>
      <c r="G182" s="20">
        <v>1316064</v>
      </c>
      <c r="H182" s="20">
        <v>1447168</v>
      </c>
      <c r="I182" s="20">
        <v>1453294</v>
      </c>
      <c r="J182" s="68">
        <f t="shared" si="38"/>
        <v>4.2330952591544957E-3</v>
      </c>
      <c r="K182" s="20">
        <f t="shared" si="39"/>
        <v>6126</v>
      </c>
      <c r="L182" s="68">
        <f t="shared" si="45"/>
        <v>4.0283398049070274E-2</v>
      </c>
    </row>
    <row r="183" spans="2:12" x14ac:dyDescent="0.25">
      <c r="B183" s="267"/>
      <c r="C183" s="270"/>
      <c r="D183" s="19" t="s">
        <v>51</v>
      </c>
      <c r="E183" s="20">
        <v>216673</v>
      </c>
      <c r="F183" s="20">
        <v>359169</v>
      </c>
      <c r="G183" s="20">
        <v>543499</v>
      </c>
      <c r="H183" s="20">
        <v>576462</v>
      </c>
      <c r="I183" s="20">
        <v>584273</v>
      </c>
      <c r="J183" s="68">
        <f t="shared" si="38"/>
        <v>1.3549895743344642E-2</v>
      </c>
      <c r="K183" s="20">
        <f t="shared" si="39"/>
        <v>7811</v>
      </c>
      <c r="L183" s="68">
        <f t="shared" si="45"/>
        <v>1.6195279020160019E-2</v>
      </c>
    </row>
    <row r="184" spans="2:12" x14ac:dyDescent="0.25">
      <c r="B184" s="267"/>
      <c r="C184" s="270"/>
      <c r="D184" s="19" t="s">
        <v>52</v>
      </c>
      <c r="E184" s="20">
        <v>610766</v>
      </c>
      <c r="F184" s="20">
        <v>774989</v>
      </c>
      <c r="G184" s="20">
        <v>1753117</v>
      </c>
      <c r="H184" s="20">
        <v>1886738</v>
      </c>
      <c r="I184" s="20">
        <v>1988780</v>
      </c>
      <c r="J184" s="22">
        <f t="shared" si="38"/>
        <v>5.4083820859069931E-2</v>
      </c>
      <c r="K184" s="20">
        <f t="shared" si="39"/>
        <v>102042</v>
      </c>
      <c r="L184" s="22">
        <f t="shared" si="45"/>
        <v>5.512636560257593E-2</v>
      </c>
    </row>
    <row r="185" spans="2:12" x14ac:dyDescent="0.25">
      <c r="B185" s="267"/>
      <c r="C185" s="271"/>
      <c r="D185" s="23" t="s">
        <v>53</v>
      </c>
      <c r="E185" s="69">
        <v>235241</v>
      </c>
      <c r="F185" s="69">
        <v>320278</v>
      </c>
      <c r="G185" s="69">
        <v>622441</v>
      </c>
      <c r="H185" s="69">
        <v>781085</v>
      </c>
      <c r="I185" s="69">
        <v>735651</v>
      </c>
      <c r="J185" s="46">
        <f t="shared" si="38"/>
        <v>-5.8167805040424514E-2</v>
      </c>
      <c r="K185" s="69">
        <f t="shared" si="39"/>
        <v>-45434</v>
      </c>
      <c r="L185" s="46">
        <f t="shared" si="45"/>
        <v>2.0391278060871782E-2</v>
      </c>
    </row>
    <row r="186" spans="2:12" x14ac:dyDescent="0.25">
      <c r="B186" s="267"/>
      <c r="C186" s="272" t="s">
        <v>22</v>
      </c>
      <c r="D186" s="63" t="s">
        <v>43</v>
      </c>
      <c r="E186" s="73">
        <f t="shared" ref="E186:I187" si="46">E175/E153</f>
        <v>6.5442824807720932</v>
      </c>
      <c r="F186" s="73">
        <f t="shared" si="46"/>
        <v>5.9532216226677823</v>
      </c>
      <c r="G186" s="73">
        <f t="shared" si="46"/>
        <v>6.6010991064347921</v>
      </c>
      <c r="H186" s="73">
        <f t="shared" si="46"/>
        <v>6.6508395860551373</v>
      </c>
      <c r="I186" s="73">
        <f t="shared" si="46"/>
        <v>6.583011816914464</v>
      </c>
      <c r="J186" s="65">
        <f t="shared" si="38"/>
        <v>-1.0198376951218058E-2</v>
      </c>
      <c r="K186" s="73">
        <f t="shared" ref="K186:K187" si="47">(I186-H186)</f>
        <v>-6.7827769140673233E-2</v>
      </c>
      <c r="L186" s="65"/>
    </row>
    <row r="187" spans="2:12" x14ac:dyDescent="0.25">
      <c r="B187" s="267"/>
      <c r="C187" s="273"/>
      <c r="D187" s="26" t="s">
        <v>44</v>
      </c>
      <c r="E187" s="37">
        <f t="shared" si="46"/>
        <v>7.1048165891222386</v>
      </c>
      <c r="F187" s="37">
        <f t="shared" si="46"/>
        <v>6.5418610854156141</v>
      </c>
      <c r="G187" s="37">
        <f t="shared" si="46"/>
        <v>7.1895473603752658</v>
      </c>
      <c r="H187" s="37">
        <f t="shared" si="46"/>
        <v>7.1971014630901768</v>
      </c>
      <c r="I187" s="37">
        <f t="shared" si="46"/>
        <v>7.1378757417873455</v>
      </c>
      <c r="J187" s="80">
        <f t="shared" si="38"/>
        <v>-8.2291074547949927E-3</v>
      </c>
      <c r="K187" s="37">
        <f t="shared" si="47"/>
        <v>-5.9225721302831325E-2</v>
      </c>
      <c r="L187" s="38"/>
    </row>
    <row r="188" spans="2:12" x14ac:dyDescent="0.25">
      <c r="B188" s="267"/>
      <c r="C188" s="273"/>
      <c r="D188" s="4" t="s">
        <v>45</v>
      </c>
      <c r="E188" s="41">
        <f>E177/E155</f>
        <v>7.6155004062928775</v>
      </c>
      <c r="F188" s="41">
        <f>F177/F155</f>
        <v>6.8402382490482632</v>
      </c>
      <c r="G188" s="41">
        <f>G177/G155</f>
        <v>7.1290659289847085</v>
      </c>
      <c r="H188" s="41">
        <f>H177/H155</f>
        <v>7.378386609473794</v>
      </c>
      <c r="I188" s="41">
        <f>I177/I155</f>
        <v>7.2163244160098223</v>
      </c>
      <c r="J188" s="81">
        <f t="shared" si="38"/>
        <v>-2.1964448603965181E-2</v>
      </c>
      <c r="K188" s="41">
        <f>(I188-H188)</f>
        <v>-0.16206219346397166</v>
      </c>
      <c r="L188" s="75"/>
    </row>
    <row r="189" spans="2:12" x14ac:dyDescent="0.25">
      <c r="B189" s="267"/>
      <c r="C189" s="273"/>
      <c r="D189" s="4" t="s">
        <v>46</v>
      </c>
      <c r="E189" s="41">
        <f t="shared" ref="E189:I196" si="48">E178/E156</f>
        <v>5.1670228765930499</v>
      </c>
      <c r="F189" s="41">
        <f t="shared" si="48"/>
        <v>4.8986657407866669</v>
      </c>
      <c r="G189" s="41">
        <f t="shared" si="48"/>
        <v>4.4591931339567168</v>
      </c>
      <c r="H189" s="41">
        <f t="shared" si="48"/>
        <v>3.5577336512527848</v>
      </c>
      <c r="I189" s="41">
        <f t="shared" si="48"/>
        <v>4.4502823696184013</v>
      </c>
      <c r="J189" s="81">
        <f t="shared" si="38"/>
        <v>0.25087564327681555</v>
      </c>
      <c r="K189" s="41">
        <f t="shared" ref="K189:K196" si="49">(I189-H189)</f>
        <v>0.89254871836561644</v>
      </c>
      <c r="L189" s="75"/>
    </row>
    <row r="190" spans="2:12" x14ac:dyDescent="0.25">
      <c r="B190" s="267"/>
      <c r="C190" s="273"/>
      <c r="D190" s="4" t="s">
        <v>47</v>
      </c>
      <c r="E190" s="41">
        <f t="shared" si="48"/>
        <v>5.3491945835517871</v>
      </c>
      <c r="F190" s="41">
        <f t="shared" si="48"/>
        <v>5.9650944469731453</v>
      </c>
      <c r="G190" s="41">
        <f t="shared" si="48"/>
        <v>6.2993357337968714</v>
      </c>
      <c r="H190" s="41">
        <f t="shared" si="48"/>
        <v>5.7549280737556785</v>
      </c>
      <c r="I190" s="41">
        <f t="shared" si="48"/>
        <v>5.8718126768338967</v>
      </c>
      <c r="J190" s="81">
        <f t="shared" si="38"/>
        <v>2.0310349943598593E-2</v>
      </c>
      <c r="K190" s="41">
        <f t="shared" si="49"/>
        <v>0.11688460307821824</v>
      </c>
      <c r="L190" s="75"/>
    </row>
    <row r="191" spans="2:12" x14ac:dyDescent="0.25">
      <c r="B191" s="267"/>
      <c r="C191" s="273"/>
      <c r="D191" s="4" t="s">
        <v>48</v>
      </c>
      <c r="E191" s="41">
        <f t="shared" si="48"/>
        <v>6.8485442911860428</v>
      </c>
      <c r="F191" s="41">
        <f t="shared" si="48"/>
        <v>5.5543189800228117</v>
      </c>
      <c r="G191" s="41">
        <f t="shared" si="48"/>
        <v>6.1281889542046537</v>
      </c>
      <c r="H191" s="41">
        <f t="shared" si="48"/>
        <v>6.4214324031645127</v>
      </c>
      <c r="I191" s="41">
        <f t="shared" si="48"/>
        <v>6.2905465704823937</v>
      </c>
      <c r="J191" s="81">
        <f t="shared" si="38"/>
        <v>-2.0382653661139227E-2</v>
      </c>
      <c r="K191" s="41">
        <f t="shared" si="49"/>
        <v>-0.13088583268211895</v>
      </c>
      <c r="L191" s="75"/>
    </row>
    <row r="192" spans="2:12" x14ac:dyDescent="0.25">
      <c r="B192" s="267"/>
      <c r="C192" s="273"/>
      <c r="D192" s="4" t="s">
        <v>49</v>
      </c>
      <c r="E192" s="41">
        <f t="shared" si="48"/>
        <v>2.437843193922629</v>
      </c>
      <c r="F192" s="41">
        <f t="shared" si="48"/>
        <v>2.4937806482478173</v>
      </c>
      <c r="G192" s="41">
        <f t="shared" si="48"/>
        <v>2.6756725259784404</v>
      </c>
      <c r="H192" s="41">
        <f t="shared" si="48"/>
        <v>2.5505786061867015</v>
      </c>
      <c r="I192" s="41">
        <f t="shared" si="48"/>
        <v>2.6538649194953647</v>
      </c>
      <c r="J192" s="81">
        <f t="shared" si="38"/>
        <v>4.0495248042201615E-2</v>
      </c>
      <c r="K192" s="41">
        <f t="shared" si="49"/>
        <v>0.10328631330866322</v>
      </c>
      <c r="L192" s="75"/>
    </row>
    <row r="193" spans="2:12" x14ac:dyDescent="0.25">
      <c r="B193" s="267"/>
      <c r="C193" s="273"/>
      <c r="D193" s="4" t="s">
        <v>50</v>
      </c>
      <c r="E193" s="41">
        <f t="shared" si="48"/>
        <v>5.7058231246853497</v>
      </c>
      <c r="F193" s="41">
        <f t="shared" si="48"/>
        <v>6.9720730697289195</v>
      </c>
      <c r="G193" s="41">
        <f t="shared" si="48"/>
        <v>6.6176102336667117</v>
      </c>
      <c r="H193" s="41">
        <f t="shared" si="48"/>
        <v>5.729361648217651</v>
      </c>
      <c r="I193" s="41">
        <f t="shared" si="48"/>
        <v>6.0770157142498729</v>
      </c>
      <c r="J193" s="81">
        <f t="shared" si="38"/>
        <v>6.0679371870402621E-2</v>
      </c>
      <c r="K193" s="41">
        <f t="shared" si="49"/>
        <v>0.34765406603222182</v>
      </c>
      <c r="L193" s="75"/>
    </row>
    <row r="194" spans="2:12" x14ac:dyDescent="0.25">
      <c r="B194" s="267"/>
      <c r="C194" s="273"/>
      <c r="D194" s="4" t="s">
        <v>51</v>
      </c>
      <c r="E194" s="41">
        <f t="shared" si="48"/>
        <v>2.0931353607171839</v>
      </c>
      <c r="F194" s="41">
        <f t="shared" si="48"/>
        <v>2.1866149593931499</v>
      </c>
      <c r="G194" s="41">
        <f t="shared" si="48"/>
        <v>2.3720011696365835</v>
      </c>
      <c r="H194" s="41">
        <f t="shared" si="48"/>
        <v>2.410875374829053</v>
      </c>
      <c r="I194" s="41">
        <f t="shared" si="48"/>
        <v>2.328977841201255</v>
      </c>
      <c r="J194" s="81">
        <f t="shared" si="38"/>
        <v>-3.3970040294432513E-2</v>
      </c>
      <c r="K194" s="41">
        <f t="shared" si="49"/>
        <v>-8.1897533627798058E-2</v>
      </c>
      <c r="L194" s="75"/>
    </row>
    <row r="195" spans="2:12" x14ac:dyDescent="0.25">
      <c r="B195" s="267"/>
      <c r="C195" s="273"/>
      <c r="D195" s="4" t="s">
        <v>52</v>
      </c>
      <c r="E195" s="41">
        <f t="shared" si="48"/>
        <v>6.3173322576307651</v>
      </c>
      <c r="F195" s="41">
        <f t="shared" si="48"/>
        <v>5.5219885141008653</v>
      </c>
      <c r="G195" s="41">
        <f t="shared" si="48"/>
        <v>6.81836284648623</v>
      </c>
      <c r="H195" s="41">
        <f t="shared" si="48"/>
        <v>6.7723569064660403</v>
      </c>
      <c r="I195" s="41">
        <f t="shared" si="48"/>
        <v>6.910044821236232</v>
      </c>
      <c r="J195" s="31">
        <f t="shared" si="38"/>
        <v>2.0330871020505681E-2</v>
      </c>
      <c r="K195" s="41">
        <f t="shared" si="49"/>
        <v>0.13768791477019171</v>
      </c>
      <c r="L195" s="42"/>
    </row>
    <row r="196" spans="2:12" x14ac:dyDescent="0.25">
      <c r="B196" s="267"/>
      <c r="C196" s="274"/>
      <c r="D196" s="32" t="s">
        <v>53</v>
      </c>
      <c r="E196" s="77">
        <f t="shared" si="48"/>
        <v>5.4171790443293037</v>
      </c>
      <c r="F196" s="77">
        <f t="shared" si="48"/>
        <v>4.4508400617018022</v>
      </c>
      <c r="G196" s="77">
        <f t="shared" si="48"/>
        <v>5.585586474869209</v>
      </c>
      <c r="H196" s="77">
        <f t="shared" si="48"/>
        <v>6.340078572704102</v>
      </c>
      <c r="I196" s="77">
        <f t="shared" si="48"/>
        <v>5.7295922738424396</v>
      </c>
      <c r="J196" s="72">
        <f t="shared" si="38"/>
        <v>-9.6290020992797265E-2</v>
      </c>
      <c r="K196" s="77">
        <f t="shared" si="49"/>
        <v>-0.61048629886166239</v>
      </c>
      <c r="L196" s="55"/>
    </row>
    <row r="197" spans="2:12" x14ac:dyDescent="0.25">
      <c r="B197" s="267"/>
      <c r="C197" s="275" t="s">
        <v>34</v>
      </c>
      <c r="D197" s="63" t="s">
        <v>43</v>
      </c>
      <c r="E197" s="65">
        <v>0.42151592636549812</v>
      </c>
      <c r="F197" s="65">
        <v>0.46071549284573426</v>
      </c>
      <c r="G197" s="65">
        <v>0.69548218463868861</v>
      </c>
      <c r="H197" s="65">
        <v>0.75317428421984389</v>
      </c>
      <c r="I197" s="65">
        <v>0.77369971345652855</v>
      </c>
      <c r="J197" s="65">
        <f t="shared" si="38"/>
        <v>2.725189861991284E-2</v>
      </c>
      <c r="K197" s="73">
        <f>(I197-H197)*100</f>
        <v>2.0525429236684656</v>
      </c>
      <c r="L197" s="65"/>
    </row>
    <row r="198" spans="2:12" x14ac:dyDescent="0.25">
      <c r="B198" s="267"/>
      <c r="C198" s="276"/>
      <c r="D198" s="15" t="s">
        <v>44</v>
      </c>
      <c r="E198" s="18">
        <v>0.49563348888170433</v>
      </c>
      <c r="F198" s="18">
        <v>0.53007392392769836</v>
      </c>
      <c r="G198" s="18">
        <v>0.78235212112064911</v>
      </c>
      <c r="H198" s="18">
        <v>0.81120905005064936</v>
      </c>
      <c r="I198" s="18">
        <v>0.81280076010742186</v>
      </c>
      <c r="J198" s="18">
        <f t="shared" si="38"/>
        <v>1.9621453393217081E-3</v>
      </c>
      <c r="K198" s="44">
        <f t="shared" ref="K198" si="50">(I198-H198)*100</f>
        <v>0.15917100567724995</v>
      </c>
      <c r="L198" s="18"/>
    </row>
    <row r="199" spans="2:12" x14ac:dyDescent="0.25">
      <c r="B199" s="267"/>
      <c r="C199" s="276"/>
      <c r="D199" s="19" t="s">
        <v>45</v>
      </c>
      <c r="E199" s="68">
        <v>0.41641203353334449</v>
      </c>
      <c r="F199" s="68">
        <v>0.38237984856351559</v>
      </c>
      <c r="G199" s="68">
        <v>0.63514820255836268</v>
      </c>
      <c r="H199" s="68">
        <v>0.71202240207954559</v>
      </c>
      <c r="I199" s="68">
        <v>0.72327549742346608</v>
      </c>
      <c r="J199" s="68">
        <f t="shared" si="38"/>
        <v>1.5804411927285544E-2</v>
      </c>
      <c r="K199" s="45">
        <f>(I199-H199)*100</f>
        <v>1.1253095343920494</v>
      </c>
      <c r="L199" s="68"/>
    </row>
    <row r="200" spans="2:12" x14ac:dyDescent="0.25">
      <c r="B200" s="267"/>
      <c r="C200" s="276"/>
      <c r="D200" s="19" t="s">
        <v>46</v>
      </c>
      <c r="E200" s="68">
        <v>0.42174668708366447</v>
      </c>
      <c r="F200" s="68">
        <v>0.40408330264719122</v>
      </c>
      <c r="G200" s="68">
        <v>0.53778304538949095</v>
      </c>
      <c r="H200" s="68">
        <v>0.55454348826086564</v>
      </c>
      <c r="I200" s="68">
        <v>0.59082327086406716</v>
      </c>
      <c r="J200" s="68">
        <f t="shared" si="38"/>
        <v>6.5422790766113792E-2</v>
      </c>
      <c r="K200" s="45">
        <f t="shared" ref="K200:K207" si="51">(I200-H200)*100</f>
        <v>3.6279782603201527</v>
      </c>
      <c r="L200" s="68"/>
    </row>
    <row r="201" spans="2:12" x14ac:dyDescent="0.25">
      <c r="B201" s="267"/>
      <c r="C201" s="276"/>
      <c r="D201" s="19" t="s">
        <v>47</v>
      </c>
      <c r="E201" s="68">
        <v>0.31148476369141237</v>
      </c>
      <c r="F201" s="68">
        <v>0.28621210694206145</v>
      </c>
      <c r="G201" s="68">
        <v>0.60938004840462912</v>
      </c>
      <c r="H201" s="68">
        <v>0.6452598187198163</v>
      </c>
      <c r="I201" s="68">
        <v>0.84038066713662607</v>
      </c>
      <c r="J201" s="68">
        <f t="shared" si="38"/>
        <v>0.30239113416968366</v>
      </c>
      <c r="K201" s="45">
        <f t="shared" si="51"/>
        <v>19.512084841680977</v>
      </c>
      <c r="L201" s="68"/>
    </row>
    <row r="202" spans="2:12" x14ac:dyDescent="0.25">
      <c r="B202" s="267"/>
      <c r="C202" s="276"/>
      <c r="D202" s="19" t="s">
        <v>48</v>
      </c>
      <c r="E202" s="68">
        <v>0.48948502261743165</v>
      </c>
      <c r="F202" s="68">
        <v>0.48615455783025679</v>
      </c>
      <c r="G202" s="68">
        <v>0.6493275173640638</v>
      </c>
      <c r="H202" s="68">
        <v>0.73071425433679682</v>
      </c>
      <c r="I202" s="68">
        <v>0.78531451498170857</v>
      </c>
      <c r="J202" s="68">
        <f t="shared" si="38"/>
        <v>7.4721767532053285E-2</v>
      </c>
      <c r="K202" s="45">
        <f t="shared" si="51"/>
        <v>5.4600260644911742</v>
      </c>
      <c r="L202" s="68"/>
    </row>
    <row r="203" spans="2:12" x14ac:dyDescent="0.25">
      <c r="B203" s="267"/>
      <c r="C203" s="276"/>
      <c r="D203" s="19" t="s">
        <v>49</v>
      </c>
      <c r="E203" s="68">
        <v>0.5147906295498732</v>
      </c>
      <c r="F203" s="68">
        <v>0.42945341263098274</v>
      </c>
      <c r="G203" s="68">
        <v>0.57741590694750078</v>
      </c>
      <c r="H203" s="68">
        <v>0.61259601883208059</v>
      </c>
      <c r="I203" s="68">
        <v>0.6183064169082243</v>
      </c>
      <c r="J203" s="68">
        <f t="shared" si="38"/>
        <v>9.3216375892071213E-3</v>
      </c>
      <c r="K203" s="45">
        <f t="shared" si="51"/>
        <v>0.57103980761437079</v>
      </c>
      <c r="L203" s="68"/>
    </row>
    <row r="204" spans="2:12" x14ac:dyDescent="0.25">
      <c r="B204" s="267"/>
      <c r="C204" s="276"/>
      <c r="D204" s="19" t="s">
        <v>50</v>
      </c>
      <c r="E204" s="68">
        <v>0.60407891607923314</v>
      </c>
      <c r="F204" s="68">
        <v>0.70336128458075009</v>
      </c>
      <c r="G204" s="68">
        <v>0.8015089072176752</v>
      </c>
      <c r="H204" s="68">
        <v>0.82779844332469787</v>
      </c>
      <c r="I204" s="68">
        <v>0.82775664662909765</v>
      </c>
      <c r="J204" s="68">
        <f t="shared" si="38"/>
        <v>-5.0491391880846948E-5</v>
      </c>
      <c r="K204" s="45">
        <f t="shared" si="51"/>
        <v>-4.1796695600226919E-3</v>
      </c>
      <c r="L204" s="68"/>
    </row>
    <row r="205" spans="2:12" x14ac:dyDescent="0.25">
      <c r="B205" s="267"/>
      <c r="C205" s="276"/>
      <c r="D205" s="19" t="s">
        <v>51</v>
      </c>
      <c r="E205" s="68">
        <v>0.43917828766012645</v>
      </c>
      <c r="F205" s="68">
        <v>0.43287194104141685</v>
      </c>
      <c r="G205" s="68">
        <v>0.55540181632567553</v>
      </c>
      <c r="H205" s="68">
        <v>0.56942335787332776</v>
      </c>
      <c r="I205" s="68">
        <v>0.58812285219043858</v>
      </c>
      <c r="J205" s="68">
        <f t="shared" si="38"/>
        <v>3.283935240547442E-2</v>
      </c>
      <c r="K205" s="45">
        <f t="shared" si="51"/>
        <v>1.8699494317110821</v>
      </c>
      <c r="L205" s="68"/>
    </row>
    <row r="206" spans="2:12" x14ac:dyDescent="0.25">
      <c r="B206" s="267"/>
      <c r="C206" s="276"/>
      <c r="D206" s="19" t="s">
        <v>52</v>
      </c>
      <c r="E206" s="68">
        <v>0.49125694136118242</v>
      </c>
      <c r="F206" s="68">
        <v>0.48201408869433904</v>
      </c>
      <c r="G206" s="68">
        <v>0.74892677369097149</v>
      </c>
      <c r="H206" s="68">
        <v>0.81331329152256404</v>
      </c>
      <c r="I206" s="68">
        <v>0.84524916570756325</v>
      </c>
      <c r="J206" s="68">
        <f t="shared" si="38"/>
        <v>3.9266386665357089E-2</v>
      </c>
      <c r="K206" s="45">
        <f t="shared" si="51"/>
        <v>3.1935874184999213</v>
      </c>
      <c r="L206" s="22"/>
    </row>
    <row r="207" spans="2:12" x14ac:dyDescent="0.25">
      <c r="B207" s="267"/>
      <c r="C207" s="277"/>
      <c r="D207" s="23" t="s">
        <v>53</v>
      </c>
      <c r="E207" s="68">
        <v>0.36139382757206262</v>
      </c>
      <c r="F207" s="68">
        <v>0.30640431884692987</v>
      </c>
      <c r="G207" s="68">
        <v>0.53127749995092155</v>
      </c>
      <c r="H207" s="68">
        <v>0.69652045193105105</v>
      </c>
      <c r="I207" s="68">
        <v>0.64923634412435949</v>
      </c>
      <c r="J207" s="68">
        <f t="shared" si="38"/>
        <v>-6.788617286915255E-2</v>
      </c>
      <c r="K207" s="45">
        <f t="shared" si="51"/>
        <v>-4.7284107806691562</v>
      </c>
      <c r="L207" s="46"/>
    </row>
    <row r="208" spans="2:12" x14ac:dyDescent="0.25">
      <c r="B208" s="267"/>
      <c r="C208" s="278" t="s">
        <v>57</v>
      </c>
      <c r="D208" s="63" t="s">
        <v>43</v>
      </c>
      <c r="E208" s="64">
        <v>66601</v>
      </c>
      <c r="F208" s="64">
        <v>82456</v>
      </c>
      <c r="G208" s="64">
        <v>123696</v>
      </c>
      <c r="H208" s="64">
        <v>125536</v>
      </c>
      <c r="I208" s="64">
        <v>127400</v>
      </c>
      <c r="J208" s="65">
        <f t="shared" si="38"/>
        <v>1.4848330359418904E-2</v>
      </c>
      <c r="K208" s="64">
        <f t="shared" ref="K208:K209" si="52">I208-H208</f>
        <v>1864</v>
      </c>
      <c r="L208" s="65">
        <f t="shared" ref="L208:L218" si="53">I208/$I$208</f>
        <v>1</v>
      </c>
    </row>
    <row r="209" spans="2:12" x14ac:dyDescent="0.25">
      <c r="B209" s="267"/>
      <c r="C209" s="273"/>
      <c r="D209" s="26" t="s">
        <v>44</v>
      </c>
      <c r="E209" s="27">
        <v>23742</v>
      </c>
      <c r="F209" s="27">
        <v>29697</v>
      </c>
      <c r="G209" s="27">
        <v>44233</v>
      </c>
      <c r="H209" s="27">
        <v>45902</v>
      </c>
      <c r="I209" s="27">
        <v>46521</v>
      </c>
      <c r="J209" s="36">
        <f t="shared" si="38"/>
        <v>1.3485251187312031E-2</v>
      </c>
      <c r="K209" s="27">
        <f t="shared" si="52"/>
        <v>619</v>
      </c>
      <c r="L209" s="38">
        <f t="shared" si="53"/>
        <v>0.3651569858712716</v>
      </c>
    </row>
    <row r="210" spans="2:12" x14ac:dyDescent="0.25">
      <c r="B210" s="267"/>
      <c r="C210" s="273"/>
      <c r="D210" s="4" t="s">
        <v>45</v>
      </c>
      <c r="E210" s="29">
        <v>20336</v>
      </c>
      <c r="F210" s="29">
        <v>24064</v>
      </c>
      <c r="G210" s="29">
        <v>38225</v>
      </c>
      <c r="H210" s="29">
        <v>37475</v>
      </c>
      <c r="I210" s="29">
        <v>37833</v>
      </c>
      <c r="J210" s="74">
        <f t="shared" si="38"/>
        <v>9.55303535690466E-3</v>
      </c>
      <c r="K210" s="29">
        <f>I210-H210</f>
        <v>358</v>
      </c>
      <c r="L210" s="75">
        <f t="shared" si="53"/>
        <v>0.29696232339089484</v>
      </c>
    </row>
    <row r="211" spans="2:12" x14ac:dyDescent="0.25">
      <c r="B211" s="267"/>
      <c r="C211" s="273"/>
      <c r="D211" s="4" t="s">
        <v>46</v>
      </c>
      <c r="E211" s="29">
        <v>437</v>
      </c>
      <c r="F211" s="29">
        <v>669</v>
      </c>
      <c r="G211" s="29">
        <v>857</v>
      </c>
      <c r="H211" s="29">
        <v>900</v>
      </c>
      <c r="I211" s="29">
        <v>900</v>
      </c>
      <c r="J211" s="74">
        <f t="shared" si="38"/>
        <v>0</v>
      </c>
      <c r="K211" s="29">
        <f t="shared" ref="K211:K218" si="54">I211-H211</f>
        <v>0</v>
      </c>
      <c r="L211" s="75">
        <f t="shared" si="53"/>
        <v>7.0643642072213504E-3</v>
      </c>
    </row>
    <row r="212" spans="2:12" x14ac:dyDescent="0.25">
      <c r="B212" s="267"/>
      <c r="C212" s="273"/>
      <c r="D212" s="4" t="s">
        <v>47</v>
      </c>
      <c r="E212" s="29">
        <v>2900</v>
      </c>
      <c r="F212" s="29">
        <v>4012</v>
      </c>
      <c r="G212" s="29">
        <v>4562</v>
      </c>
      <c r="H212" s="29">
        <v>4395</v>
      </c>
      <c r="I212" s="29">
        <v>4427</v>
      </c>
      <c r="J212" s="74">
        <f t="shared" si="38"/>
        <v>7.2810011376565065E-3</v>
      </c>
      <c r="K212" s="29">
        <f t="shared" si="54"/>
        <v>32</v>
      </c>
      <c r="L212" s="75">
        <f t="shared" si="53"/>
        <v>3.4748822605965464E-2</v>
      </c>
    </row>
    <row r="213" spans="2:12" x14ac:dyDescent="0.25">
      <c r="B213" s="267"/>
      <c r="C213" s="273"/>
      <c r="D213" s="4" t="s">
        <v>48</v>
      </c>
      <c r="E213" s="29">
        <v>9244</v>
      </c>
      <c r="F213" s="29">
        <v>11050</v>
      </c>
      <c r="G213" s="29">
        <v>18364</v>
      </c>
      <c r="H213" s="29">
        <v>19209</v>
      </c>
      <c r="I213" s="29">
        <v>20011</v>
      </c>
      <c r="J213" s="74">
        <f t="shared" si="38"/>
        <v>4.175126242906968E-2</v>
      </c>
      <c r="K213" s="29">
        <f t="shared" si="54"/>
        <v>802</v>
      </c>
      <c r="L213" s="75">
        <f t="shared" si="53"/>
        <v>0.15707221350078493</v>
      </c>
    </row>
    <row r="214" spans="2:12" x14ac:dyDescent="0.25">
      <c r="B214" s="267"/>
      <c r="C214" s="273"/>
      <c r="D214" s="4" t="s">
        <v>49</v>
      </c>
      <c r="E214" s="29">
        <v>339</v>
      </c>
      <c r="F214" s="29">
        <v>532</v>
      </c>
      <c r="G214" s="29">
        <v>654</v>
      </c>
      <c r="H214" s="29">
        <v>663</v>
      </c>
      <c r="I214" s="29">
        <v>673</v>
      </c>
      <c r="J214" s="74">
        <f t="shared" si="38"/>
        <v>1.5082956259426794E-2</v>
      </c>
      <c r="K214" s="29">
        <f t="shared" si="54"/>
        <v>10</v>
      </c>
      <c r="L214" s="75">
        <f t="shared" si="53"/>
        <v>5.2825745682888543E-3</v>
      </c>
    </row>
    <row r="215" spans="2:12" x14ac:dyDescent="0.25">
      <c r="B215" s="267"/>
      <c r="C215" s="273"/>
      <c r="D215" s="4" t="s">
        <v>50</v>
      </c>
      <c r="E215" s="29">
        <v>2132</v>
      </c>
      <c r="F215" s="29">
        <v>2908</v>
      </c>
      <c r="G215" s="29">
        <v>4497</v>
      </c>
      <c r="H215" s="29">
        <v>4790</v>
      </c>
      <c r="I215" s="29">
        <v>4797</v>
      </c>
      <c r="J215" s="74">
        <f t="shared" si="38"/>
        <v>1.4613778705636626E-3</v>
      </c>
      <c r="K215" s="29">
        <f t="shared" si="54"/>
        <v>7</v>
      </c>
      <c r="L215" s="75">
        <f t="shared" si="53"/>
        <v>3.7653061224489796E-2</v>
      </c>
    </row>
    <row r="216" spans="2:12" x14ac:dyDescent="0.25">
      <c r="B216" s="267"/>
      <c r="C216" s="273"/>
      <c r="D216" s="4" t="s">
        <v>51</v>
      </c>
      <c r="E216" s="29">
        <v>1526</v>
      </c>
      <c r="F216" s="29">
        <v>2270</v>
      </c>
      <c r="G216" s="29">
        <v>2680</v>
      </c>
      <c r="H216" s="29">
        <v>2774</v>
      </c>
      <c r="I216" s="29">
        <v>2714</v>
      </c>
      <c r="J216" s="74">
        <f t="shared" si="38"/>
        <v>-2.1629416005767843E-2</v>
      </c>
      <c r="K216" s="29">
        <f t="shared" si="54"/>
        <v>-60</v>
      </c>
      <c r="L216" s="75">
        <f t="shared" si="53"/>
        <v>2.1302982731554159E-2</v>
      </c>
    </row>
    <row r="217" spans="2:12" x14ac:dyDescent="0.25">
      <c r="B217" s="267"/>
      <c r="C217" s="273"/>
      <c r="D217" s="4" t="s">
        <v>52</v>
      </c>
      <c r="E217" s="29">
        <v>3786</v>
      </c>
      <c r="F217" s="29">
        <v>4393</v>
      </c>
      <c r="G217" s="29">
        <v>6413</v>
      </c>
      <c r="H217" s="29">
        <v>6356</v>
      </c>
      <c r="I217" s="29">
        <v>6429</v>
      </c>
      <c r="J217" s="40">
        <f t="shared" si="38"/>
        <v>1.1485210824417891E-2</v>
      </c>
      <c r="K217" s="29">
        <f t="shared" si="54"/>
        <v>73</v>
      </c>
      <c r="L217" s="42">
        <f t="shared" si="53"/>
        <v>5.0463108320251179E-2</v>
      </c>
    </row>
    <row r="218" spans="2:12" x14ac:dyDescent="0.25">
      <c r="B218" s="268"/>
      <c r="C218" s="274"/>
      <c r="D218" s="32" t="s">
        <v>53</v>
      </c>
      <c r="E218" s="71">
        <v>2158</v>
      </c>
      <c r="F218" s="71">
        <v>2862</v>
      </c>
      <c r="G218" s="71">
        <v>3212</v>
      </c>
      <c r="H218" s="71">
        <v>3072</v>
      </c>
      <c r="I218" s="71">
        <v>3096</v>
      </c>
      <c r="J218" s="61">
        <f t="shared" si="38"/>
        <v>7.8125E-3</v>
      </c>
      <c r="K218" s="71">
        <f t="shared" si="54"/>
        <v>24</v>
      </c>
      <c r="L218" s="55">
        <f t="shared" si="53"/>
        <v>2.4301412872841443E-2</v>
      </c>
    </row>
    <row r="219" spans="2:12" x14ac:dyDescent="0.25">
      <c r="B219" s="281"/>
      <c r="C219" s="281"/>
      <c r="D219" s="281"/>
      <c r="E219" s="281"/>
      <c r="F219" s="281"/>
      <c r="G219" s="281"/>
      <c r="H219" s="281"/>
      <c r="I219" s="281"/>
      <c r="J219" s="281"/>
      <c r="K219" s="281"/>
      <c r="L219" s="47"/>
    </row>
    <row r="220" spans="2:12" x14ac:dyDescent="0.25">
      <c r="B220" s="283" t="s">
        <v>55</v>
      </c>
      <c r="C220" s="283"/>
      <c r="D220" s="283"/>
      <c r="E220" s="283"/>
      <c r="F220" s="283"/>
      <c r="G220" s="283"/>
      <c r="H220" s="283"/>
      <c r="I220" s="283"/>
      <c r="J220" s="283"/>
      <c r="K220" s="283"/>
    </row>
  </sheetData>
  <mergeCells count="30">
    <mergeCell ref="B219:K219"/>
    <mergeCell ref="B220:K220"/>
    <mergeCell ref="B146:K146"/>
    <mergeCell ref="B147:K147"/>
    <mergeCell ref="B150:K150"/>
    <mergeCell ref="B153:B218"/>
    <mergeCell ref="C153:C163"/>
    <mergeCell ref="C164:C174"/>
    <mergeCell ref="C175:C185"/>
    <mergeCell ref="C186:C196"/>
    <mergeCell ref="C197:C207"/>
    <mergeCell ref="C208:C218"/>
    <mergeCell ref="B73:K73"/>
    <mergeCell ref="B74:K74"/>
    <mergeCell ref="B77:K77"/>
    <mergeCell ref="B80:B145"/>
    <mergeCell ref="C80:C90"/>
    <mergeCell ref="C91:C101"/>
    <mergeCell ref="C102:C112"/>
    <mergeCell ref="C113:C123"/>
    <mergeCell ref="C124:C134"/>
    <mergeCell ref="C135:C145"/>
    <mergeCell ref="D1:L2"/>
    <mergeCell ref="B7:B72"/>
    <mergeCell ref="C7:C17"/>
    <mergeCell ref="C18:C28"/>
    <mergeCell ref="C29:C39"/>
    <mergeCell ref="C40:C50"/>
    <mergeCell ref="C51:C61"/>
    <mergeCell ref="C62:C72"/>
  </mergeCells>
  <pageMargins left="0.7" right="0.7" top="0.75" bottom="0.75" header="0.3" footer="0.3"/>
  <pageSetup paperSize="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BA1C34-1AE4-4621-B4AB-BD45D4D98E8D}">
  <sheetPr codeName="Hoja33">
    <tabColor rgb="FFAC75D5"/>
  </sheetPr>
  <dimension ref="A1:AC112"/>
  <sheetViews>
    <sheetView showGridLines="0" zoomScaleNormal="100" workbookViewId="0">
      <selection activeCell="A7" sqref="A7"/>
    </sheetView>
  </sheetViews>
  <sheetFormatPr baseColWidth="10" defaultColWidth="11.42578125" defaultRowHeight="15" x14ac:dyDescent="0.25"/>
  <cols>
    <col min="1" max="1" width="15.28515625" customWidth="1"/>
    <col min="3" max="3" width="15.85546875" bestFit="1" customWidth="1"/>
    <col min="13" max="13" width="14.7109375" bestFit="1" customWidth="1"/>
    <col min="15" max="15" width="14.85546875" customWidth="1"/>
  </cols>
  <sheetData>
    <row r="1" spans="1:16" ht="18.75" x14ac:dyDescent="0.3">
      <c r="C1" s="79"/>
      <c r="D1" s="190"/>
    </row>
    <row r="2" spans="1:16" ht="18.75" x14ac:dyDescent="0.3">
      <c r="D2" s="190"/>
    </row>
    <row r="4" spans="1:16" ht="48.75" customHeight="1" thickBot="1" x14ac:dyDescent="0.3">
      <c r="B4" s="265" t="s">
        <v>302</v>
      </c>
      <c r="C4" s="265"/>
      <c r="D4" s="265"/>
      <c r="E4" s="265"/>
      <c r="F4" s="265"/>
      <c r="G4" s="265"/>
      <c r="H4" s="265"/>
      <c r="I4" s="265"/>
      <c r="J4" s="265"/>
      <c r="K4" s="265"/>
      <c r="L4" s="265"/>
      <c r="M4" s="265"/>
      <c r="N4" s="265"/>
      <c r="P4" s="1" t="s">
        <v>150</v>
      </c>
    </row>
    <row r="5" spans="1:16" ht="10.5" customHeight="1" thickBot="1" x14ac:dyDescent="0.3">
      <c r="B5" s="106"/>
      <c r="C5" s="107"/>
      <c r="D5" s="106"/>
      <c r="E5" s="106"/>
      <c r="F5" s="106"/>
      <c r="G5" s="106"/>
      <c r="H5" s="106"/>
      <c r="I5" s="106"/>
      <c r="J5" s="106"/>
      <c r="K5" s="106"/>
      <c r="L5" s="106"/>
      <c r="M5" s="4"/>
      <c r="N5" s="4"/>
      <c r="P5" s="1" t="s">
        <v>151</v>
      </c>
    </row>
    <row r="6" spans="1:16" ht="22.5" thickTop="1" thickBot="1" x14ac:dyDescent="0.3">
      <c r="B6" s="109"/>
      <c r="C6" s="290" t="s">
        <v>152</v>
      </c>
      <c r="D6" s="291"/>
      <c r="E6" s="291"/>
      <c r="F6" s="291"/>
      <c r="G6" s="291"/>
      <c r="H6" s="291"/>
      <c r="I6" s="291"/>
      <c r="J6" s="291"/>
      <c r="K6" s="291"/>
      <c r="L6" s="291"/>
      <c r="M6" s="291"/>
      <c r="N6" s="291"/>
    </row>
    <row r="7" spans="1:16" ht="22.5" thickTop="1" thickBot="1" x14ac:dyDescent="0.3">
      <c r="B7" s="109"/>
      <c r="C7" s="292">
        <v>2020</v>
      </c>
      <c r="D7" s="293"/>
      <c r="E7" s="294">
        <v>2021</v>
      </c>
      <c r="F7" s="293"/>
      <c r="G7" s="294">
        <v>2022</v>
      </c>
      <c r="H7" s="293"/>
      <c r="I7" s="294">
        <v>2023</v>
      </c>
      <c r="J7" s="293"/>
      <c r="K7" s="294">
        <v>2024</v>
      </c>
      <c r="L7" s="293"/>
      <c r="M7" s="294">
        <v>2025</v>
      </c>
      <c r="N7" s="295"/>
    </row>
    <row r="8" spans="1:16" ht="16.5" thickTop="1" thickBot="1" x14ac:dyDescent="0.3">
      <c r="B8" s="85"/>
      <c r="C8" s="111" t="s">
        <v>69</v>
      </c>
      <c r="D8" s="112" t="str">
        <f>CONCATENATE("dif ",RIGHT(C7,2),"/",RIGHT(C7-1,2))</f>
        <v>dif 20/19</v>
      </c>
      <c r="E8" s="113" t="s">
        <v>69</v>
      </c>
      <c r="F8" s="112" t="s">
        <v>323</v>
      </c>
      <c r="G8" s="113" t="s">
        <v>69</v>
      </c>
      <c r="H8" s="112" t="str">
        <f>CONCATENATE("dif ",RIGHT(G7,2),"/",RIGHT(E7,2))</f>
        <v>dif 22/21</v>
      </c>
      <c r="I8" s="113" t="s">
        <v>69</v>
      </c>
      <c r="J8" s="112" t="str">
        <f>CONCATENATE("dif ",RIGHT(I7,2),"/",RIGHT(G7,2))</f>
        <v>dif 23/22</v>
      </c>
      <c r="K8" s="113" t="s">
        <v>69</v>
      </c>
      <c r="L8" s="112" t="str">
        <f>CONCATENATE("dif ",RIGHT(K7,2),"/",RIGHT(I7,2))</f>
        <v>dif 24/23</v>
      </c>
      <c r="M8" s="113" t="s">
        <v>69</v>
      </c>
      <c r="N8" s="112" t="str">
        <f>CONCATENATE("var ",RIGHT(M7,2),"/",RIGHT(K7,2))</f>
        <v>var 25/24</v>
      </c>
    </row>
    <row r="9" spans="1:16" x14ac:dyDescent="0.25">
      <c r="A9" s="1" t="s">
        <v>70</v>
      </c>
      <c r="B9" s="114" t="s">
        <v>71</v>
      </c>
      <c r="C9" s="191">
        <v>0.74319999999999997</v>
      </c>
      <c r="D9" s="116">
        <v>9.5082857919042141E-3</v>
      </c>
      <c r="E9" s="191">
        <v>0.1467</v>
      </c>
      <c r="F9" s="116">
        <v>-0.80261033369214208</v>
      </c>
      <c r="G9" s="191">
        <v>0.46729999999999999</v>
      </c>
      <c r="H9" s="116">
        <v>2.1854124062713018</v>
      </c>
      <c r="I9" s="191">
        <v>0.77790000000000004</v>
      </c>
      <c r="J9" s="116">
        <v>0.66466937727370001</v>
      </c>
      <c r="K9" s="191">
        <v>0.78709999999999991</v>
      </c>
      <c r="L9" s="116">
        <f t="shared" ref="L9:L21" si="0">IFERROR(K9/I9-1,"-")</f>
        <v>1.1826712945108397E-2</v>
      </c>
      <c r="M9" s="191">
        <v>0.80409999999999993</v>
      </c>
      <c r="N9" s="116">
        <f t="shared" ref="N9" si="1">IFERROR(M9/K9-1,"-")</f>
        <v>2.1598272138229069E-2</v>
      </c>
    </row>
    <row r="10" spans="1:16" x14ac:dyDescent="0.25">
      <c r="A10" s="1" t="s">
        <v>72</v>
      </c>
      <c r="B10" s="114" t="s">
        <v>73</v>
      </c>
      <c r="C10" s="191">
        <v>0.69359999999999999</v>
      </c>
      <c r="D10" s="116">
        <v>-4.3837882547560048E-2</v>
      </c>
      <c r="E10" s="191">
        <v>0.16760000000000003</v>
      </c>
      <c r="F10" s="116">
        <v>-0.7583621683967704</v>
      </c>
      <c r="G10" s="191">
        <v>0.58499999999999996</v>
      </c>
      <c r="H10" s="116">
        <v>2.4904534606205244</v>
      </c>
      <c r="I10" s="191">
        <v>0.76489999999999991</v>
      </c>
      <c r="J10" s="116">
        <v>0.30752136752136749</v>
      </c>
      <c r="K10" s="191">
        <v>0.83169999999999999</v>
      </c>
      <c r="L10" s="116">
        <f t="shared" si="0"/>
        <v>8.7331677343443603E-2</v>
      </c>
      <c r="M10" s="191"/>
      <c r="N10" s="116"/>
    </row>
    <row r="11" spans="1:16" x14ac:dyDescent="0.25">
      <c r="A11" s="1" t="s">
        <v>74</v>
      </c>
      <c r="B11" s="114" t="s">
        <v>75</v>
      </c>
      <c r="C11" s="191">
        <v>0.33079999999999998</v>
      </c>
      <c r="D11" s="116">
        <v>-0.53296625723563462</v>
      </c>
      <c r="E11" s="191">
        <v>0.21809999999999999</v>
      </c>
      <c r="F11" s="116">
        <v>-0.34068923821039898</v>
      </c>
      <c r="G11" s="191">
        <v>0.64450000000000007</v>
      </c>
      <c r="H11" s="116">
        <v>1.9550664832645581</v>
      </c>
      <c r="I11" s="191">
        <v>0.73129999999999995</v>
      </c>
      <c r="J11" s="116">
        <v>0.1346780449961209</v>
      </c>
      <c r="K11" s="191">
        <v>0.81389999999999996</v>
      </c>
      <c r="L11" s="116">
        <f t="shared" si="0"/>
        <v>0.11294954191166418</v>
      </c>
      <c r="M11" s="191"/>
      <c r="N11" s="116"/>
    </row>
    <row r="12" spans="1:16" x14ac:dyDescent="0.25">
      <c r="A12" s="1" t="s">
        <v>76</v>
      </c>
      <c r="B12" s="114" t="s">
        <v>77</v>
      </c>
      <c r="C12" s="191">
        <v>0</v>
      </c>
      <c r="D12" s="116">
        <v>-1</v>
      </c>
      <c r="E12" s="191">
        <v>0.2036</v>
      </c>
      <c r="F12" s="116" t="s">
        <v>235</v>
      </c>
      <c r="G12" s="191">
        <v>0.61619999999999997</v>
      </c>
      <c r="H12" s="116">
        <v>2.0265225933202355</v>
      </c>
      <c r="I12" s="191">
        <v>0.65780000000000005</v>
      </c>
      <c r="J12" s="116">
        <v>6.7510548523206815E-2</v>
      </c>
      <c r="K12" s="191">
        <v>0.68099999999999994</v>
      </c>
      <c r="L12" s="116">
        <f t="shared" si="0"/>
        <v>3.5269078747339533E-2</v>
      </c>
      <c r="M12" s="191"/>
      <c r="N12" s="116"/>
    </row>
    <row r="13" spans="1:16" x14ac:dyDescent="0.25">
      <c r="A13" s="1" t="s">
        <v>78</v>
      </c>
      <c r="B13" s="114" t="s">
        <v>79</v>
      </c>
      <c r="C13" s="191">
        <v>0</v>
      </c>
      <c r="D13" s="116">
        <v>-1</v>
      </c>
      <c r="E13" s="191">
        <v>0.35240000000000005</v>
      </c>
      <c r="F13" s="116" t="s">
        <v>235</v>
      </c>
      <c r="G13" s="191">
        <v>0.56340000000000001</v>
      </c>
      <c r="H13" s="116">
        <v>0.59875141884222449</v>
      </c>
      <c r="I13" s="191">
        <v>0.59040000000000004</v>
      </c>
      <c r="J13" s="116">
        <v>4.7923322683706138E-2</v>
      </c>
      <c r="K13" s="191">
        <v>0.64980000000000004</v>
      </c>
      <c r="L13" s="116">
        <f t="shared" si="0"/>
        <v>0.10060975609756095</v>
      </c>
      <c r="M13" s="191"/>
      <c r="N13" s="116"/>
    </row>
    <row r="14" spans="1:16" x14ac:dyDescent="0.25">
      <c r="A14" s="1" t="s">
        <v>80</v>
      </c>
      <c r="B14" s="114" t="s">
        <v>81</v>
      </c>
      <c r="C14" s="191">
        <v>0</v>
      </c>
      <c r="D14" s="116">
        <v>-1</v>
      </c>
      <c r="E14" s="191">
        <v>0.3962</v>
      </c>
      <c r="F14" s="116" t="s">
        <v>235</v>
      </c>
      <c r="G14" s="191">
        <v>0.66049999999999998</v>
      </c>
      <c r="H14" s="116">
        <v>0.66708732963149919</v>
      </c>
      <c r="I14" s="191">
        <v>0.70200000000000007</v>
      </c>
      <c r="J14" s="116">
        <v>6.2831188493565726E-2</v>
      </c>
      <c r="K14" s="191">
        <v>0.76209999999999989</v>
      </c>
      <c r="L14" s="116">
        <f t="shared" si="0"/>
        <v>8.5612535612535456E-2</v>
      </c>
      <c r="M14" s="191"/>
      <c r="N14" s="116"/>
    </row>
    <row r="15" spans="1:16" x14ac:dyDescent="0.25">
      <c r="A15" s="1" t="s">
        <v>82</v>
      </c>
      <c r="B15" s="114" t="s">
        <v>83</v>
      </c>
      <c r="C15" s="191">
        <v>0</v>
      </c>
      <c r="D15" s="116">
        <v>-1</v>
      </c>
      <c r="E15" s="191">
        <v>0.53280000000000005</v>
      </c>
      <c r="F15" s="116" t="s">
        <v>235</v>
      </c>
      <c r="G15" s="191">
        <v>0.7229000000000001</v>
      </c>
      <c r="H15" s="116">
        <v>0.35679429429429432</v>
      </c>
      <c r="I15" s="191">
        <v>0.75970000000000004</v>
      </c>
      <c r="J15" s="116">
        <v>5.0906072762484378E-2</v>
      </c>
      <c r="K15" s="191">
        <v>0.85219999999999996</v>
      </c>
      <c r="L15" s="116">
        <f t="shared" si="0"/>
        <v>0.12175858891667746</v>
      </c>
      <c r="M15" s="191"/>
      <c r="N15" s="116"/>
    </row>
    <row r="16" spans="1:16" x14ac:dyDescent="0.25">
      <c r="A16" s="1" t="s">
        <v>84</v>
      </c>
      <c r="B16" s="114" t="s">
        <v>85</v>
      </c>
      <c r="C16" s="191">
        <v>0.43159999999999998</v>
      </c>
      <c r="D16" s="116">
        <v>-0.4386786318116791</v>
      </c>
      <c r="E16" s="191">
        <v>0.60020000000000007</v>
      </c>
      <c r="F16" s="116">
        <v>0.39063948100092705</v>
      </c>
      <c r="G16" s="191">
        <v>0.72010000000000007</v>
      </c>
      <c r="H16" s="116">
        <v>0.19976674441852715</v>
      </c>
      <c r="I16" s="191">
        <v>0.79819999999999991</v>
      </c>
      <c r="J16" s="116">
        <v>0.10845715872795414</v>
      </c>
      <c r="K16" s="191">
        <v>0.88090000000000002</v>
      </c>
      <c r="L16" s="116">
        <f t="shared" si="0"/>
        <v>0.10360811826609884</v>
      </c>
      <c r="M16" s="191"/>
      <c r="N16" s="116"/>
    </row>
    <row r="17" spans="1:29" x14ac:dyDescent="0.25">
      <c r="A17" s="1" t="s">
        <v>86</v>
      </c>
      <c r="B17" s="114" t="s">
        <v>87</v>
      </c>
      <c r="C17" s="191">
        <v>0.29139999999999999</v>
      </c>
      <c r="D17" s="116">
        <v>-0.60087659224763734</v>
      </c>
      <c r="E17" s="191">
        <v>0.60299999999999998</v>
      </c>
      <c r="F17" s="116">
        <v>1.0693205216197668</v>
      </c>
      <c r="G17" s="191">
        <v>0.69769999999999999</v>
      </c>
      <c r="H17" s="116">
        <v>0.15704809286898835</v>
      </c>
      <c r="I17" s="191">
        <v>0.75659999999999994</v>
      </c>
      <c r="J17" s="116">
        <v>8.4420237924609287E-2</v>
      </c>
      <c r="K17" s="191">
        <v>0.80830000000000002</v>
      </c>
      <c r="L17" s="116">
        <f t="shared" si="0"/>
        <v>6.8332011630980904E-2</v>
      </c>
      <c r="M17" s="191"/>
      <c r="N17" s="116"/>
    </row>
    <row r="18" spans="1:29" x14ac:dyDescent="0.25">
      <c r="A18" s="1" t="s">
        <v>88</v>
      </c>
      <c r="B18" s="114" t="s">
        <v>89</v>
      </c>
      <c r="C18" s="191">
        <v>0.22320000000000001</v>
      </c>
      <c r="D18" s="116">
        <v>-0.64548919949174077</v>
      </c>
      <c r="E18" s="191">
        <v>0.5877</v>
      </c>
      <c r="F18" s="116">
        <v>1.633064516129032</v>
      </c>
      <c r="G18" s="191">
        <v>0.67110000000000003</v>
      </c>
      <c r="H18" s="116">
        <v>0.14190913731495658</v>
      </c>
      <c r="I18" s="191">
        <v>0.71200000000000008</v>
      </c>
      <c r="J18" s="116">
        <v>6.0944717627775313E-2</v>
      </c>
      <c r="K18" s="191">
        <v>0.78510000000000002</v>
      </c>
      <c r="L18" s="116">
        <f t="shared" si="0"/>
        <v>0.10266853932584263</v>
      </c>
      <c r="M18" s="191"/>
      <c r="N18" s="116"/>
      <c r="AB18" s="192"/>
    </row>
    <row r="19" spans="1:29" x14ac:dyDescent="0.25">
      <c r="A19" s="1" t="s">
        <v>90</v>
      </c>
      <c r="B19" s="114" t="s">
        <v>91</v>
      </c>
      <c r="C19" s="191">
        <v>0.18469999999999998</v>
      </c>
      <c r="D19" s="116">
        <v>-0.74411194236630651</v>
      </c>
      <c r="E19" s="191">
        <v>0.59840000000000004</v>
      </c>
      <c r="F19" s="116">
        <v>2.2398484028153769</v>
      </c>
      <c r="G19" s="191">
        <v>0.74129999999999996</v>
      </c>
      <c r="H19" s="116">
        <v>0.23880347593582862</v>
      </c>
      <c r="I19" s="191">
        <v>0.7823</v>
      </c>
      <c r="J19" s="116">
        <v>5.5308242277080755E-2</v>
      </c>
      <c r="K19" s="191">
        <v>0.81129999999999991</v>
      </c>
      <c r="L19" s="116">
        <f t="shared" si="0"/>
        <v>3.7070177681196359E-2</v>
      </c>
      <c r="M19" s="191"/>
      <c r="N19" s="116"/>
      <c r="AB19" s="192"/>
      <c r="AC19" s="192"/>
    </row>
    <row r="20" spans="1:29" x14ac:dyDescent="0.25">
      <c r="A20" s="1" t="s">
        <v>92</v>
      </c>
      <c r="B20" s="114" t="s">
        <v>93</v>
      </c>
      <c r="C20" s="191">
        <v>0.2039</v>
      </c>
      <c r="D20" s="116">
        <v>-0.70619596541786744</v>
      </c>
      <c r="E20" s="191">
        <v>0.53079999999999994</v>
      </c>
      <c r="F20" s="116">
        <v>1.6032368808239332</v>
      </c>
      <c r="G20" s="191">
        <v>0.69389999999999996</v>
      </c>
      <c r="H20" s="116">
        <v>0.30727204220045223</v>
      </c>
      <c r="I20" s="191">
        <v>0.73170000000000002</v>
      </c>
      <c r="J20" s="116">
        <v>5.4474708171206254E-2</v>
      </c>
      <c r="K20" s="191">
        <v>0.76200000000000001</v>
      </c>
      <c r="L20" s="116">
        <f t="shared" si="0"/>
        <v>4.1410414104140925E-2</v>
      </c>
      <c r="M20" s="191"/>
      <c r="N20" s="116"/>
      <c r="O20" s="122"/>
    </row>
    <row r="21" spans="1:29" ht="15.75" x14ac:dyDescent="0.25">
      <c r="A21" s="1" t="s">
        <v>0</v>
      </c>
      <c r="B21" s="117" t="s">
        <v>30</v>
      </c>
      <c r="C21" s="193">
        <v>0.48948502261743165</v>
      </c>
      <c r="D21" s="119">
        <v>-0.3058738170162294</v>
      </c>
      <c r="E21" s="193">
        <v>0.48615455783025679</v>
      </c>
      <c r="F21" s="119">
        <v>-6.8040177600651175E-3</v>
      </c>
      <c r="G21" s="193">
        <v>0.6493275173640638</v>
      </c>
      <c r="H21" s="119">
        <v>0.33564008997891492</v>
      </c>
      <c r="I21" s="193">
        <v>0.73071425433679682</v>
      </c>
      <c r="J21" s="119">
        <v>0.12534003995875831</v>
      </c>
      <c r="K21" s="193">
        <v>0.78531451498170857</v>
      </c>
      <c r="L21" s="119">
        <f t="shared" si="0"/>
        <v>7.4721767532053285E-2</v>
      </c>
      <c r="M21" s="193"/>
      <c r="N21" s="119"/>
      <c r="O21" s="302"/>
    </row>
    <row r="22" spans="1:29" ht="6" customHeight="1" x14ac:dyDescent="0.25">
      <c r="O22" s="302"/>
    </row>
    <row r="23" spans="1:29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  <c r="O23" s="302"/>
    </row>
    <row r="24" spans="1:29" x14ac:dyDescent="0.25">
      <c r="C24" s="194"/>
      <c r="K24" s="194"/>
      <c r="M24" s="194"/>
      <c r="N24" s="116"/>
      <c r="O24" s="302"/>
    </row>
    <row r="26" spans="1:29" ht="21.75" customHeight="1" thickBot="1" x14ac:dyDescent="0.3">
      <c r="B26" s="265" t="s">
        <v>303</v>
      </c>
      <c r="C26" s="265"/>
      <c r="D26" s="265"/>
      <c r="E26" s="265"/>
      <c r="F26" s="265"/>
      <c r="G26" s="265"/>
      <c r="H26" s="265"/>
      <c r="I26" s="265"/>
      <c r="J26" s="265"/>
      <c r="K26" s="265"/>
      <c r="L26" s="265"/>
      <c r="M26" s="265"/>
      <c r="N26" s="265"/>
      <c r="P26" s="1" t="s">
        <v>153</v>
      </c>
    </row>
    <row r="27" spans="1:29" ht="10.5" customHeight="1" thickBot="1" x14ac:dyDescent="0.3">
      <c r="B27" s="106"/>
      <c r="C27" s="107"/>
      <c r="D27" s="106"/>
      <c r="E27" s="106"/>
      <c r="F27" s="106"/>
      <c r="G27" s="106"/>
      <c r="H27" s="106"/>
      <c r="I27" s="106"/>
      <c r="J27" s="106"/>
      <c r="K27" s="106"/>
      <c r="L27" s="106"/>
      <c r="M27" s="4"/>
      <c r="N27" s="4"/>
      <c r="P27" s="1" t="s">
        <v>154</v>
      </c>
    </row>
    <row r="28" spans="1:29" ht="22.5" thickTop="1" thickBot="1" x14ac:dyDescent="0.3">
      <c r="B28" s="109"/>
      <c r="C28" s="290" t="s">
        <v>60</v>
      </c>
      <c r="D28" s="291"/>
      <c r="E28" s="291"/>
      <c r="F28" s="291"/>
      <c r="G28" s="291"/>
      <c r="H28" s="291"/>
      <c r="I28" s="291"/>
      <c r="J28" s="291"/>
      <c r="K28" s="291"/>
      <c r="L28" s="291"/>
      <c r="M28" s="291"/>
      <c r="N28" s="291"/>
    </row>
    <row r="29" spans="1:29" ht="22.5" thickTop="1" thickBot="1" x14ac:dyDescent="0.3">
      <c r="B29" s="109"/>
      <c r="C29" s="292">
        <v>2020</v>
      </c>
      <c r="D29" s="293"/>
      <c r="E29" s="294">
        <v>2021</v>
      </c>
      <c r="F29" s="293"/>
      <c r="G29" s="294">
        <v>2022</v>
      </c>
      <c r="H29" s="293"/>
      <c r="I29" s="294">
        <v>2023</v>
      </c>
      <c r="J29" s="293"/>
      <c r="K29" s="294">
        <v>2024</v>
      </c>
      <c r="L29" s="293"/>
      <c r="M29" s="294">
        <v>2025</v>
      </c>
      <c r="N29" s="295"/>
    </row>
    <row r="30" spans="1:29" ht="16.5" thickTop="1" thickBot="1" x14ac:dyDescent="0.3">
      <c r="B30" s="85"/>
      <c r="C30" s="111" t="s">
        <v>69</v>
      </c>
      <c r="D30" s="112" t="str">
        <f>CONCATENATE("var ",RIGHT(C29,2),"/",RIGHT(C29-1,2))</f>
        <v>var 20/19</v>
      </c>
      <c r="E30" s="113" t="s">
        <v>69</v>
      </c>
      <c r="F30" s="112" t="s">
        <v>324</v>
      </c>
      <c r="G30" s="113" t="s">
        <v>69</v>
      </c>
      <c r="H30" s="112" t="str">
        <f>CONCATENATE("var ",RIGHT(G29,2),"/",RIGHT(E29,2))</f>
        <v>var 22/21</v>
      </c>
      <c r="I30" s="113" t="s">
        <v>69</v>
      </c>
      <c r="J30" s="112" t="str">
        <f>CONCATENATE("var ",RIGHT(I29,2),"/",RIGHT(G29,2))</f>
        <v>var 23/22</v>
      </c>
      <c r="K30" s="113" t="s">
        <v>69</v>
      </c>
      <c r="L30" s="112" t="str">
        <f>CONCATENATE("var ",RIGHT(K29,2),"/",RIGHT(I29,2))</f>
        <v>var 24/23</v>
      </c>
      <c r="M30" s="113" t="s">
        <v>69</v>
      </c>
      <c r="N30" s="112" t="str">
        <f>CONCATENATE("var ",RIGHT(M29,2),"/",RIGHT(K29,2))</f>
        <v>var 25/24</v>
      </c>
    </row>
    <row r="31" spans="1:29" x14ac:dyDescent="0.25">
      <c r="B31" s="114" t="s">
        <v>71</v>
      </c>
      <c r="C31" s="191">
        <v>0.74199999999999999</v>
      </c>
      <c r="D31" s="116">
        <v>1.5464622964280972E-2</v>
      </c>
      <c r="E31" s="191">
        <v>0.1583</v>
      </c>
      <c r="F31" s="116">
        <v>-0.78665768194070085</v>
      </c>
      <c r="G31" s="191">
        <v>0.4451</v>
      </c>
      <c r="H31" s="116">
        <v>1.8117498420720151</v>
      </c>
      <c r="I31" s="191">
        <v>0.79239999999999999</v>
      </c>
      <c r="J31" s="116">
        <v>0.78027409570882944</v>
      </c>
      <c r="K31" s="191">
        <v>0.81290000000000007</v>
      </c>
      <c r="L31" s="116">
        <f t="shared" ref="L31:L43" si="2">IFERROR(K31/I31-1,"-")</f>
        <v>2.5870772337203585E-2</v>
      </c>
      <c r="M31" s="191">
        <v>0.83260000000000001</v>
      </c>
      <c r="N31" s="116">
        <f t="shared" ref="N31" si="3">IFERROR(M31/K31-1,"-")</f>
        <v>2.4234223151679002E-2</v>
      </c>
    </row>
    <row r="32" spans="1:29" x14ac:dyDescent="0.25">
      <c r="B32" s="114" t="s">
        <v>73</v>
      </c>
      <c r="C32" s="191">
        <v>0.70540000000000003</v>
      </c>
      <c r="D32" s="116">
        <v>-3.316885964912264E-2</v>
      </c>
      <c r="E32" s="191">
        <v>0.1638</v>
      </c>
      <c r="F32" s="116">
        <v>-0.7677913240714489</v>
      </c>
      <c r="G32" s="191">
        <v>0.57899999999999996</v>
      </c>
      <c r="H32" s="116">
        <v>2.5347985347985347</v>
      </c>
      <c r="I32" s="191">
        <v>0.77190000000000003</v>
      </c>
      <c r="J32" s="116">
        <v>0.33316062176165828</v>
      </c>
      <c r="K32" s="191">
        <v>0.89349999999999996</v>
      </c>
      <c r="L32" s="116">
        <f t="shared" si="2"/>
        <v>0.15753335924342515</v>
      </c>
      <c r="M32" s="191"/>
      <c r="N32" s="116"/>
    </row>
    <row r="33" spans="2:16" x14ac:dyDescent="0.25">
      <c r="B33" s="114" t="s">
        <v>75</v>
      </c>
      <c r="C33" s="191">
        <v>0.32929999999999998</v>
      </c>
      <c r="D33" s="116">
        <v>-0.54046888082612332</v>
      </c>
      <c r="E33" s="191">
        <v>0.23600000000000002</v>
      </c>
      <c r="F33" s="116">
        <v>-0.28332827209231692</v>
      </c>
      <c r="G33" s="191">
        <v>0.65749999999999997</v>
      </c>
      <c r="H33" s="116">
        <v>1.7860169491525419</v>
      </c>
      <c r="I33" s="191">
        <v>0.74230000000000007</v>
      </c>
      <c r="J33" s="116">
        <v>0.12897338403041836</v>
      </c>
      <c r="K33" s="191">
        <v>0.83799999999999997</v>
      </c>
      <c r="L33" s="116">
        <f t="shared" si="2"/>
        <v>0.12892361578876455</v>
      </c>
      <c r="M33" s="191"/>
      <c r="N33" s="116"/>
    </row>
    <row r="34" spans="2:16" x14ac:dyDescent="0.25">
      <c r="B34" s="114" t="s">
        <v>77</v>
      </c>
      <c r="C34" s="191">
        <v>0</v>
      </c>
      <c r="D34" s="116">
        <v>-1</v>
      </c>
      <c r="E34" s="191">
        <v>0.2</v>
      </c>
      <c r="F34" s="116" t="s">
        <v>235</v>
      </c>
      <c r="G34" s="191">
        <v>0.62850000000000006</v>
      </c>
      <c r="H34" s="116">
        <v>2.1425000000000001</v>
      </c>
      <c r="I34" s="191">
        <v>0.6774</v>
      </c>
      <c r="J34" s="116">
        <v>7.7804295942720758E-2</v>
      </c>
      <c r="K34" s="191">
        <v>0.68799999999999994</v>
      </c>
      <c r="L34" s="116">
        <f t="shared" si="2"/>
        <v>1.5648066135222738E-2</v>
      </c>
      <c r="M34" s="191"/>
      <c r="N34" s="116"/>
    </row>
    <row r="35" spans="2:16" x14ac:dyDescent="0.25">
      <c r="B35" s="114" t="s">
        <v>79</v>
      </c>
      <c r="C35" s="191">
        <v>0</v>
      </c>
      <c r="D35" s="116">
        <v>-1</v>
      </c>
      <c r="E35" s="191">
        <v>0.41539999999999999</v>
      </c>
      <c r="F35" s="116" t="s">
        <v>235</v>
      </c>
      <c r="G35" s="191">
        <v>0.59889999999999999</v>
      </c>
      <c r="H35" s="116">
        <v>0.44174289841116998</v>
      </c>
      <c r="I35" s="191">
        <v>0.62049999999999994</v>
      </c>
      <c r="J35" s="116">
        <v>3.6066121222240621E-2</v>
      </c>
      <c r="K35" s="191">
        <v>0.68579999999999997</v>
      </c>
      <c r="L35" s="116">
        <f t="shared" si="2"/>
        <v>0.10523771152296546</v>
      </c>
      <c r="M35" s="191"/>
      <c r="N35" s="116"/>
    </row>
    <row r="36" spans="2:16" x14ac:dyDescent="0.25">
      <c r="B36" s="114" t="s">
        <v>81</v>
      </c>
      <c r="C36" s="191">
        <v>0</v>
      </c>
      <c r="D36" s="116">
        <v>-1</v>
      </c>
      <c r="E36" s="191">
        <v>0.41689999999999999</v>
      </c>
      <c r="F36" s="116" t="s">
        <v>235</v>
      </c>
      <c r="G36" s="191">
        <v>0.6926000000000001</v>
      </c>
      <c r="H36" s="116">
        <v>0.66130966658671175</v>
      </c>
      <c r="I36" s="191">
        <v>0.73419999999999996</v>
      </c>
      <c r="J36" s="116">
        <v>6.0063528732312799E-2</v>
      </c>
      <c r="K36" s="191">
        <v>0.79610000000000003</v>
      </c>
      <c r="L36" s="116">
        <f t="shared" si="2"/>
        <v>8.4309452465268331E-2</v>
      </c>
      <c r="M36" s="191"/>
      <c r="N36" s="116"/>
    </row>
    <row r="37" spans="2:16" x14ac:dyDescent="0.25">
      <c r="B37" s="114" t="s">
        <v>83</v>
      </c>
      <c r="C37" s="191">
        <v>0</v>
      </c>
      <c r="D37" s="116">
        <v>-1</v>
      </c>
      <c r="E37" s="191">
        <v>0.55659999999999998</v>
      </c>
      <c r="F37" s="116" t="s">
        <v>235</v>
      </c>
      <c r="G37" s="191">
        <v>0.74109999999999998</v>
      </c>
      <c r="H37" s="116">
        <v>0.33147682357168518</v>
      </c>
      <c r="I37" s="191">
        <v>0.78040000000000009</v>
      </c>
      <c r="J37" s="116">
        <v>5.3029280798812639E-2</v>
      </c>
      <c r="K37" s="191">
        <v>0.878</v>
      </c>
      <c r="L37" s="116">
        <f t="shared" si="2"/>
        <v>0.12506406970784201</v>
      </c>
      <c r="M37" s="191"/>
      <c r="N37" s="116"/>
    </row>
    <row r="38" spans="2:16" x14ac:dyDescent="0.25">
      <c r="B38" s="114" t="s">
        <v>85</v>
      </c>
      <c r="C38" s="191">
        <v>0.49719999999999998</v>
      </c>
      <c r="D38" s="116">
        <v>-0.38228351347993539</v>
      </c>
      <c r="E38" s="191">
        <v>0.61680000000000001</v>
      </c>
      <c r="F38" s="116">
        <v>0.24054706355591327</v>
      </c>
      <c r="G38" s="191">
        <v>0.74629999999999996</v>
      </c>
      <c r="H38" s="116">
        <v>0.20995460440985725</v>
      </c>
      <c r="I38" s="191">
        <v>0.85400000000000009</v>
      </c>
      <c r="J38" s="116">
        <v>0.14431193889856653</v>
      </c>
      <c r="K38" s="191">
        <v>0.90229999999999999</v>
      </c>
      <c r="L38" s="116">
        <f t="shared" si="2"/>
        <v>5.6557377049180291E-2</v>
      </c>
      <c r="M38" s="191"/>
      <c r="N38" s="116"/>
    </row>
    <row r="39" spans="2:16" x14ac:dyDescent="0.25">
      <c r="B39" s="114" t="s">
        <v>87</v>
      </c>
      <c r="C39" s="191">
        <v>0.32750000000000001</v>
      </c>
      <c r="D39" s="116">
        <v>-0.58082682708306665</v>
      </c>
      <c r="E39" s="191">
        <v>0.63070000000000004</v>
      </c>
      <c r="F39" s="116">
        <v>0.92580152671755722</v>
      </c>
      <c r="G39" s="191">
        <v>0.76680000000000004</v>
      </c>
      <c r="H39" s="116">
        <v>0.21579197716822573</v>
      </c>
      <c r="I39" s="191">
        <v>0.79760000000000009</v>
      </c>
      <c r="J39" s="116">
        <v>4.016692749087114E-2</v>
      </c>
      <c r="K39" s="191">
        <v>0.82719999999999994</v>
      </c>
      <c r="L39" s="116">
        <f t="shared" si="2"/>
        <v>3.7111334002005725E-2</v>
      </c>
      <c r="M39" s="191"/>
      <c r="N39" s="116"/>
    </row>
    <row r="40" spans="2:16" x14ac:dyDescent="0.25">
      <c r="B40" s="114" t="s">
        <v>89</v>
      </c>
      <c r="C40" s="191">
        <v>0.25489999999999996</v>
      </c>
      <c r="D40" s="116">
        <v>-0.61367080933616258</v>
      </c>
      <c r="E40" s="191">
        <v>0.60609999999999997</v>
      </c>
      <c r="F40" s="116">
        <v>1.3777952138093372</v>
      </c>
      <c r="G40" s="191">
        <v>0.70319999999999994</v>
      </c>
      <c r="H40" s="116">
        <v>0.16020458670186444</v>
      </c>
      <c r="I40" s="191">
        <v>0.7548999999999999</v>
      </c>
      <c r="J40" s="116">
        <v>7.3521046643913568E-2</v>
      </c>
      <c r="K40" s="191">
        <v>0.8237000000000001</v>
      </c>
      <c r="L40" s="116">
        <f t="shared" si="2"/>
        <v>9.1137899059478444E-2</v>
      </c>
      <c r="M40" s="191"/>
      <c r="N40" s="116"/>
    </row>
    <row r="41" spans="2:16" x14ac:dyDescent="0.25">
      <c r="B41" s="114" t="s">
        <v>91</v>
      </c>
      <c r="C41" s="191">
        <v>0.19</v>
      </c>
      <c r="D41" s="116">
        <v>-0.74275656647711896</v>
      </c>
      <c r="E41" s="191">
        <v>0.61960000000000004</v>
      </c>
      <c r="F41" s="116">
        <v>2.2610526315789476</v>
      </c>
      <c r="G41" s="191">
        <v>0.76680000000000004</v>
      </c>
      <c r="H41" s="116">
        <v>0.2375726275016139</v>
      </c>
      <c r="I41" s="191">
        <v>0.8076000000000001</v>
      </c>
      <c r="J41" s="116">
        <v>5.3208137715180071E-2</v>
      </c>
      <c r="K41" s="191">
        <v>0.84279999999999999</v>
      </c>
      <c r="L41" s="116">
        <f t="shared" si="2"/>
        <v>4.3585933630509999E-2</v>
      </c>
      <c r="M41" s="191"/>
      <c r="N41" s="116"/>
    </row>
    <row r="42" spans="2:16" x14ac:dyDescent="0.25">
      <c r="B42" s="114" t="s">
        <v>93</v>
      </c>
      <c r="C42" s="191">
        <v>0.20379999999999998</v>
      </c>
      <c r="D42" s="116">
        <v>-0.70852402745995424</v>
      </c>
      <c r="E42" s="191">
        <v>0.52300000000000002</v>
      </c>
      <c r="F42" s="116">
        <v>1.5662414131501476</v>
      </c>
      <c r="G42" s="191">
        <v>0.69739999999999991</v>
      </c>
      <c r="H42" s="116">
        <v>0.33346080305927317</v>
      </c>
      <c r="I42" s="191">
        <v>0.74459999999999993</v>
      </c>
      <c r="J42" s="116">
        <v>6.767995411528549E-2</v>
      </c>
      <c r="K42" s="191">
        <v>0.7831999999999999</v>
      </c>
      <c r="L42" s="116">
        <f t="shared" si="2"/>
        <v>5.1839914047810964E-2</v>
      </c>
      <c r="M42" s="191"/>
      <c r="N42" s="116"/>
    </row>
    <row r="43" spans="2:16" ht="15.75" x14ac:dyDescent="0.25">
      <c r="B43" s="117" t="s">
        <v>30</v>
      </c>
      <c r="C43" s="198">
        <v>0.51022458290172568</v>
      </c>
      <c r="D43" s="119">
        <v>-0.29658705501157345</v>
      </c>
      <c r="E43" s="198">
        <v>0.51651565552296963</v>
      </c>
      <c r="F43" s="119">
        <v>1.2330006887292022E-2</v>
      </c>
      <c r="G43" s="198">
        <v>0.66840723443186234</v>
      </c>
      <c r="H43" s="119">
        <v>0.29406965168384525</v>
      </c>
      <c r="I43" s="198">
        <v>0.75711049413019116</v>
      </c>
      <c r="J43" s="119">
        <v>0.1327084075828795</v>
      </c>
      <c r="K43" s="193">
        <v>0.81153602495705168</v>
      </c>
      <c r="L43" s="119">
        <f t="shared" si="2"/>
        <v>7.1885849223880527E-2</v>
      </c>
      <c r="M43" s="193"/>
      <c r="N43" s="119"/>
    </row>
    <row r="44" spans="2:16" ht="6" customHeight="1" x14ac:dyDescent="0.25"/>
    <row r="45" spans="2:16" x14ac:dyDescent="0.25">
      <c r="B45" s="105" t="s">
        <v>55</v>
      </c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</row>
    <row r="46" spans="2:16" x14ac:dyDescent="0.25">
      <c r="C46" s="194"/>
      <c r="K46" s="194"/>
      <c r="L46" s="194"/>
    </row>
    <row r="48" spans="2:16" ht="21.75" customHeight="1" thickBot="1" x14ac:dyDescent="0.3">
      <c r="B48" s="265" t="s">
        <v>304</v>
      </c>
      <c r="C48" s="265"/>
      <c r="D48" s="265"/>
      <c r="E48" s="265"/>
      <c r="F48" s="265"/>
      <c r="G48" s="265"/>
      <c r="H48" s="265"/>
      <c r="I48" s="265"/>
      <c r="J48" s="265"/>
      <c r="K48" s="265"/>
      <c r="L48" s="265"/>
      <c r="M48" s="265"/>
      <c r="N48" s="265"/>
      <c r="P48" s="1" t="s">
        <v>155</v>
      </c>
    </row>
    <row r="49" spans="2:16" ht="10.5" customHeight="1" thickBot="1" x14ac:dyDescent="0.3">
      <c r="B49" s="106"/>
      <c r="C49" s="107"/>
      <c r="D49" s="106"/>
      <c r="E49" s="106"/>
      <c r="F49" s="106"/>
      <c r="G49" s="106"/>
      <c r="H49" s="106"/>
      <c r="I49" s="106"/>
      <c r="J49" s="106"/>
      <c r="K49" s="106"/>
      <c r="L49" s="106"/>
      <c r="M49" s="4"/>
      <c r="N49" s="4"/>
      <c r="P49" s="1" t="s">
        <v>156</v>
      </c>
    </row>
    <row r="50" spans="2:16" ht="22.5" thickTop="1" thickBot="1" x14ac:dyDescent="0.3">
      <c r="B50" s="109"/>
      <c r="C50" s="290" t="s">
        <v>61</v>
      </c>
      <c r="D50" s="291"/>
      <c r="E50" s="291"/>
      <c r="F50" s="291"/>
      <c r="G50" s="291"/>
      <c r="H50" s="291"/>
      <c r="I50" s="291"/>
      <c r="J50" s="291"/>
      <c r="K50" s="291"/>
      <c r="L50" s="291"/>
      <c r="M50" s="291"/>
      <c r="N50" s="291"/>
    </row>
    <row r="51" spans="2:16" ht="22.5" thickTop="1" thickBot="1" x14ac:dyDescent="0.3">
      <c r="B51" s="109"/>
      <c r="C51" s="292">
        <v>2020</v>
      </c>
      <c r="D51" s="293"/>
      <c r="E51" s="294">
        <v>2021</v>
      </c>
      <c r="F51" s="293"/>
      <c r="G51" s="294">
        <v>2022</v>
      </c>
      <c r="H51" s="293"/>
      <c r="I51" s="294">
        <v>2023</v>
      </c>
      <c r="J51" s="293"/>
      <c r="K51" s="294">
        <v>2024</v>
      </c>
      <c r="L51" s="293"/>
      <c r="M51" s="294">
        <v>2025</v>
      </c>
      <c r="N51" s="295"/>
    </row>
    <row r="52" spans="2:16" ht="16.5" thickTop="1" thickBot="1" x14ac:dyDescent="0.3">
      <c r="B52" s="85"/>
      <c r="C52" s="111" t="s">
        <v>69</v>
      </c>
      <c r="D52" s="112" t="str">
        <f>CONCATENATE("var ",RIGHT(C51,2),"/",RIGHT(C51-1,2))</f>
        <v>var 20/19</v>
      </c>
      <c r="E52" s="113" t="s">
        <v>69</v>
      </c>
      <c r="F52" s="112" t="s">
        <v>324</v>
      </c>
      <c r="G52" s="113" t="s">
        <v>69</v>
      </c>
      <c r="H52" s="112" t="str">
        <f>CONCATENATE("var ",RIGHT(G51,2),"/",RIGHT(E51,2))</f>
        <v>var 22/21</v>
      </c>
      <c r="I52" s="113" t="s">
        <v>69</v>
      </c>
      <c r="J52" s="112" t="str">
        <f>CONCATENATE("var ",RIGHT(I51,2),"/",RIGHT(G51,2))</f>
        <v>var 23/22</v>
      </c>
      <c r="K52" s="113" t="s">
        <v>69</v>
      </c>
      <c r="L52" s="112" t="str">
        <f>CONCATENATE("var ",RIGHT(K51,2),"/",RIGHT(I51,2))</f>
        <v>var 24/23</v>
      </c>
      <c r="M52" s="113" t="s">
        <v>69</v>
      </c>
      <c r="N52" s="112" t="str">
        <f>CONCATENATE("var ",RIGHT(M51,2),"/",RIGHT(K51,2))</f>
        <v>var 25/24</v>
      </c>
    </row>
    <row r="53" spans="2:16" x14ac:dyDescent="0.25">
      <c r="B53" s="114" t="s">
        <v>71</v>
      </c>
      <c r="C53" s="191">
        <v>0</v>
      </c>
      <c r="D53" s="116">
        <v>-1</v>
      </c>
      <c r="E53" s="191">
        <v>0</v>
      </c>
      <c r="F53" s="116" t="s">
        <v>235</v>
      </c>
      <c r="G53" s="191">
        <v>0.43799999999999994</v>
      </c>
      <c r="H53" s="116" t="s">
        <v>235</v>
      </c>
      <c r="I53" s="191">
        <v>0.79079999999999995</v>
      </c>
      <c r="J53" s="116">
        <v>0.80547945205479454</v>
      </c>
      <c r="K53" s="191">
        <v>0.80859999999999999</v>
      </c>
      <c r="L53" s="116">
        <f t="shared" ref="L53:L65" si="4">IFERROR(K53/I53-1,"-")</f>
        <v>2.2508851795649987E-2</v>
      </c>
      <c r="M53" s="191">
        <v>0.83109999999999995</v>
      </c>
      <c r="N53" s="116">
        <f t="shared" ref="N53" si="5">IFERROR(M53/K53-1,"-")</f>
        <v>2.7825871877318775E-2</v>
      </c>
    </row>
    <row r="54" spans="2:16" x14ac:dyDescent="0.25">
      <c r="B54" s="114" t="s">
        <v>73</v>
      </c>
      <c r="C54" s="191">
        <v>0</v>
      </c>
      <c r="D54" s="116">
        <v>-1</v>
      </c>
      <c r="E54" s="191">
        <v>0</v>
      </c>
      <c r="F54" s="116" t="s">
        <v>235</v>
      </c>
      <c r="G54" s="191">
        <v>0.57200000000000006</v>
      </c>
      <c r="H54" s="116" t="s">
        <v>235</v>
      </c>
      <c r="I54" s="191">
        <v>0.76780000000000004</v>
      </c>
      <c r="J54" s="116">
        <v>0.3423076923076922</v>
      </c>
      <c r="K54" s="191">
        <v>0.89769999999999994</v>
      </c>
      <c r="L54" s="116">
        <f t="shared" si="4"/>
        <v>0.16918468351133087</v>
      </c>
      <c r="M54" s="191"/>
      <c r="N54" s="116"/>
    </row>
    <row r="55" spans="2:16" x14ac:dyDescent="0.25">
      <c r="B55" s="114" t="s">
        <v>75</v>
      </c>
      <c r="C55" s="191">
        <v>0</v>
      </c>
      <c r="D55" s="116">
        <v>-1</v>
      </c>
      <c r="E55" s="191">
        <v>0</v>
      </c>
      <c r="F55" s="116" t="s">
        <v>235</v>
      </c>
      <c r="G55" s="191">
        <v>0.66480000000000006</v>
      </c>
      <c r="H55" s="116" t="s">
        <v>235</v>
      </c>
      <c r="I55" s="191">
        <v>0.74870000000000003</v>
      </c>
      <c r="J55" s="116">
        <v>0.12620336943441623</v>
      </c>
      <c r="K55" s="191">
        <v>0.84279999999999999</v>
      </c>
      <c r="L55" s="116">
        <f t="shared" si="4"/>
        <v>0.12568451983437945</v>
      </c>
      <c r="M55" s="191"/>
      <c r="N55" s="116"/>
    </row>
    <row r="56" spans="2:16" x14ac:dyDescent="0.25">
      <c r="B56" s="114" t="s">
        <v>77</v>
      </c>
      <c r="C56" s="191">
        <v>0</v>
      </c>
      <c r="D56" s="116">
        <v>-1</v>
      </c>
      <c r="E56" s="191">
        <v>0</v>
      </c>
      <c r="F56" s="116" t="s">
        <v>235</v>
      </c>
      <c r="G56" s="191">
        <v>0.65489999999999993</v>
      </c>
      <c r="H56" s="116" t="s">
        <v>235</v>
      </c>
      <c r="I56" s="191">
        <v>0.68180000000000007</v>
      </c>
      <c r="J56" s="116">
        <v>4.1074973278363291E-2</v>
      </c>
      <c r="K56" s="191">
        <v>0.69059999999999999</v>
      </c>
      <c r="L56" s="116">
        <f t="shared" si="4"/>
        <v>1.2907010853622669E-2</v>
      </c>
      <c r="M56" s="191"/>
      <c r="N56" s="116"/>
    </row>
    <row r="57" spans="2:16" x14ac:dyDescent="0.25">
      <c r="B57" s="114" t="s">
        <v>79</v>
      </c>
      <c r="C57" s="191">
        <v>0</v>
      </c>
      <c r="D57" s="116">
        <v>-1</v>
      </c>
      <c r="E57" s="191">
        <v>0</v>
      </c>
      <c r="F57" s="116" t="s">
        <v>235</v>
      </c>
      <c r="G57" s="191">
        <v>0.60740000000000005</v>
      </c>
      <c r="H57" s="116" t="s">
        <v>235</v>
      </c>
      <c r="I57" s="191">
        <v>0.62229999999999996</v>
      </c>
      <c r="J57" s="116">
        <v>2.4530786960816453E-2</v>
      </c>
      <c r="K57" s="191">
        <v>0.69530000000000003</v>
      </c>
      <c r="L57" s="116">
        <f t="shared" si="4"/>
        <v>0.11730676522577554</v>
      </c>
      <c r="M57" s="191"/>
      <c r="N57" s="116"/>
    </row>
    <row r="58" spans="2:16" x14ac:dyDescent="0.25">
      <c r="B58" s="114" t="s">
        <v>81</v>
      </c>
      <c r="C58" s="191">
        <v>0</v>
      </c>
      <c r="D58" s="116">
        <v>-1</v>
      </c>
      <c r="E58" s="191">
        <v>0</v>
      </c>
      <c r="F58" s="116" t="s">
        <v>235</v>
      </c>
      <c r="G58" s="191">
        <v>0.70400000000000007</v>
      </c>
      <c r="H58" s="116" t="s">
        <v>235</v>
      </c>
      <c r="I58" s="191">
        <v>0.75269999999999992</v>
      </c>
      <c r="J58" s="116">
        <v>6.9176136363636065E-2</v>
      </c>
      <c r="K58" s="191">
        <v>0.81299999999999994</v>
      </c>
      <c r="L58" s="116">
        <f t="shared" si="4"/>
        <v>8.0111598246313198E-2</v>
      </c>
      <c r="M58" s="191"/>
      <c r="N58" s="116"/>
    </row>
    <row r="59" spans="2:16" x14ac:dyDescent="0.25">
      <c r="B59" s="114" t="s">
        <v>83</v>
      </c>
      <c r="C59" s="191">
        <v>0</v>
      </c>
      <c r="D59" s="116">
        <v>-1</v>
      </c>
      <c r="E59" s="191">
        <v>0</v>
      </c>
      <c r="F59" s="116" t="s">
        <v>235</v>
      </c>
      <c r="G59" s="191">
        <v>0.75650000000000006</v>
      </c>
      <c r="H59" s="116" t="s">
        <v>235</v>
      </c>
      <c r="I59" s="191">
        <v>0.80590000000000006</v>
      </c>
      <c r="J59" s="116">
        <v>6.5300727032385986E-2</v>
      </c>
      <c r="K59" s="191">
        <v>0.89379999999999993</v>
      </c>
      <c r="L59" s="116">
        <f t="shared" si="4"/>
        <v>0.10907060429333648</v>
      </c>
      <c r="M59" s="191"/>
      <c r="N59" s="116"/>
    </row>
    <row r="60" spans="2:16" x14ac:dyDescent="0.25">
      <c r="B60" s="114" t="s">
        <v>85</v>
      </c>
      <c r="C60" s="191">
        <v>0</v>
      </c>
      <c r="D60" s="116">
        <v>-1</v>
      </c>
      <c r="E60" s="191">
        <v>0</v>
      </c>
      <c r="F60" s="116" t="s">
        <v>235</v>
      </c>
      <c r="G60" s="191">
        <v>0.76190000000000002</v>
      </c>
      <c r="H60" s="116" t="s">
        <v>235</v>
      </c>
      <c r="I60" s="191">
        <v>0.88529999999999998</v>
      </c>
      <c r="J60" s="116">
        <v>0.1619635122719516</v>
      </c>
      <c r="K60" s="191">
        <v>0.91599999999999993</v>
      </c>
      <c r="L60" s="116">
        <f t="shared" si="4"/>
        <v>3.4677510448435589E-2</v>
      </c>
      <c r="M60" s="191"/>
      <c r="N60" s="116"/>
    </row>
    <row r="61" spans="2:16" x14ac:dyDescent="0.25">
      <c r="B61" s="114" t="s">
        <v>87</v>
      </c>
      <c r="C61" s="191">
        <v>0</v>
      </c>
      <c r="D61" s="116">
        <v>-1</v>
      </c>
      <c r="E61" s="191">
        <v>0</v>
      </c>
      <c r="F61" s="116" t="s">
        <v>235</v>
      </c>
      <c r="G61" s="191">
        <v>0.7823</v>
      </c>
      <c r="H61" s="116" t="s">
        <v>235</v>
      </c>
      <c r="I61" s="191">
        <v>0.81169999999999998</v>
      </c>
      <c r="J61" s="116">
        <v>3.7581490476799262E-2</v>
      </c>
      <c r="K61" s="191">
        <v>0.83810000000000007</v>
      </c>
      <c r="L61" s="116">
        <f t="shared" si="4"/>
        <v>3.2524331649624427E-2</v>
      </c>
      <c r="M61" s="191"/>
      <c r="N61" s="116"/>
    </row>
    <row r="62" spans="2:16" x14ac:dyDescent="0.25">
      <c r="B62" s="114" t="s">
        <v>89</v>
      </c>
      <c r="C62" s="191">
        <v>0</v>
      </c>
      <c r="D62" s="116">
        <v>-1</v>
      </c>
      <c r="E62" s="191">
        <v>0</v>
      </c>
      <c r="F62" s="116" t="s">
        <v>235</v>
      </c>
      <c r="G62" s="191">
        <v>0.72109999999999996</v>
      </c>
      <c r="H62" s="116" t="s">
        <v>235</v>
      </c>
      <c r="I62" s="191">
        <v>0.7712</v>
      </c>
      <c r="J62" s="116">
        <v>6.9477187630009762E-2</v>
      </c>
      <c r="K62" s="191">
        <v>0.83719999999999994</v>
      </c>
      <c r="L62" s="116">
        <f t="shared" si="4"/>
        <v>8.5580912863070457E-2</v>
      </c>
      <c r="M62" s="191"/>
      <c r="N62" s="116"/>
    </row>
    <row r="63" spans="2:16" x14ac:dyDescent="0.25">
      <c r="B63" s="114" t="s">
        <v>91</v>
      </c>
      <c r="C63" s="191">
        <v>0</v>
      </c>
      <c r="D63" s="116">
        <v>-1</v>
      </c>
      <c r="E63" s="191">
        <v>0</v>
      </c>
      <c r="F63" s="116" t="s">
        <v>235</v>
      </c>
      <c r="G63" s="191">
        <v>0.77170000000000005</v>
      </c>
      <c r="H63" s="116" t="s">
        <v>235</v>
      </c>
      <c r="I63" s="191">
        <v>0.80299999999999994</v>
      </c>
      <c r="J63" s="116">
        <v>4.0559803032266251E-2</v>
      </c>
      <c r="K63" s="191">
        <v>0.84709999999999996</v>
      </c>
      <c r="L63" s="116">
        <f t="shared" si="4"/>
        <v>5.4919053549190577E-2</v>
      </c>
      <c r="M63" s="191"/>
      <c r="N63" s="116"/>
    </row>
    <row r="64" spans="2:16" x14ac:dyDescent="0.25">
      <c r="B64" s="114" t="s">
        <v>93</v>
      </c>
      <c r="C64" s="191">
        <v>0</v>
      </c>
      <c r="D64" s="116">
        <v>-1</v>
      </c>
      <c r="E64" s="191">
        <v>0</v>
      </c>
      <c r="F64" s="116" t="s">
        <v>235</v>
      </c>
      <c r="G64" s="191">
        <v>0.69019999999999992</v>
      </c>
      <c r="H64" s="116" t="s">
        <v>235</v>
      </c>
      <c r="I64" s="191">
        <v>0.73840000000000006</v>
      </c>
      <c r="J64" s="116">
        <v>6.9834830483917809E-2</v>
      </c>
      <c r="K64" s="191">
        <v>0.7823</v>
      </c>
      <c r="L64" s="116">
        <f t="shared" si="4"/>
        <v>5.9452871072589231E-2</v>
      </c>
      <c r="M64" s="191"/>
      <c r="N64" s="116"/>
    </row>
    <row r="65" spans="2:16" ht="15.75" x14ac:dyDescent="0.25">
      <c r="B65" s="117" t="s">
        <v>30</v>
      </c>
      <c r="C65" s="198">
        <v>0.51812467109371418</v>
      </c>
      <c r="D65" s="119">
        <v>-0.30485065709876624</v>
      </c>
      <c r="E65" s="198">
        <v>0.52124365322614574</v>
      </c>
      <c r="F65" s="119">
        <v>6.0197522072200638E-3</v>
      </c>
      <c r="G65" s="198">
        <v>0.67804411957207555</v>
      </c>
      <c r="H65" s="119">
        <v>0.3008199051929763</v>
      </c>
      <c r="I65" s="198">
        <v>0.76577549497344044</v>
      </c>
      <c r="J65" s="119">
        <v>0.12938888911348956</v>
      </c>
      <c r="K65" s="198">
        <v>0.81915917960144258</v>
      </c>
      <c r="L65" s="119">
        <f t="shared" si="4"/>
        <v>6.9711925986680523E-2</v>
      </c>
      <c r="M65" s="197"/>
      <c r="N65" s="196"/>
    </row>
    <row r="66" spans="2:16" ht="6" customHeight="1" x14ac:dyDescent="0.25"/>
    <row r="67" spans="2:16" x14ac:dyDescent="0.25">
      <c r="B67" s="105" t="s">
        <v>55</v>
      </c>
      <c r="C67" s="105"/>
      <c r="D67" s="105"/>
      <c r="E67" s="105"/>
      <c r="F67" s="105"/>
      <c r="G67" s="105"/>
      <c r="H67" s="105"/>
      <c r="I67" s="105"/>
      <c r="J67" s="105"/>
      <c r="K67" s="105"/>
      <c r="L67" s="105"/>
      <c r="M67" s="105"/>
      <c r="N67" s="105"/>
    </row>
    <row r="68" spans="2:16" x14ac:dyDescent="0.25">
      <c r="C68" s="194" t="e">
        <v>#REF!</v>
      </c>
      <c r="K68" s="194"/>
      <c r="L68" s="194"/>
    </row>
    <row r="70" spans="2:16" ht="21.75" customHeight="1" thickBot="1" x14ac:dyDescent="0.3">
      <c r="B70" s="265" t="s">
        <v>305</v>
      </c>
      <c r="C70" s="265"/>
      <c r="D70" s="265"/>
      <c r="E70" s="265"/>
      <c r="F70" s="265"/>
      <c r="G70" s="265"/>
      <c r="H70" s="265"/>
      <c r="I70" s="265"/>
      <c r="J70" s="265"/>
      <c r="K70" s="265"/>
      <c r="L70" s="265"/>
      <c r="M70" s="265"/>
      <c r="N70" s="265"/>
      <c r="P70" s="1" t="s">
        <v>157</v>
      </c>
    </row>
    <row r="71" spans="2:16" ht="10.5" customHeight="1" thickBot="1" x14ac:dyDescent="0.3">
      <c r="B71" s="106"/>
      <c r="C71" s="107"/>
      <c r="D71" s="106"/>
      <c r="E71" s="106"/>
      <c r="F71" s="106"/>
      <c r="G71" s="106"/>
      <c r="H71" s="106"/>
      <c r="I71" s="106"/>
      <c r="J71" s="106"/>
      <c r="K71" s="106"/>
      <c r="L71" s="106"/>
      <c r="M71" s="4"/>
      <c r="N71" s="4"/>
      <c r="P71" s="1" t="s">
        <v>158</v>
      </c>
    </row>
    <row r="72" spans="2:16" ht="22.5" thickTop="1" thickBot="1" x14ac:dyDescent="0.3">
      <c r="B72" s="109"/>
      <c r="C72" s="290" t="s">
        <v>62</v>
      </c>
      <c r="D72" s="291"/>
      <c r="E72" s="291"/>
      <c r="F72" s="291"/>
      <c r="G72" s="291"/>
      <c r="H72" s="291"/>
      <c r="I72" s="291"/>
      <c r="J72" s="291"/>
      <c r="K72" s="291"/>
      <c r="L72" s="291"/>
      <c r="M72" s="291"/>
      <c r="N72" s="291"/>
    </row>
    <row r="73" spans="2:16" ht="22.5" thickTop="1" thickBot="1" x14ac:dyDescent="0.3">
      <c r="B73" s="109"/>
      <c r="C73" s="292">
        <v>2020</v>
      </c>
      <c r="D73" s="293"/>
      <c r="E73" s="294">
        <v>2021</v>
      </c>
      <c r="F73" s="293"/>
      <c r="G73" s="294">
        <v>2022</v>
      </c>
      <c r="H73" s="293"/>
      <c r="I73" s="294">
        <v>2023</v>
      </c>
      <c r="J73" s="293"/>
      <c r="K73" s="294">
        <v>2024</v>
      </c>
      <c r="L73" s="293"/>
      <c r="M73" s="294">
        <v>2025</v>
      </c>
      <c r="N73" s="295"/>
    </row>
    <row r="74" spans="2:16" ht="16.5" thickTop="1" thickBot="1" x14ac:dyDescent="0.3">
      <c r="B74" s="85"/>
      <c r="C74" s="111" t="s">
        <v>69</v>
      </c>
      <c r="D74" s="112" t="str">
        <f>CONCATENATE("var ",RIGHT(C73,2),"/",RIGHT(C73-1,2))</f>
        <v>var 20/19</v>
      </c>
      <c r="E74" s="113" t="s">
        <v>69</v>
      </c>
      <c r="F74" s="112" t="s">
        <v>324</v>
      </c>
      <c r="G74" s="113" t="s">
        <v>69</v>
      </c>
      <c r="H74" s="112" t="str">
        <f>CONCATENATE("var ",RIGHT(G73,2),"/",RIGHT(E73,2))</f>
        <v>var 22/21</v>
      </c>
      <c r="I74" s="113" t="s">
        <v>69</v>
      </c>
      <c r="J74" s="112" t="str">
        <f>CONCATENATE("var ",RIGHT(I73,2),"/",RIGHT(G73,2))</f>
        <v>var 23/22</v>
      </c>
      <c r="K74" s="113" t="s">
        <v>69</v>
      </c>
      <c r="L74" s="112" t="str">
        <f>CONCATENATE("var ",RIGHT(K73,2),"/",RIGHT(I73,2))</f>
        <v>var 24/23</v>
      </c>
      <c r="M74" s="113" t="s">
        <v>69</v>
      </c>
      <c r="N74" s="112" t="str">
        <f>CONCATENATE("var ",RIGHT(M73,2),"/",RIGHT(K73,2))</f>
        <v>var 25/24</v>
      </c>
    </row>
    <row r="75" spans="2:16" x14ac:dyDescent="0.25">
      <c r="B75" s="114" t="s">
        <v>71</v>
      </c>
      <c r="C75" s="191">
        <v>0</v>
      </c>
      <c r="D75" s="116">
        <v>-1</v>
      </c>
      <c r="E75" s="191">
        <v>0</v>
      </c>
      <c r="F75" s="116" t="s">
        <v>235</v>
      </c>
      <c r="G75" s="191">
        <v>0.48100000000000004</v>
      </c>
      <c r="H75" s="116" t="s">
        <v>235</v>
      </c>
      <c r="I75" s="191">
        <v>0.80359999999999998</v>
      </c>
      <c r="J75" s="116">
        <v>0.67068607068607045</v>
      </c>
      <c r="K75" s="191">
        <v>0.83989999999999998</v>
      </c>
      <c r="L75" s="116">
        <f t="shared" ref="L75:L87" si="6">IFERROR(K75/I75-1,"-")</f>
        <v>4.517172722747631E-2</v>
      </c>
      <c r="M75" s="191">
        <v>0.84250000000000003</v>
      </c>
      <c r="N75" s="116">
        <f t="shared" ref="N75" si="7">IFERROR(M75/K75-1,"-")</f>
        <v>3.0956066198357668E-3</v>
      </c>
    </row>
    <row r="76" spans="2:16" x14ac:dyDescent="0.25">
      <c r="B76" s="114" t="s">
        <v>73</v>
      </c>
      <c r="C76" s="191">
        <v>0</v>
      </c>
      <c r="D76" s="116">
        <v>-1</v>
      </c>
      <c r="E76" s="191">
        <v>0</v>
      </c>
      <c r="F76" s="116" t="s">
        <v>235</v>
      </c>
      <c r="G76" s="191">
        <v>0.61370000000000002</v>
      </c>
      <c r="H76" s="116" t="s">
        <v>235</v>
      </c>
      <c r="I76" s="191">
        <v>0.79700000000000004</v>
      </c>
      <c r="J76" s="116">
        <v>0.29868013687469452</v>
      </c>
      <c r="K76" s="191">
        <v>0.86670000000000003</v>
      </c>
      <c r="L76" s="116">
        <f t="shared" si="6"/>
        <v>8.7452948557088961E-2</v>
      </c>
      <c r="M76" s="191"/>
      <c r="N76" s="116"/>
    </row>
    <row r="77" spans="2:16" x14ac:dyDescent="0.25">
      <c r="B77" s="114" t="s">
        <v>75</v>
      </c>
      <c r="C77" s="191">
        <v>0</v>
      </c>
      <c r="D77" s="116">
        <v>-1</v>
      </c>
      <c r="E77" s="191">
        <v>0</v>
      </c>
      <c r="F77" s="116" t="s">
        <v>235</v>
      </c>
      <c r="G77" s="191">
        <v>0.62139999999999995</v>
      </c>
      <c r="H77" s="116" t="s">
        <v>235</v>
      </c>
      <c r="I77" s="191">
        <v>0.70279999999999998</v>
      </c>
      <c r="J77" s="116">
        <v>0.13099452848406834</v>
      </c>
      <c r="K77" s="191">
        <v>0.80810000000000004</v>
      </c>
      <c r="L77" s="116">
        <f t="shared" si="6"/>
        <v>0.14982925441092787</v>
      </c>
      <c r="M77" s="191"/>
      <c r="N77" s="116"/>
    </row>
    <row r="78" spans="2:16" x14ac:dyDescent="0.25">
      <c r="B78" s="114" t="s">
        <v>77</v>
      </c>
      <c r="C78" s="191">
        <v>0</v>
      </c>
      <c r="D78" s="116">
        <v>-1</v>
      </c>
      <c r="E78" s="191">
        <v>0</v>
      </c>
      <c r="F78" s="116" t="s">
        <v>235</v>
      </c>
      <c r="G78" s="191">
        <v>0.49450000000000005</v>
      </c>
      <c r="H78" s="116" t="s">
        <v>235</v>
      </c>
      <c r="I78" s="191">
        <v>0.64980000000000004</v>
      </c>
      <c r="J78" s="116">
        <v>0.31405460060667334</v>
      </c>
      <c r="K78" s="191">
        <v>0.67090000000000005</v>
      </c>
      <c r="L78" s="116">
        <f t="shared" si="6"/>
        <v>3.2471529701446622E-2</v>
      </c>
      <c r="M78" s="191"/>
      <c r="N78" s="116"/>
    </row>
    <row r="79" spans="2:16" x14ac:dyDescent="0.25">
      <c r="B79" s="114" t="s">
        <v>79</v>
      </c>
      <c r="C79" s="191">
        <v>0</v>
      </c>
      <c r="D79" s="116">
        <v>-1</v>
      </c>
      <c r="E79" s="191">
        <v>0</v>
      </c>
      <c r="F79" s="116" t="s">
        <v>235</v>
      </c>
      <c r="G79" s="191">
        <v>0.54649999999999999</v>
      </c>
      <c r="H79" s="116" t="s">
        <v>235</v>
      </c>
      <c r="I79" s="191">
        <v>0.60970000000000002</v>
      </c>
      <c r="J79" s="116">
        <v>0.1156450137236964</v>
      </c>
      <c r="K79" s="191">
        <v>0.62439999999999996</v>
      </c>
      <c r="L79" s="116">
        <f t="shared" si="6"/>
        <v>2.4110218140068751E-2</v>
      </c>
      <c r="M79" s="191"/>
      <c r="N79" s="116"/>
    </row>
    <row r="80" spans="2:16" x14ac:dyDescent="0.25">
      <c r="B80" s="114" t="s">
        <v>81</v>
      </c>
      <c r="C80" s="191">
        <v>0</v>
      </c>
      <c r="D80" s="116">
        <v>-1</v>
      </c>
      <c r="E80" s="191">
        <v>0</v>
      </c>
      <c r="F80" s="116" t="s">
        <v>235</v>
      </c>
      <c r="G80" s="191">
        <v>0.61799999999999999</v>
      </c>
      <c r="H80" s="116" t="s">
        <v>235</v>
      </c>
      <c r="I80" s="191">
        <v>0.62639999999999996</v>
      </c>
      <c r="J80" s="116">
        <v>1.3592233009708687E-2</v>
      </c>
      <c r="K80" s="191">
        <v>0.68590000000000007</v>
      </c>
      <c r="L80" s="116">
        <f t="shared" si="6"/>
        <v>9.4987228607918528E-2</v>
      </c>
      <c r="M80" s="191"/>
      <c r="N80" s="116"/>
    </row>
    <row r="81" spans="2:16" x14ac:dyDescent="0.25">
      <c r="B81" s="114" t="s">
        <v>83</v>
      </c>
      <c r="C81" s="191">
        <v>0</v>
      </c>
      <c r="D81" s="116">
        <v>-1</v>
      </c>
      <c r="E81" s="191">
        <v>0</v>
      </c>
      <c r="F81" s="116" t="s">
        <v>235</v>
      </c>
      <c r="G81" s="191">
        <v>0.6409999999999999</v>
      </c>
      <c r="H81" s="116" t="s">
        <v>235</v>
      </c>
      <c r="I81" s="191">
        <v>0.62450000000000006</v>
      </c>
      <c r="J81" s="116">
        <v>-2.5741029641185409E-2</v>
      </c>
      <c r="K81" s="191">
        <v>0.7752</v>
      </c>
      <c r="L81" s="116">
        <f t="shared" si="6"/>
        <v>0.24131305044035223</v>
      </c>
      <c r="M81" s="191"/>
      <c r="N81" s="116"/>
    </row>
    <row r="82" spans="2:16" x14ac:dyDescent="0.25">
      <c r="B82" s="114" t="s">
        <v>85</v>
      </c>
      <c r="C82" s="191">
        <v>0</v>
      </c>
      <c r="D82" s="116">
        <v>-1</v>
      </c>
      <c r="E82" s="191">
        <v>0</v>
      </c>
      <c r="F82" s="116" t="s">
        <v>235</v>
      </c>
      <c r="G82" s="191">
        <v>0.64529999999999998</v>
      </c>
      <c r="H82" s="116" t="s">
        <v>235</v>
      </c>
      <c r="I82" s="191">
        <v>0.66010000000000002</v>
      </c>
      <c r="J82" s="116">
        <v>2.2935068960173721E-2</v>
      </c>
      <c r="K82" s="191">
        <v>0.81310000000000004</v>
      </c>
      <c r="L82" s="116">
        <f t="shared" si="6"/>
        <v>0.23178306317224662</v>
      </c>
      <c r="M82" s="191"/>
      <c r="N82" s="116"/>
    </row>
    <row r="83" spans="2:16" x14ac:dyDescent="0.25">
      <c r="B83" s="114" t="s">
        <v>87</v>
      </c>
      <c r="C83" s="191">
        <v>0</v>
      </c>
      <c r="D83" s="116">
        <v>-1</v>
      </c>
      <c r="E83" s="191">
        <v>0</v>
      </c>
      <c r="F83" s="116" t="s">
        <v>235</v>
      </c>
      <c r="G83" s="191">
        <v>0.67049999999999998</v>
      </c>
      <c r="H83" s="116" t="s">
        <v>235</v>
      </c>
      <c r="I83" s="191">
        <v>0.70979999999999999</v>
      </c>
      <c r="J83" s="116">
        <v>5.8612975391498789E-2</v>
      </c>
      <c r="K83" s="191">
        <v>0.75639999999999996</v>
      </c>
      <c r="L83" s="116">
        <f t="shared" si="6"/>
        <v>6.5652296421527145E-2</v>
      </c>
      <c r="M83" s="191"/>
      <c r="N83" s="116"/>
    </row>
    <row r="84" spans="2:16" x14ac:dyDescent="0.25">
      <c r="B84" s="114" t="s">
        <v>89</v>
      </c>
      <c r="C84" s="191">
        <v>0</v>
      </c>
      <c r="D84" s="116">
        <v>-1</v>
      </c>
      <c r="E84" s="191">
        <v>0</v>
      </c>
      <c r="F84" s="116" t="s">
        <v>235</v>
      </c>
      <c r="G84" s="191">
        <v>0.59150000000000003</v>
      </c>
      <c r="H84" s="116" t="s">
        <v>235</v>
      </c>
      <c r="I84" s="191">
        <v>0.6543000000000001</v>
      </c>
      <c r="J84" s="116">
        <v>0.10617075232459872</v>
      </c>
      <c r="K84" s="191">
        <v>0.73659999999999992</v>
      </c>
      <c r="L84" s="116">
        <f t="shared" si="6"/>
        <v>0.1257832798410512</v>
      </c>
      <c r="M84" s="191"/>
      <c r="N84" s="116"/>
    </row>
    <row r="85" spans="2:16" x14ac:dyDescent="0.25">
      <c r="B85" s="114" t="s">
        <v>91</v>
      </c>
      <c r="C85" s="191">
        <v>0</v>
      </c>
      <c r="D85" s="116">
        <v>-1</v>
      </c>
      <c r="E85" s="191">
        <v>0</v>
      </c>
      <c r="F85" s="116" t="s">
        <v>235</v>
      </c>
      <c r="G85" s="191">
        <v>0.73580000000000001</v>
      </c>
      <c r="H85" s="116" t="s">
        <v>235</v>
      </c>
      <c r="I85" s="191">
        <v>0.83599999999999997</v>
      </c>
      <c r="J85" s="116">
        <v>0.13617830932318564</v>
      </c>
      <c r="K85" s="191">
        <v>0.81559999999999999</v>
      </c>
      <c r="L85" s="116">
        <f t="shared" si="6"/>
        <v>-2.4401913875598091E-2</v>
      </c>
      <c r="M85" s="191"/>
      <c r="N85" s="116"/>
    </row>
    <row r="86" spans="2:16" x14ac:dyDescent="0.25">
      <c r="B86" s="114" t="s">
        <v>93</v>
      </c>
      <c r="C86" s="191">
        <v>0</v>
      </c>
      <c r="D86" s="116">
        <v>-1</v>
      </c>
      <c r="E86" s="191">
        <v>0</v>
      </c>
      <c r="F86" s="116" t="s">
        <v>235</v>
      </c>
      <c r="G86" s="191">
        <v>0.74580000000000002</v>
      </c>
      <c r="H86" s="116" t="s">
        <v>235</v>
      </c>
      <c r="I86" s="191">
        <v>0.78299999999999992</v>
      </c>
      <c r="J86" s="116">
        <v>4.9879324215607257E-2</v>
      </c>
      <c r="K86" s="191">
        <v>0.78839999999999999</v>
      </c>
      <c r="L86" s="116">
        <f t="shared" si="6"/>
        <v>6.8965517241379448E-3</v>
      </c>
      <c r="M86" s="191"/>
      <c r="N86" s="116"/>
    </row>
    <row r="87" spans="2:16" ht="15.75" x14ac:dyDescent="0.25">
      <c r="B87" s="117" t="s">
        <v>30</v>
      </c>
      <c r="C87" s="198">
        <v>0</v>
      </c>
      <c r="D87" s="119">
        <v>-1</v>
      </c>
      <c r="E87" s="198">
        <v>0</v>
      </c>
      <c r="F87" s="119" t="s">
        <v>235</v>
      </c>
      <c r="G87" s="198">
        <v>0.61708333333333332</v>
      </c>
      <c r="H87" s="119" t="s">
        <v>235</v>
      </c>
      <c r="I87" s="198">
        <v>0.7047500000000001</v>
      </c>
      <c r="J87" s="119">
        <v>0.14206617150573964</v>
      </c>
      <c r="K87" s="198">
        <f>IFERROR(AVERAGE(K75:K86),"-")</f>
        <v>0.7651</v>
      </c>
      <c r="L87" s="119">
        <f t="shared" si="6"/>
        <v>8.5633203263568491E-2</v>
      </c>
      <c r="M87" s="195"/>
      <c r="N87" s="196"/>
    </row>
    <row r="88" spans="2:16" ht="6" customHeight="1" x14ac:dyDescent="0.25"/>
    <row r="89" spans="2:16" x14ac:dyDescent="0.25">
      <c r="B89" s="105" t="s">
        <v>55</v>
      </c>
      <c r="C89" s="105"/>
      <c r="D89" s="105"/>
      <c r="E89" s="105"/>
      <c r="F89" s="105"/>
      <c r="G89" s="105"/>
      <c r="H89" s="105"/>
      <c r="I89" s="105"/>
      <c r="J89" s="105"/>
      <c r="K89" s="105"/>
      <c r="L89" s="105"/>
      <c r="M89" s="105"/>
      <c r="N89" s="105"/>
    </row>
    <row r="92" spans="2:16" ht="21.75" customHeight="1" thickBot="1" x14ac:dyDescent="0.3">
      <c r="B92" s="265" t="s">
        <v>306</v>
      </c>
      <c r="C92" s="265"/>
      <c r="D92" s="265"/>
      <c r="E92" s="265"/>
      <c r="F92" s="265"/>
      <c r="G92" s="265"/>
      <c r="H92" s="265"/>
      <c r="I92" s="265"/>
      <c r="J92" s="265"/>
      <c r="K92" s="265"/>
      <c r="L92" s="265"/>
      <c r="M92" s="265"/>
      <c r="N92" s="265"/>
      <c r="P92" s="1" t="s">
        <v>159</v>
      </c>
    </row>
    <row r="93" spans="2:16" ht="10.5" customHeight="1" thickBot="1" x14ac:dyDescent="0.3">
      <c r="B93" s="106"/>
      <c r="C93" s="107"/>
      <c r="D93" s="106"/>
      <c r="E93" s="106"/>
      <c r="F93" s="106"/>
      <c r="G93" s="106"/>
      <c r="H93" s="106"/>
      <c r="I93" s="106"/>
      <c r="J93" s="106"/>
      <c r="K93" s="106"/>
      <c r="L93" s="106"/>
      <c r="M93" s="4"/>
      <c r="N93" s="4"/>
      <c r="P93" s="1" t="s">
        <v>160</v>
      </c>
    </row>
    <row r="94" spans="2:16" ht="22.5" thickTop="1" thickBot="1" x14ac:dyDescent="0.3">
      <c r="B94" s="109"/>
      <c r="C94" s="290" t="s">
        <v>32</v>
      </c>
      <c r="D94" s="291"/>
      <c r="E94" s="291"/>
      <c r="F94" s="291"/>
      <c r="G94" s="291"/>
      <c r="H94" s="291"/>
      <c r="I94" s="291"/>
      <c r="J94" s="291"/>
      <c r="K94" s="291"/>
      <c r="L94" s="291"/>
      <c r="M94" s="291"/>
      <c r="N94" s="291"/>
    </row>
    <row r="95" spans="2:16" ht="22.5" thickTop="1" thickBot="1" x14ac:dyDescent="0.3">
      <c r="B95" s="109"/>
      <c r="C95" s="292">
        <v>2020</v>
      </c>
      <c r="D95" s="293"/>
      <c r="E95" s="294">
        <v>2021</v>
      </c>
      <c r="F95" s="293"/>
      <c r="G95" s="294">
        <v>2022</v>
      </c>
      <c r="H95" s="293"/>
      <c r="I95" s="294">
        <v>2023</v>
      </c>
      <c r="J95" s="293"/>
      <c r="K95" s="294">
        <v>2024</v>
      </c>
      <c r="L95" s="293"/>
      <c r="M95" s="294">
        <v>2025</v>
      </c>
      <c r="N95" s="295"/>
    </row>
    <row r="96" spans="2:16" ht="16.5" thickTop="1" thickBot="1" x14ac:dyDescent="0.3">
      <c r="B96" s="85"/>
      <c r="C96" s="111" t="s">
        <v>69</v>
      </c>
      <c r="D96" s="112" t="str">
        <f>CONCATENATE("var ",RIGHT(C95,2),"/",RIGHT(C95-1,2))</f>
        <v>var 20/19</v>
      </c>
      <c r="E96" s="113" t="s">
        <v>69</v>
      </c>
      <c r="F96" s="112" t="s">
        <v>324</v>
      </c>
      <c r="G96" s="113" t="s">
        <v>69</v>
      </c>
      <c r="H96" s="112" t="str">
        <f>CONCATENATE("var ",RIGHT(G95,2),"/",RIGHT(E95,2))</f>
        <v>var 22/21</v>
      </c>
      <c r="I96" s="113" t="s">
        <v>69</v>
      </c>
      <c r="J96" s="112" t="str">
        <f>CONCATENATE("var ",RIGHT(I95,2),"/",RIGHT(G95,2))</f>
        <v>var 23/22</v>
      </c>
      <c r="K96" s="113" t="s">
        <v>69</v>
      </c>
      <c r="L96" s="112" t="str">
        <f>CONCATENATE("var ",RIGHT(K95,2),"/",RIGHT(I95,2))</f>
        <v>var 24/23</v>
      </c>
      <c r="M96" s="113" t="s">
        <v>69</v>
      </c>
      <c r="N96" s="112" t="str">
        <f>CONCATENATE("var ",RIGHT(M95,2),"/",RIGHT(K95,2))</f>
        <v>var 25/24</v>
      </c>
    </row>
    <row r="97" spans="2:14" x14ac:dyDescent="0.25">
      <c r="B97" s="114" t="s">
        <v>71</v>
      </c>
      <c r="C97" s="191">
        <v>0.74680000000000002</v>
      </c>
      <c r="D97" s="116">
        <v>-8.8918380889182469E-3</v>
      </c>
      <c r="E97" s="191">
        <v>0.12839999999999999</v>
      </c>
      <c r="F97" s="116">
        <v>-0.82806641671130155</v>
      </c>
      <c r="G97" s="191">
        <v>0.54770000000000008</v>
      </c>
      <c r="H97" s="116">
        <v>3.2655763239875402</v>
      </c>
      <c r="I97" s="191">
        <v>0.72870000000000001</v>
      </c>
      <c r="J97" s="116">
        <v>0.33047288661676077</v>
      </c>
      <c r="K97" s="191">
        <v>0.69540000000000002</v>
      </c>
      <c r="L97" s="116">
        <f t="shared" ref="L97:L109" si="8">IFERROR(K97/I97-1,"-")</f>
        <v>-4.5697818032111925E-2</v>
      </c>
      <c r="M97" s="191">
        <v>0.70499999999999996</v>
      </c>
      <c r="N97" s="116">
        <f t="shared" ref="N97" si="9">IFERROR(M97/K97-1,"-")</f>
        <v>1.380500431406384E-2</v>
      </c>
    </row>
    <row r="98" spans="2:14" x14ac:dyDescent="0.25">
      <c r="B98" s="114" t="s">
        <v>73</v>
      </c>
      <c r="C98" s="191">
        <v>0.65659999999999996</v>
      </c>
      <c r="D98" s="116">
        <v>-7.8067958438640783E-2</v>
      </c>
      <c r="E98" s="191">
        <v>0.1741</v>
      </c>
      <c r="F98" s="116">
        <v>-0.73484617727688084</v>
      </c>
      <c r="G98" s="191">
        <v>0.60609999999999997</v>
      </c>
      <c r="H98" s="116">
        <v>2.481332567489948</v>
      </c>
      <c r="I98" s="191">
        <v>0.74080000000000001</v>
      </c>
      <c r="J98" s="116">
        <v>0.2222405543639665</v>
      </c>
      <c r="K98" s="191">
        <v>0.74750000000000005</v>
      </c>
      <c r="L98" s="116">
        <f t="shared" si="8"/>
        <v>9.0442764578835266E-3</v>
      </c>
      <c r="M98" s="191"/>
      <c r="N98" s="116"/>
    </row>
    <row r="99" spans="2:14" x14ac:dyDescent="0.25">
      <c r="B99" s="114" t="s">
        <v>75</v>
      </c>
      <c r="C99" s="191">
        <v>0.33539999999999998</v>
      </c>
      <c r="D99" s="116">
        <v>-0.50821114369501474</v>
      </c>
      <c r="E99" s="191">
        <v>0.1898</v>
      </c>
      <c r="F99" s="116">
        <v>-0.43410852713178294</v>
      </c>
      <c r="G99" s="191">
        <v>0.59889999999999999</v>
      </c>
      <c r="H99" s="116">
        <v>2.1554267650158061</v>
      </c>
      <c r="I99" s="191">
        <v>0.69359999999999999</v>
      </c>
      <c r="J99" s="116">
        <v>0.15812322591417605</v>
      </c>
      <c r="K99" s="191">
        <v>0.72849999999999993</v>
      </c>
      <c r="L99" s="116">
        <f t="shared" si="8"/>
        <v>5.0317185697808409E-2</v>
      </c>
      <c r="M99" s="191"/>
      <c r="N99" s="116"/>
    </row>
    <row r="100" spans="2:14" x14ac:dyDescent="0.25">
      <c r="B100" s="114" t="s">
        <v>77</v>
      </c>
      <c r="C100" s="191">
        <v>0</v>
      </c>
      <c r="D100" s="116">
        <v>-1</v>
      </c>
      <c r="E100" s="191">
        <v>0.20920000000000002</v>
      </c>
      <c r="F100" s="116" t="s">
        <v>235</v>
      </c>
      <c r="G100" s="191">
        <v>0.57189999999999996</v>
      </c>
      <c r="H100" s="116">
        <v>1.7337476099426383</v>
      </c>
      <c r="I100" s="191">
        <v>0.59079999999999999</v>
      </c>
      <c r="J100" s="116">
        <v>3.3047735618115137E-2</v>
      </c>
      <c r="K100" s="191">
        <v>0.65599999999999992</v>
      </c>
      <c r="L100" s="116">
        <f t="shared" si="8"/>
        <v>0.11035883547731884</v>
      </c>
      <c r="M100" s="191"/>
      <c r="N100" s="116"/>
    </row>
    <row r="101" spans="2:14" x14ac:dyDescent="0.25">
      <c r="B101" s="114" t="s">
        <v>79</v>
      </c>
      <c r="C101" s="191">
        <v>0</v>
      </c>
      <c r="D101" s="116">
        <v>-1</v>
      </c>
      <c r="E101" s="191">
        <v>0.26879999999999998</v>
      </c>
      <c r="F101" s="116" t="s">
        <v>235</v>
      </c>
      <c r="G101" s="191">
        <v>0.44439999999999996</v>
      </c>
      <c r="H101" s="116">
        <v>0.65327380952380953</v>
      </c>
      <c r="I101" s="191">
        <v>0.49170000000000003</v>
      </c>
      <c r="J101" s="116">
        <v>0.10643564356435653</v>
      </c>
      <c r="K101" s="191">
        <v>0.51950000000000007</v>
      </c>
      <c r="L101" s="116">
        <f t="shared" si="8"/>
        <v>5.6538539760016437E-2</v>
      </c>
      <c r="M101" s="191"/>
      <c r="N101" s="116"/>
    </row>
    <row r="102" spans="2:14" x14ac:dyDescent="0.25">
      <c r="B102" s="114" t="s">
        <v>81</v>
      </c>
      <c r="C102" s="191">
        <v>0</v>
      </c>
      <c r="D102" s="116">
        <v>-1</v>
      </c>
      <c r="E102" s="191">
        <v>0.34889999999999999</v>
      </c>
      <c r="F102" s="116" t="s">
        <v>235</v>
      </c>
      <c r="G102" s="191">
        <v>0.5484</v>
      </c>
      <c r="H102" s="116">
        <v>0.57179707652622525</v>
      </c>
      <c r="I102" s="191">
        <v>0.59560000000000002</v>
      </c>
      <c r="J102" s="116">
        <v>8.6068563092633221E-2</v>
      </c>
      <c r="K102" s="191">
        <v>0.63919999999999999</v>
      </c>
      <c r="L102" s="116">
        <f t="shared" si="8"/>
        <v>7.3203492276695759E-2</v>
      </c>
      <c r="M102" s="191"/>
      <c r="N102" s="116"/>
    </row>
    <row r="103" spans="2:14" x14ac:dyDescent="0.25">
      <c r="B103" s="114" t="s">
        <v>83</v>
      </c>
      <c r="C103" s="191">
        <v>0</v>
      </c>
      <c r="D103" s="116">
        <v>-1</v>
      </c>
      <c r="E103" s="191">
        <v>0.46039999999999998</v>
      </c>
      <c r="F103" s="116" t="s">
        <v>235</v>
      </c>
      <c r="G103" s="191">
        <v>0.66310000000000002</v>
      </c>
      <c r="H103" s="116">
        <v>0.44026933101650756</v>
      </c>
      <c r="I103" s="191">
        <v>0.68840000000000001</v>
      </c>
      <c r="J103" s="116">
        <v>3.8154124566430303E-2</v>
      </c>
      <c r="K103" s="191">
        <v>0.7591</v>
      </c>
      <c r="L103" s="116">
        <f t="shared" si="8"/>
        <v>0.10270191748983137</v>
      </c>
      <c r="M103" s="191"/>
      <c r="N103" s="116"/>
    </row>
    <row r="104" spans="2:14" x14ac:dyDescent="0.25">
      <c r="B104" s="114" t="s">
        <v>85</v>
      </c>
      <c r="C104" s="191">
        <v>0.30469999999999997</v>
      </c>
      <c r="D104" s="116">
        <v>-0.53812338941943305</v>
      </c>
      <c r="E104" s="191">
        <v>0.53900000000000003</v>
      </c>
      <c r="F104" s="116">
        <v>0.76895306859205803</v>
      </c>
      <c r="G104" s="191">
        <v>0.63380000000000003</v>
      </c>
      <c r="H104" s="116">
        <v>0.1758812615955474</v>
      </c>
      <c r="I104" s="191">
        <v>0.60450000000000004</v>
      </c>
      <c r="J104" s="116">
        <v>-4.6229094351530442E-2</v>
      </c>
      <c r="K104" s="191">
        <v>0.80459999999999998</v>
      </c>
      <c r="L104" s="116">
        <f t="shared" si="8"/>
        <v>0.33101736972704709</v>
      </c>
      <c r="M104" s="191"/>
      <c r="N104" s="116"/>
    </row>
    <row r="105" spans="2:14" x14ac:dyDescent="0.25">
      <c r="B105" s="114" t="s">
        <v>87</v>
      </c>
      <c r="C105" s="191">
        <v>0.2145</v>
      </c>
      <c r="D105" s="116">
        <v>-0.62695652173913041</v>
      </c>
      <c r="E105" s="191">
        <v>0.50109999999999999</v>
      </c>
      <c r="F105" s="116">
        <v>1.3361305361305362</v>
      </c>
      <c r="G105" s="191">
        <v>0.47960000000000003</v>
      </c>
      <c r="H105" s="116">
        <v>-4.2905607663140999E-2</v>
      </c>
      <c r="I105" s="191">
        <v>0.61450000000000005</v>
      </c>
      <c r="J105" s="116">
        <v>0.28127606338615507</v>
      </c>
      <c r="K105" s="191">
        <v>0.74120000000000008</v>
      </c>
      <c r="L105" s="116">
        <f t="shared" si="8"/>
        <v>0.20618388934092757</v>
      </c>
      <c r="M105" s="191"/>
      <c r="N105" s="116"/>
    </row>
    <row r="106" spans="2:14" x14ac:dyDescent="0.25">
      <c r="B106" s="114" t="s">
        <v>89</v>
      </c>
      <c r="C106" s="191">
        <v>0.16219999999999998</v>
      </c>
      <c r="D106" s="116">
        <v>-0.69851301115241626</v>
      </c>
      <c r="E106" s="191">
        <v>0.51880000000000004</v>
      </c>
      <c r="F106" s="116">
        <v>2.1985203452527751</v>
      </c>
      <c r="G106" s="191">
        <v>0.56979999999999997</v>
      </c>
      <c r="H106" s="116">
        <v>9.8303777949113158E-2</v>
      </c>
      <c r="I106" s="191">
        <v>0.56320000000000003</v>
      </c>
      <c r="J106" s="116">
        <v>-1.1583011583011449E-2</v>
      </c>
      <c r="K106" s="191">
        <v>0.64790000000000003</v>
      </c>
      <c r="L106" s="116">
        <f t="shared" si="8"/>
        <v>0.150390625</v>
      </c>
      <c r="M106" s="191"/>
      <c r="N106" s="116"/>
    </row>
    <row r="107" spans="2:14" x14ac:dyDescent="0.25">
      <c r="B107" s="114" t="s">
        <v>91</v>
      </c>
      <c r="C107" s="191">
        <v>0.1744</v>
      </c>
      <c r="D107" s="116">
        <v>-0.73931240657698061</v>
      </c>
      <c r="E107" s="191">
        <v>0.52800000000000002</v>
      </c>
      <c r="F107" s="116">
        <v>2.0275229357798166</v>
      </c>
      <c r="G107" s="191">
        <v>0.66090000000000004</v>
      </c>
      <c r="H107" s="116">
        <v>0.25170454545454546</v>
      </c>
      <c r="I107" s="191">
        <v>0.69450000000000001</v>
      </c>
      <c r="J107" s="116">
        <v>5.0839763958238748E-2</v>
      </c>
      <c r="K107" s="191">
        <v>0.70180000000000009</v>
      </c>
      <c r="L107" s="116">
        <f t="shared" si="8"/>
        <v>1.0511159107271517E-2</v>
      </c>
      <c r="M107" s="191"/>
      <c r="N107" s="116"/>
    </row>
    <row r="108" spans="2:14" x14ac:dyDescent="0.25">
      <c r="B108" s="114" t="s">
        <v>93</v>
      </c>
      <c r="C108" s="191">
        <v>0.20399999999999999</v>
      </c>
      <c r="D108" s="116">
        <v>-0.6989818503762727</v>
      </c>
      <c r="E108" s="191">
        <v>0.55759999999999998</v>
      </c>
      <c r="F108" s="116">
        <v>1.7333333333333334</v>
      </c>
      <c r="G108" s="191">
        <v>0.68209999999999993</v>
      </c>
      <c r="H108" s="116">
        <v>0.22327833572453359</v>
      </c>
      <c r="I108" s="191">
        <v>0.68709999999999993</v>
      </c>
      <c r="J108" s="116">
        <v>7.3303034745637596E-3</v>
      </c>
      <c r="K108" s="191">
        <v>0.68840000000000001</v>
      </c>
      <c r="L108" s="116">
        <f t="shared" si="8"/>
        <v>1.8920098966672683E-3</v>
      </c>
      <c r="M108" s="191"/>
      <c r="N108" s="116"/>
    </row>
    <row r="109" spans="2:14" ht="15.75" x14ac:dyDescent="0.25">
      <c r="B109" s="117" t="s">
        <v>30</v>
      </c>
      <c r="C109" s="198">
        <v>0.23321666666666666</v>
      </c>
      <c r="D109" s="119">
        <v>-0.63795133184129171</v>
      </c>
      <c r="E109" s="198">
        <v>0.36867500000000003</v>
      </c>
      <c r="F109" s="119">
        <v>0.5808261273493891</v>
      </c>
      <c r="G109" s="198">
        <v>0.58389166666666659</v>
      </c>
      <c r="H109" s="119">
        <v>0.58375714834655601</v>
      </c>
      <c r="I109" s="198">
        <v>0.64111666666666667</v>
      </c>
      <c r="J109" s="119">
        <v>9.8006194071388997E-2</v>
      </c>
      <c r="K109" s="198">
        <f>IFERROR(AVERAGE(K97:K108),"-")</f>
        <v>0.69409166666666666</v>
      </c>
      <c r="L109" s="119">
        <f t="shared" si="8"/>
        <v>8.2629266644136612E-2</v>
      </c>
      <c r="M109" s="198"/>
      <c r="N109" s="119"/>
    </row>
    <row r="110" spans="2:14" ht="6" customHeight="1" x14ac:dyDescent="0.25"/>
    <row r="111" spans="2:14" x14ac:dyDescent="0.25">
      <c r="B111" s="105" t="s">
        <v>55</v>
      </c>
      <c r="C111" s="105"/>
      <c r="D111" s="105"/>
      <c r="E111" s="105"/>
      <c r="F111" s="105"/>
      <c r="G111" s="105"/>
      <c r="H111" s="105"/>
      <c r="I111" s="105"/>
      <c r="J111" s="105"/>
      <c r="K111" s="105"/>
      <c r="L111" s="105"/>
      <c r="M111" s="105"/>
      <c r="N111" s="105"/>
    </row>
    <row r="112" spans="2:14" x14ac:dyDescent="0.25">
      <c r="C112" s="194"/>
      <c r="K112" s="194"/>
      <c r="L112" s="194"/>
    </row>
  </sheetData>
  <mergeCells count="41">
    <mergeCell ref="E51:F51"/>
    <mergeCell ref="G51:H51"/>
    <mergeCell ref="O21:O24"/>
    <mergeCell ref="B26:N26"/>
    <mergeCell ref="C28:N28"/>
    <mergeCell ref="B48:N48"/>
    <mergeCell ref="C50:N50"/>
    <mergeCell ref="C29:D29"/>
    <mergeCell ref="E29:F29"/>
    <mergeCell ref="G29:H29"/>
    <mergeCell ref="I29:J29"/>
    <mergeCell ref="B4:N4"/>
    <mergeCell ref="C6:N6"/>
    <mergeCell ref="C7:D7"/>
    <mergeCell ref="E7:F7"/>
    <mergeCell ref="G7:H7"/>
    <mergeCell ref="I7:J7"/>
    <mergeCell ref="K7:L7"/>
    <mergeCell ref="M7:N7"/>
    <mergeCell ref="C95:D95"/>
    <mergeCell ref="E95:F95"/>
    <mergeCell ref="G95:H95"/>
    <mergeCell ref="I95:J95"/>
    <mergeCell ref="K29:L29"/>
    <mergeCell ref="K95:L95"/>
    <mergeCell ref="I51:J51"/>
    <mergeCell ref="C73:D73"/>
    <mergeCell ref="E73:F73"/>
    <mergeCell ref="G73:H73"/>
    <mergeCell ref="I73:J73"/>
    <mergeCell ref="C72:N72"/>
    <mergeCell ref="B92:N92"/>
    <mergeCell ref="C94:N94"/>
    <mergeCell ref="B70:N70"/>
    <mergeCell ref="C51:D51"/>
    <mergeCell ref="M95:N95"/>
    <mergeCell ref="M29:N29"/>
    <mergeCell ref="K51:L51"/>
    <mergeCell ref="M51:N51"/>
    <mergeCell ref="K73:L73"/>
    <mergeCell ref="M73:N73"/>
  </mergeCells>
  <pageMargins left="0.7" right="0.7" top="0.75" bottom="0.75" header="0.3" footer="0.3"/>
  <pageSetup paperSize="9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EB7911-217A-4572-B73A-967875D3FAF9}">
  <sheetPr codeName="Hoja34">
    <tabColor theme="2" tint="-0.499984740745262"/>
  </sheetPr>
  <dimension ref="B4:B25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spans="2:2" ht="15" customHeight="1" x14ac:dyDescent="0.25"/>
    <row r="18" spans="2:2" ht="15" customHeight="1" x14ac:dyDescent="0.25"/>
    <row r="19" spans="2:2" ht="15" customHeight="1" x14ac:dyDescent="0.25"/>
    <row r="20" spans="2:2" ht="15" customHeight="1" x14ac:dyDescent="0.25"/>
    <row r="21" spans="2:2" ht="15" customHeight="1" x14ac:dyDescent="0.25"/>
    <row r="22" spans="2:2" ht="15" customHeight="1" x14ac:dyDescent="0.25"/>
    <row r="23" spans="2:2" ht="15" customHeight="1" x14ac:dyDescent="0.25"/>
    <row r="24" spans="2:2" ht="15" customHeight="1" x14ac:dyDescent="0.25"/>
    <row r="25" spans="2:2" x14ac:dyDescent="0.25">
      <c r="B25" t="s">
        <v>161</v>
      </c>
    </row>
  </sheetData>
  <pageMargins left="0.7" right="0.7" top="0.75" bottom="0.75" header="0.3" footer="0.3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3F837D-7439-40DF-9126-CAA14C00225C}">
  <sheetPr codeName="Hoja35">
    <tabColor theme="2" tint="-9.9978637043366805E-2"/>
  </sheetPr>
  <dimension ref="B1:AW44"/>
  <sheetViews>
    <sheetView showGridLines="0" workbookViewId="0"/>
  </sheetViews>
  <sheetFormatPr baseColWidth="10" defaultRowHeight="15" x14ac:dyDescent="0.25"/>
  <cols>
    <col min="1" max="1" width="15.5703125" customWidth="1"/>
    <col min="2" max="2" width="24" customWidth="1"/>
    <col min="3" max="3" width="13.42578125" customWidth="1"/>
    <col min="4" max="4" width="16" customWidth="1"/>
    <col min="5" max="5" width="18.42578125" customWidth="1"/>
    <col min="6" max="6" width="15.42578125" customWidth="1"/>
    <col min="7" max="7" width="16.42578125" customWidth="1"/>
    <col min="8" max="8" width="16" customWidth="1"/>
    <col min="9" max="9" width="11" customWidth="1"/>
    <col min="10" max="10" width="13.85546875" customWidth="1"/>
    <col min="11" max="11" width="11" customWidth="1"/>
    <col min="12" max="14" width="11.42578125" customWidth="1"/>
    <col min="16" max="16" width="25" customWidth="1"/>
    <col min="17" max="17" width="11.28515625" customWidth="1"/>
    <col min="18" max="18" width="14.85546875" customWidth="1"/>
    <col min="19" max="19" width="14.42578125" customWidth="1"/>
    <col min="20" max="21" width="14.28515625" customWidth="1"/>
    <col min="22" max="22" width="14.42578125" customWidth="1"/>
    <col min="23" max="23" width="15" customWidth="1"/>
    <col min="24" max="24" width="11.42578125" customWidth="1"/>
    <col min="25" max="25" width="14.85546875" customWidth="1"/>
    <col min="26" max="26" width="11.42578125" customWidth="1"/>
    <col min="27" max="27" width="12.42578125" customWidth="1"/>
    <col min="28" max="28" width="10.85546875" customWidth="1"/>
    <col min="29" max="29" width="9.85546875" customWidth="1"/>
    <col min="30" max="30" width="14.5703125" customWidth="1"/>
    <col min="31" max="31" width="28.42578125" customWidth="1"/>
    <col min="32" max="36" width="17.7109375" customWidth="1"/>
    <col min="37" max="37" width="9.28515625" customWidth="1"/>
    <col min="38" max="38" width="14.140625" customWidth="1"/>
    <col min="39" max="39" width="7.85546875" customWidth="1"/>
    <col min="40" max="44" width="14.42578125" hidden="1" customWidth="1"/>
    <col min="45" max="45" width="9.85546875" hidden="1" customWidth="1"/>
    <col min="46" max="46" width="13" hidden="1" customWidth="1"/>
    <col min="47" max="47" width="9.5703125" hidden="1" customWidth="1"/>
    <col min="48" max="48" width="11.85546875" hidden="1" customWidth="1"/>
    <col min="49" max="49" width="9" hidden="1" customWidth="1"/>
  </cols>
  <sheetData>
    <row r="1" spans="2:48" ht="42.75" customHeight="1" x14ac:dyDescent="0.25"/>
    <row r="3" spans="2:48" x14ac:dyDescent="0.25">
      <c r="N3" s="199"/>
    </row>
    <row r="5" spans="2:48" ht="50.25" customHeight="1" thickBot="1" x14ac:dyDescent="0.3">
      <c r="B5" s="265" t="s">
        <v>162</v>
      </c>
      <c r="C5" s="265"/>
      <c r="D5" s="265"/>
      <c r="E5" s="265"/>
      <c r="F5" s="265"/>
      <c r="G5" s="265"/>
      <c r="H5" s="265"/>
      <c r="I5" s="265"/>
      <c r="J5" s="265"/>
      <c r="K5" s="265"/>
      <c r="L5" s="265"/>
      <c r="M5" s="265"/>
      <c r="N5" s="265"/>
      <c r="P5" s="265" t="s">
        <v>163</v>
      </c>
      <c r="Q5" s="265"/>
      <c r="R5" s="265"/>
      <c r="S5" s="265"/>
      <c r="T5" s="265"/>
      <c r="U5" s="265"/>
      <c r="V5" s="265"/>
      <c r="W5" s="265"/>
      <c r="X5" s="265"/>
      <c r="Y5" s="265"/>
      <c r="Z5" s="265"/>
      <c r="AA5" s="265"/>
      <c r="AB5" s="265"/>
      <c r="AD5" s="265" t="s">
        <v>164</v>
      </c>
      <c r="AE5" s="265"/>
      <c r="AF5" s="265"/>
      <c r="AG5" s="265"/>
      <c r="AH5" s="265"/>
      <c r="AI5" s="265"/>
      <c r="AJ5" s="265"/>
      <c r="AK5" s="265"/>
      <c r="AL5" s="265"/>
      <c r="AM5" s="265"/>
      <c r="AN5" s="265"/>
      <c r="AO5" s="265"/>
      <c r="AP5" s="265"/>
      <c r="AQ5" s="265"/>
      <c r="AR5" s="265"/>
      <c r="AS5" s="265"/>
      <c r="AT5" s="265"/>
      <c r="AU5" s="140"/>
      <c r="AV5" s="140"/>
    </row>
    <row r="6" spans="2:48" ht="6" customHeight="1" thickBot="1" x14ac:dyDescent="0.3">
      <c r="B6" s="83"/>
      <c r="C6" s="83"/>
      <c r="D6" s="83"/>
      <c r="E6" s="83"/>
      <c r="F6" s="83"/>
      <c r="G6" s="83"/>
      <c r="H6" s="83"/>
      <c r="I6" s="83"/>
      <c r="J6" s="83"/>
      <c r="K6" s="83"/>
      <c r="L6" s="83"/>
      <c r="M6" s="84"/>
      <c r="N6" s="84"/>
      <c r="P6" s="83"/>
      <c r="Q6" s="83"/>
      <c r="R6" s="83"/>
      <c r="S6" s="83"/>
      <c r="T6" s="83"/>
      <c r="U6" s="83"/>
      <c r="V6" s="83"/>
      <c r="W6" s="83"/>
      <c r="X6" s="83"/>
      <c r="Y6" s="83"/>
      <c r="Z6" s="83"/>
      <c r="AA6" s="84"/>
      <c r="AB6" s="84"/>
      <c r="AD6" s="84"/>
      <c r="AE6" s="84"/>
      <c r="AF6" s="84"/>
      <c r="AG6" s="84"/>
      <c r="AH6" s="84"/>
      <c r="AI6" s="84"/>
      <c r="AJ6" s="84"/>
      <c r="AK6" s="84"/>
      <c r="AL6" s="84"/>
      <c r="AM6" s="84"/>
      <c r="AN6" s="84"/>
      <c r="AO6" s="84"/>
      <c r="AP6" s="84"/>
      <c r="AQ6" s="84"/>
      <c r="AR6" s="84"/>
      <c r="AS6" s="84"/>
      <c r="AT6" s="84"/>
      <c r="AU6" s="84"/>
      <c r="AV6" s="84"/>
    </row>
    <row r="7" spans="2:48" ht="51.75" customHeight="1" thickBot="1" x14ac:dyDescent="0.3">
      <c r="B7" s="85"/>
      <c r="C7" s="200" t="s">
        <v>261</v>
      </c>
      <c r="D7" s="200" t="s">
        <v>262</v>
      </c>
      <c r="E7" s="200" t="s">
        <v>263</v>
      </c>
      <c r="F7" s="90" t="s">
        <v>264</v>
      </c>
      <c r="G7" s="90" t="s">
        <v>265</v>
      </c>
      <c r="H7" s="14" t="str">
        <f>CONCATENATE("var. ",RIGHT(G7,2),"/",RIGHT(F7,2))</f>
        <v>var. 25/24</v>
      </c>
      <c r="I7" s="200" t="s">
        <v>224</v>
      </c>
      <c r="J7" s="201" t="s">
        <v>225</v>
      </c>
      <c r="K7" s="201" t="s">
        <v>226</v>
      </c>
      <c r="L7" s="13" t="s">
        <v>227</v>
      </c>
      <c r="M7" s="13" t="s">
        <v>228</v>
      </c>
      <c r="N7" s="14" t="str">
        <f>CONCATENATE("var. ",RIGHT(M7,2),"/",RIGHT(L7,2))</f>
        <v>var. 25/24</v>
      </c>
      <c r="P7" s="85"/>
      <c r="Q7" s="200" t="s">
        <v>261</v>
      </c>
      <c r="R7" s="201" t="s">
        <v>262</v>
      </c>
      <c r="S7" s="201" t="s">
        <v>263</v>
      </c>
      <c r="T7" s="90" t="s">
        <v>264</v>
      </c>
      <c r="U7" s="90" t="s">
        <v>265</v>
      </c>
      <c r="V7" s="14" t="str">
        <f>CONCATENATE("var. ",RIGHT(U7,2),"/",RIGHT(T7,2))</f>
        <v>var. 25/24</v>
      </c>
      <c r="W7" s="200" t="s">
        <v>224</v>
      </c>
      <c r="X7" s="200" t="s">
        <v>225</v>
      </c>
      <c r="Y7" s="200" t="s">
        <v>226</v>
      </c>
      <c r="Z7" s="13" t="s">
        <v>227</v>
      </c>
      <c r="AA7" s="13" t="s">
        <v>228</v>
      </c>
      <c r="AB7" s="14" t="str">
        <f>CONCATENATE("var. ",RIGHT(AA7,2),"/",RIGHT(Z7,2))</f>
        <v>var. 25/24</v>
      </c>
      <c r="AD7" s="85"/>
      <c r="AE7" s="200" t="s">
        <v>261</v>
      </c>
      <c r="AF7" s="201" t="s">
        <v>262</v>
      </c>
      <c r="AG7" s="201" t="s">
        <v>263</v>
      </c>
      <c r="AH7" s="90" t="s">
        <v>264</v>
      </c>
      <c r="AI7" s="90" t="s">
        <v>265</v>
      </c>
      <c r="AJ7" s="14" t="str">
        <f>CONCATENATE("var. ",RIGHT(AI7,2),"/",RIGHT(AH7,2))</f>
        <v>var. 25/24</v>
      </c>
      <c r="AK7" s="202" t="str">
        <f>CONCATENATE("dif. ",RIGHT(AI7,2),"/",RIGHT(AH7,2))</f>
        <v>dif. 25/24</v>
      </c>
      <c r="AL7" s="203" t="str">
        <f>CONCATENATE("cuota ",RIGHT(AI7,2))</f>
        <v>cuota 25</v>
      </c>
      <c r="AM7" s="200" t="s">
        <v>224</v>
      </c>
      <c r="AN7" s="201" t="s">
        <v>225</v>
      </c>
      <c r="AO7" s="201" t="s">
        <v>226</v>
      </c>
      <c r="AP7" s="13" t="s">
        <v>227</v>
      </c>
      <c r="AQ7" s="13" t="s">
        <v>228</v>
      </c>
      <c r="AR7" s="14" t="str">
        <f>CONCATENATE("var. ",RIGHT(AQ7,2),"/",RIGHT(AP7,2))</f>
        <v>var. 25/24</v>
      </c>
      <c r="AS7" s="202" t="str">
        <f>CONCATENATE("dif. ",RIGHT(AQ7,2),"/",RIGHT(AP7,2))</f>
        <v>dif. 25/24</v>
      </c>
      <c r="AT7" s="202" t="str">
        <f>CONCATENATE("var. ",RIGHT(AQ7,2),"/",RIGHT(AM7,2))</f>
        <v>var. 25/21</v>
      </c>
      <c r="AU7" s="202" t="str">
        <f>CONCATENATE("dif. ",RIGHT(AQ7,2),"/",RIGHT(AM7,2))</f>
        <v>dif. 25/21</v>
      </c>
      <c r="AV7" s="203" t="str">
        <f>CONCATENATE("cuota ",RIGHT(AQ7,2))</f>
        <v>cuota 25</v>
      </c>
    </row>
    <row r="8" spans="2:48" ht="15.75" x14ac:dyDescent="0.25">
      <c r="B8" s="204" t="s">
        <v>43</v>
      </c>
      <c r="C8" s="205">
        <v>87.93</v>
      </c>
      <c r="D8" s="206">
        <v>105.47</v>
      </c>
      <c r="E8" s="206">
        <v>113.84</v>
      </c>
      <c r="F8" s="207">
        <v>130.28</v>
      </c>
      <c r="G8" s="206">
        <v>139.81</v>
      </c>
      <c r="H8" s="130">
        <f>G8/F8-1</f>
        <v>7.3150138163954548E-2</v>
      </c>
      <c r="I8" s="205">
        <v>87.93</v>
      </c>
      <c r="J8" s="208">
        <v>105.47</v>
      </c>
      <c r="K8" s="208">
        <v>2633.1100000000006</v>
      </c>
      <c r="L8" s="208">
        <v>3002.4699999999993</v>
      </c>
      <c r="M8" s="208">
        <v>3293.57</v>
      </c>
      <c r="N8" s="130">
        <f t="shared" ref="N8:N18" si="0">M8/L8-1</f>
        <v>9.6953508278184497E-2</v>
      </c>
      <c r="P8" s="204" t="s">
        <v>43</v>
      </c>
      <c r="Q8" s="205">
        <v>16.13</v>
      </c>
      <c r="R8" s="207">
        <v>65.180000000000007</v>
      </c>
      <c r="S8" s="207">
        <v>97.69</v>
      </c>
      <c r="T8" s="207">
        <v>114.18</v>
      </c>
      <c r="U8" s="207">
        <v>121.68000000000002</v>
      </c>
      <c r="V8" s="130">
        <f t="shared" ref="V8:V18" si="1">U8/T8-1</f>
        <v>6.5685759327377857E-2</v>
      </c>
      <c r="W8" s="205">
        <v>16.13</v>
      </c>
      <c r="X8" s="208">
        <v>65.180000000000007</v>
      </c>
      <c r="Y8" s="208">
        <v>2194.2100000000005</v>
      </c>
      <c r="Z8" s="208">
        <v>2607.77</v>
      </c>
      <c r="AA8" s="208">
        <v>2852.4500000000003</v>
      </c>
      <c r="AB8" s="130">
        <f t="shared" ref="AB8:AB18" si="2">AA8/Z8-1</f>
        <v>9.3827293051151006E-2</v>
      </c>
      <c r="AD8" s="63" t="s">
        <v>43</v>
      </c>
      <c r="AE8" s="209">
        <v>11449189.720000001</v>
      </c>
      <c r="AF8" s="129">
        <v>101902668.2</v>
      </c>
      <c r="AG8" s="129">
        <v>162652524.09999999</v>
      </c>
      <c r="AH8" s="129">
        <v>189848565.49000001</v>
      </c>
      <c r="AI8" s="129">
        <v>203423839.31</v>
      </c>
      <c r="AJ8" s="130">
        <f t="shared" ref="AJ8:AJ18" si="3">AI8/AH8-1</f>
        <v>7.150580139998497E-2</v>
      </c>
      <c r="AK8" s="129">
        <f t="shared" ref="AK8:AK18" si="4">AI8-AH8</f>
        <v>13575273.819999993</v>
      </c>
      <c r="AL8" s="131">
        <f t="shared" ref="AL8:AL18" si="5">AI8/AI$8</f>
        <v>1</v>
      </c>
      <c r="AM8" s="210">
        <v>11449189.720000001</v>
      </c>
      <c r="AN8" s="211">
        <v>101902668.2</v>
      </c>
      <c r="AO8" s="211">
        <v>487957572.31999999</v>
      </c>
      <c r="AP8" s="211">
        <v>569545696.44000006</v>
      </c>
      <c r="AQ8" s="211">
        <v>610271517.92999995</v>
      </c>
      <c r="AR8" s="130">
        <f t="shared" ref="AR8:AR18" si="6">AQ8/AP8-1</f>
        <v>7.1505801456424933E-2</v>
      </c>
      <c r="AS8" s="129">
        <f t="shared" ref="AS8:AS18" si="7">AQ8-AP8</f>
        <v>40725821.48999989</v>
      </c>
      <c r="AT8" s="130">
        <f t="shared" ref="AT8:AT18" si="8">AQ8/AM8-1</f>
        <v>52.302594581339498</v>
      </c>
      <c r="AU8" s="129">
        <f t="shared" ref="AU8:AU18" si="9">AQ8-AM8</f>
        <v>598822328.20999992</v>
      </c>
      <c r="AV8" s="131">
        <f t="shared" ref="AV8:AV18" si="10">AQ8/AQ$8</f>
        <v>1</v>
      </c>
    </row>
    <row r="9" spans="2:48" x14ac:dyDescent="0.25">
      <c r="B9" s="15" t="s">
        <v>44</v>
      </c>
      <c r="C9" s="212">
        <v>116.06</v>
      </c>
      <c r="D9" s="213">
        <v>135.83000000000001</v>
      </c>
      <c r="E9" s="213">
        <v>143.35</v>
      </c>
      <c r="F9" s="213">
        <v>159.43</v>
      </c>
      <c r="G9" s="213">
        <v>167.71</v>
      </c>
      <c r="H9" s="74">
        <f>G9/F9-1</f>
        <v>5.1935018503418418E-2</v>
      </c>
      <c r="I9" s="212">
        <v>116.06</v>
      </c>
      <c r="J9" s="213">
        <v>135.83000000000001</v>
      </c>
      <c r="K9" s="213">
        <v>143.35</v>
      </c>
      <c r="L9" s="213">
        <v>159.43</v>
      </c>
      <c r="M9" s="213">
        <v>167.71</v>
      </c>
      <c r="N9" s="74">
        <f t="shared" si="0"/>
        <v>5.1935018503418418E-2</v>
      </c>
      <c r="P9" s="15" t="s">
        <v>44</v>
      </c>
      <c r="Q9" s="212">
        <v>22.61</v>
      </c>
      <c r="R9" s="213">
        <v>87.98</v>
      </c>
      <c r="S9" s="213">
        <v>125.75000000000001</v>
      </c>
      <c r="T9" s="213">
        <v>140.99</v>
      </c>
      <c r="U9" s="213">
        <v>149.38999999999999</v>
      </c>
      <c r="V9" s="74">
        <f t="shared" si="1"/>
        <v>5.957869352436318E-2</v>
      </c>
      <c r="W9" s="212">
        <v>22.61</v>
      </c>
      <c r="X9" s="213">
        <v>87.98</v>
      </c>
      <c r="Y9" s="213">
        <v>125.75</v>
      </c>
      <c r="Z9" s="213">
        <v>140.99</v>
      </c>
      <c r="AA9" s="213">
        <v>149.38999999999999</v>
      </c>
      <c r="AB9" s="74">
        <f t="shared" si="2"/>
        <v>5.957869352436318E-2</v>
      </c>
      <c r="AD9" s="15" t="s">
        <v>44</v>
      </c>
      <c r="AE9" s="214">
        <v>5408755.3099999996</v>
      </c>
      <c r="AF9" s="52">
        <v>49794861.5</v>
      </c>
      <c r="AG9" s="52">
        <v>76810128.819999993</v>
      </c>
      <c r="AH9" s="52">
        <v>87467776.670000002</v>
      </c>
      <c r="AI9" s="52">
        <v>90587056.909999996</v>
      </c>
      <c r="AJ9" s="74">
        <f t="shared" si="3"/>
        <v>3.5662050171555881E-2</v>
      </c>
      <c r="AK9" s="52">
        <f t="shared" si="4"/>
        <v>3119280.2399999946</v>
      </c>
      <c r="AL9" s="98">
        <f t="shared" si="5"/>
        <v>0.4453119025639532</v>
      </c>
      <c r="AM9" s="215">
        <v>5408755.3099999996</v>
      </c>
      <c r="AN9" s="216">
        <v>49794861.5</v>
      </c>
      <c r="AO9" s="216">
        <v>76810128.819999993</v>
      </c>
      <c r="AP9" s="216">
        <v>87467776.670000002</v>
      </c>
      <c r="AQ9" s="216">
        <v>90587056.909999996</v>
      </c>
      <c r="AR9" s="74">
        <f t="shared" si="6"/>
        <v>3.5662050171555881E-2</v>
      </c>
      <c r="AS9" s="52">
        <f t="shared" si="7"/>
        <v>3119280.2399999946</v>
      </c>
      <c r="AT9" s="74">
        <f t="shared" si="8"/>
        <v>15.748226110824007</v>
      </c>
      <c r="AU9" s="52">
        <f t="shared" si="9"/>
        <v>85178301.599999994</v>
      </c>
      <c r="AV9" s="98">
        <f t="shared" si="10"/>
        <v>0.14843730085465109</v>
      </c>
    </row>
    <row r="10" spans="2:48" x14ac:dyDescent="0.25">
      <c r="B10" s="19" t="s">
        <v>45</v>
      </c>
      <c r="C10" s="212">
        <v>67.23</v>
      </c>
      <c r="D10" s="213">
        <v>95.519999999999982</v>
      </c>
      <c r="E10" s="213">
        <v>103.14</v>
      </c>
      <c r="F10" s="213">
        <v>118.92</v>
      </c>
      <c r="G10" s="213">
        <v>129.65</v>
      </c>
      <c r="H10" s="74">
        <f>G10/F10-1</f>
        <v>9.02287251934073E-2</v>
      </c>
      <c r="I10" s="212">
        <v>67.23</v>
      </c>
      <c r="J10" s="213">
        <v>95.52</v>
      </c>
      <c r="K10" s="213">
        <v>103.14</v>
      </c>
      <c r="L10" s="213">
        <v>118.92</v>
      </c>
      <c r="M10" s="213">
        <v>129.65</v>
      </c>
      <c r="N10" s="74">
        <f t="shared" si="0"/>
        <v>9.02287251934073E-2</v>
      </c>
      <c r="P10" s="19" t="s">
        <v>45</v>
      </c>
      <c r="Q10" s="212">
        <v>8.66</v>
      </c>
      <c r="R10" s="213">
        <v>60.81</v>
      </c>
      <c r="S10" s="213">
        <v>87.57</v>
      </c>
      <c r="T10" s="213">
        <v>104.43</v>
      </c>
      <c r="U10" s="213">
        <v>112.2</v>
      </c>
      <c r="V10" s="74">
        <f t="shared" si="1"/>
        <v>7.4403906923297791E-2</v>
      </c>
      <c r="W10" s="212">
        <v>8.66</v>
      </c>
      <c r="X10" s="213">
        <v>60.81</v>
      </c>
      <c r="Y10" s="213">
        <v>87.57</v>
      </c>
      <c r="Z10" s="213">
        <v>104.43</v>
      </c>
      <c r="AA10" s="213">
        <v>112.2</v>
      </c>
      <c r="AB10" s="74">
        <f t="shared" si="2"/>
        <v>7.4403906923297791E-2</v>
      </c>
      <c r="AD10" s="19" t="s">
        <v>45</v>
      </c>
      <c r="AE10" s="214">
        <v>1655019.23</v>
      </c>
      <c r="AF10" s="52">
        <v>26621450.43</v>
      </c>
      <c r="AG10" s="52">
        <v>40744112.909999996</v>
      </c>
      <c r="AH10" s="52">
        <v>46862147.049999997</v>
      </c>
      <c r="AI10" s="52">
        <v>52278162.850000001</v>
      </c>
      <c r="AJ10" s="74">
        <f t="shared" si="3"/>
        <v>0.11557336018388864</v>
      </c>
      <c r="AK10" s="52">
        <f t="shared" si="4"/>
        <v>5416015.8000000045</v>
      </c>
      <c r="AL10" s="98">
        <f t="shared" si="5"/>
        <v>0.2569913291742208</v>
      </c>
      <c r="AM10" s="215">
        <v>1655019.23</v>
      </c>
      <c r="AN10" s="216">
        <v>26621450.43</v>
      </c>
      <c r="AO10" s="216">
        <v>40744112.909999996</v>
      </c>
      <c r="AP10" s="216">
        <v>46862147.049999997</v>
      </c>
      <c r="AQ10" s="216">
        <v>52278162.850000001</v>
      </c>
      <c r="AR10" s="74">
        <f t="shared" si="6"/>
        <v>0.11557336018388864</v>
      </c>
      <c r="AS10" s="52">
        <f t="shared" si="7"/>
        <v>5416015.8000000045</v>
      </c>
      <c r="AT10" s="74">
        <f t="shared" si="8"/>
        <v>30.587646779185764</v>
      </c>
      <c r="AU10" s="52">
        <f t="shared" si="9"/>
        <v>50623143.620000005</v>
      </c>
      <c r="AV10" s="98">
        <f t="shared" si="10"/>
        <v>8.5663776391406932E-2</v>
      </c>
    </row>
    <row r="11" spans="2:48" x14ac:dyDescent="0.25">
      <c r="B11" s="19" t="s">
        <v>46</v>
      </c>
      <c r="C11" s="212">
        <v>54.51</v>
      </c>
      <c r="D11" s="213">
        <v>76.489999999999995</v>
      </c>
      <c r="E11" s="213">
        <v>78.790000000000006</v>
      </c>
      <c r="F11" s="213">
        <v>102.68</v>
      </c>
      <c r="G11" s="213">
        <v>118.34999999999998</v>
      </c>
      <c r="H11" s="74">
        <f>G11/F11-1</f>
        <v>0.15261005064277344</v>
      </c>
      <c r="I11" s="212">
        <v>54.51</v>
      </c>
      <c r="J11" s="213">
        <v>76.489999999999995</v>
      </c>
      <c r="K11" s="213">
        <v>78.790000000000006</v>
      </c>
      <c r="L11" s="213">
        <v>102.68</v>
      </c>
      <c r="M11" s="213">
        <v>118.35</v>
      </c>
      <c r="N11" s="74">
        <f t="shared" si="0"/>
        <v>0.15261005064277344</v>
      </c>
      <c r="P11" s="19" t="s">
        <v>46</v>
      </c>
      <c r="Q11" s="212">
        <v>16.559999999999999</v>
      </c>
      <c r="R11" s="213">
        <v>58.460000000000008</v>
      </c>
      <c r="S11" s="213">
        <v>64.33</v>
      </c>
      <c r="T11" s="213">
        <v>93.41</v>
      </c>
      <c r="U11" s="213">
        <v>92.02</v>
      </c>
      <c r="V11" s="74">
        <f t="shared" si="1"/>
        <v>-1.4880633765121498E-2</v>
      </c>
      <c r="W11" s="212">
        <v>16.559999999999999</v>
      </c>
      <c r="X11" s="213">
        <v>58.46</v>
      </c>
      <c r="Y11" s="213">
        <v>64.33</v>
      </c>
      <c r="Z11" s="213">
        <v>93.41</v>
      </c>
      <c r="AA11" s="213">
        <v>92.02</v>
      </c>
      <c r="AB11" s="74">
        <f t="shared" si="2"/>
        <v>-1.4880633765121498E-2</v>
      </c>
      <c r="AD11" s="19" t="s">
        <v>46</v>
      </c>
      <c r="AE11" s="214">
        <v>121182.48</v>
      </c>
      <c r="AF11" s="52">
        <v>703206.12</v>
      </c>
      <c r="AG11" s="52">
        <v>897449.88</v>
      </c>
      <c r="AH11" s="52">
        <v>1303105.22</v>
      </c>
      <c r="AI11" s="52">
        <v>1289416.3999999999</v>
      </c>
      <c r="AJ11" s="74">
        <f t="shared" si="3"/>
        <v>-1.0504769522755808E-2</v>
      </c>
      <c r="AK11" s="52">
        <f t="shared" si="4"/>
        <v>-13688.820000000065</v>
      </c>
      <c r="AL11" s="98">
        <f t="shared" si="5"/>
        <v>6.3385707612913693E-3</v>
      </c>
      <c r="AM11" s="215">
        <v>121182.48</v>
      </c>
      <c r="AN11" s="216">
        <v>703206.12</v>
      </c>
      <c r="AO11" s="216">
        <v>897449.88</v>
      </c>
      <c r="AP11" s="216">
        <v>1303105.22</v>
      </c>
      <c r="AQ11" s="216">
        <v>1289416.3999999999</v>
      </c>
      <c r="AR11" s="74">
        <f t="shared" si="6"/>
        <v>-1.0504769522755808E-2</v>
      </c>
      <c r="AS11" s="52">
        <f t="shared" si="7"/>
        <v>-13688.820000000065</v>
      </c>
      <c r="AT11" s="74">
        <f t="shared" si="8"/>
        <v>9.6402872758504365</v>
      </c>
      <c r="AU11" s="52">
        <f t="shared" si="9"/>
        <v>1168233.92</v>
      </c>
      <c r="AV11" s="98">
        <f t="shared" si="10"/>
        <v>2.1128569204304569E-3</v>
      </c>
    </row>
    <row r="12" spans="2:48" x14ac:dyDescent="0.25">
      <c r="B12" s="19" t="s">
        <v>47</v>
      </c>
      <c r="C12" s="212">
        <v>160.44999999999999</v>
      </c>
      <c r="D12" s="213">
        <v>127.25</v>
      </c>
      <c r="E12" s="213">
        <v>149.52000000000001</v>
      </c>
      <c r="F12" s="213">
        <v>244.88</v>
      </c>
      <c r="G12" s="213">
        <v>228.74</v>
      </c>
      <c r="H12" s="74">
        <f t="shared" ref="H12:H18" si="11">G12/F12-1</f>
        <v>-6.5909833387781669E-2</v>
      </c>
      <c r="I12" s="212">
        <v>160.44999999999999</v>
      </c>
      <c r="J12" s="213">
        <v>127.25</v>
      </c>
      <c r="K12" s="213">
        <v>149.52000000000001</v>
      </c>
      <c r="L12" s="213">
        <v>244.88</v>
      </c>
      <c r="M12" s="213">
        <v>228.74</v>
      </c>
      <c r="N12" s="74">
        <f t="shared" si="0"/>
        <v>-6.5909833387781669E-2</v>
      </c>
      <c r="P12" s="19" t="s">
        <v>47</v>
      </c>
      <c r="Q12" s="212">
        <v>31.82</v>
      </c>
      <c r="R12" s="213">
        <v>46.18</v>
      </c>
      <c r="S12" s="213">
        <v>100.71</v>
      </c>
      <c r="T12" s="213">
        <v>164.19</v>
      </c>
      <c r="U12" s="213">
        <v>176.91</v>
      </c>
      <c r="V12" s="74">
        <f t="shared" si="1"/>
        <v>7.7471222364333903E-2</v>
      </c>
      <c r="W12" s="212">
        <v>31.82</v>
      </c>
      <c r="X12" s="213">
        <v>46.18</v>
      </c>
      <c r="Y12" s="213">
        <v>100.71</v>
      </c>
      <c r="Z12" s="213">
        <v>164.19</v>
      </c>
      <c r="AA12" s="213">
        <v>176.91</v>
      </c>
      <c r="AB12" s="74">
        <f t="shared" si="2"/>
        <v>7.7471222364333903E-2</v>
      </c>
      <c r="AD12" s="19" t="s">
        <v>47</v>
      </c>
      <c r="AE12" s="214">
        <v>1204548.25</v>
      </c>
      <c r="AF12" s="52">
        <v>2150164.62</v>
      </c>
      <c r="AG12" s="52">
        <v>5154413.03</v>
      </c>
      <c r="AH12" s="52">
        <v>7629730.4900000002</v>
      </c>
      <c r="AI12" s="52">
        <v>9268511.25</v>
      </c>
      <c r="AJ12" s="74">
        <f t="shared" si="3"/>
        <v>0.21478881359543278</v>
      </c>
      <c r="AK12" s="52">
        <f t="shared" si="4"/>
        <v>1638780.7599999998</v>
      </c>
      <c r="AL12" s="98">
        <f t="shared" si="5"/>
        <v>4.5562561799237331E-2</v>
      </c>
      <c r="AM12" s="215">
        <v>1204548.25</v>
      </c>
      <c r="AN12" s="216">
        <v>2150164.62</v>
      </c>
      <c r="AO12" s="216">
        <v>5154413.03</v>
      </c>
      <c r="AP12" s="216">
        <v>7629730.4900000002</v>
      </c>
      <c r="AQ12" s="216">
        <v>9268511.25</v>
      </c>
      <c r="AR12" s="74">
        <f t="shared" si="6"/>
        <v>0.21478881359543278</v>
      </c>
      <c r="AS12" s="52">
        <f t="shared" si="7"/>
        <v>1638780.7599999998</v>
      </c>
      <c r="AT12" s="74">
        <f t="shared" si="8"/>
        <v>6.694595255939312</v>
      </c>
      <c r="AU12" s="52">
        <f t="shared" si="9"/>
        <v>8063963</v>
      </c>
      <c r="AV12" s="98">
        <f t="shared" si="10"/>
        <v>1.518752059974578E-2</v>
      </c>
    </row>
    <row r="13" spans="2:48" x14ac:dyDescent="0.25">
      <c r="B13" s="19" t="s">
        <v>48</v>
      </c>
      <c r="C13" s="212">
        <v>37.630000000000003</v>
      </c>
      <c r="D13" s="213">
        <v>56.019999999999996</v>
      </c>
      <c r="E13" s="213">
        <v>66.25</v>
      </c>
      <c r="F13" s="213">
        <v>76.650000000000006</v>
      </c>
      <c r="G13" s="213">
        <v>85.99</v>
      </c>
      <c r="H13" s="74">
        <f t="shared" si="11"/>
        <v>0.12185257664709703</v>
      </c>
      <c r="I13" s="212">
        <v>37.630000000000003</v>
      </c>
      <c r="J13" s="213">
        <v>56.02</v>
      </c>
      <c r="K13" s="213">
        <v>66.25</v>
      </c>
      <c r="L13" s="213">
        <v>76.650000000000006</v>
      </c>
      <c r="M13" s="213">
        <v>85.99</v>
      </c>
      <c r="N13" s="74">
        <f t="shared" si="0"/>
        <v>0.12185257664709703</v>
      </c>
      <c r="P13" s="19" t="s">
        <v>48</v>
      </c>
      <c r="Q13" s="212">
        <v>7.79</v>
      </c>
      <c r="R13" s="213">
        <v>30.57</v>
      </c>
      <c r="S13" s="213">
        <v>57.86999999999999</v>
      </c>
      <c r="T13" s="213">
        <v>67.03</v>
      </c>
      <c r="U13" s="213">
        <v>74.489999999999995</v>
      </c>
      <c r="V13" s="74">
        <f t="shared" si="1"/>
        <v>0.1112934506937191</v>
      </c>
      <c r="W13" s="212">
        <v>7.79</v>
      </c>
      <c r="X13" s="213">
        <v>30.57</v>
      </c>
      <c r="Y13" s="213">
        <v>57.87</v>
      </c>
      <c r="Z13" s="213">
        <v>67.03</v>
      </c>
      <c r="AA13" s="213">
        <v>74.489999999999995</v>
      </c>
      <c r="AB13" s="74">
        <f t="shared" si="2"/>
        <v>0.1112934506937191</v>
      </c>
      <c r="AD13" s="19" t="s">
        <v>48</v>
      </c>
      <c r="AE13" s="214">
        <v>747311.27</v>
      </c>
      <c r="AF13" s="52">
        <v>8362651.5199999996</v>
      </c>
      <c r="AG13" s="52">
        <v>16682580.9</v>
      </c>
      <c r="AH13" s="52">
        <v>20004250.93</v>
      </c>
      <c r="AI13" s="52">
        <v>22203708.059999999</v>
      </c>
      <c r="AJ13" s="74">
        <f t="shared" si="3"/>
        <v>0.10994948712133557</v>
      </c>
      <c r="AK13" s="52">
        <f t="shared" si="4"/>
        <v>2199457.129999999</v>
      </c>
      <c r="AL13" s="98">
        <f t="shared" si="5"/>
        <v>0.10914998033324651</v>
      </c>
      <c r="AM13" s="215">
        <v>747311.27</v>
      </c>
      <c r="AN13" s="216">
        <v>8362651.5199999996</v>
      </c>
      <c r="AO13" s="216">
        <v>16682580.9</v>
      </c>
      <c r="AP13" s="216">
        <v>20004250.93</v>
      </c>
      <c r="AQ13" s="216">
        <v>22203708.059999999</v>
      </c>
      <c r="AR13" s="74">
        <f t="shared" si="6"/>
        <v>0.10994948712133557</v>
      </c>
      <c r="AS13" s="52">
        <f t="shared" si="7"/>
        <v>2199457.129999999</v>
      </c>
      <c r="AT13" s="74">
        <f t="shared" si="8"/>
        <v>28.71145886773526</v>
      </c>
      <c r="AU13" s="52">
        <f t="shared" si="9"/>
        <v>21456396.789999999</v>
      </c>
      <c r="AV13" s="98">
        <f t="shared" si="10"/>
        <v>3.6383326777748838E-2</v>
      </c>
    </row>
    <row r="14" spans="2:48" x14ac:dyDescent="0.25">
      <c r="B14" s="19" t="s">
        <v>49</v>
      </c>
      <c r="C14" s="212">
        <v>82.080000000000013</v>
      </c>
      <c r="D14" s="213">
        <v>90.78</v>
      </c>
      <c r="E14" s="213">
        <v>104.66</v>
      </c>
      <c r="F14" s="213">
        <v>122.34</v>
      </c>
      <c r="G14" s="213">
        <v>123.07999999999998</v>
      </c>
      <c r="H14" s="74">
        <f t="shared" si="11"/>
        <v>6.0487166911882273E-3</v>
      </c>
      <c r="I14" s="212">
        <v>82.08</v>
      </c>
      <c r="J14" s="213">
        <v>90.78</v>
      </c>
      <c r="K14" s="213">
        <v>104.66</v>
      </c>
      <c r="L14" s="213">
        <v>122.34</v>
      </c>
      <c r="M14" s="213">
        <v>123.08</v>
      </c>
      <c r="N14" s="74">
        <f t="shared" si="0"/>
        <v>6.0487166911884493E-3</v>
      </c>
      <c r="P14" s="19" t="s">
        <v>49</v>
      </c>
      <c r="Q14" s="212">
        <v>25.34</v>
      </c>
      <c r="R14" s="213">
        <v>67.819999999999993</v>
      </c>
      <c r="S14" s="213">
        <v>89.79</v>
      </c>
      <c r="T14" s="213">
        <v>110.25000000000001</v>
      </c>
      <c r="U14" s="213">
        <v>108.94</v>
      </c>
      <c r="V14" s="74">
        <f t="shared" si="1"/>
        <v>-1.1882086167800621E-2</v>
      </c>
      <c r="W14" s="212">
        <v>25.34</v>
      </c>
      <c r="X14" s="213">
        <v>67.819999999999993</v>
      </c>
      <c r="Y14" s="213">
        <v>89.79</v>
      </c>
      <c r="Z14" s="213">
        <v>110.25</v>
      </c>
      <c r="AA14" s="213">
        <v>108.94</v>
      </c>
      <c r="AB14" s="74">
        <f t="shared" si="2"/>
        <v>-1.188208616780051E-2</v>
      </c>
      <c r="AD14" s="19" t="s">
        <v>49</v>
      </c>
      <c r="AE14" s="214">
        <v>186155.69</v>
      </c>
      <c r="AF14" s="52">
        <v>664353.46</v>
      </c>
      <c r="AG14" s="52">
        <v>943653.78</v>
      </c>
      <c r="AH14" s="52">
        <v>1175669.8799999999</v>
      </c>
      <c r="AI14" s="52">
        <v>1161773.55</v>
      </c>
      <c r="AJ14" s="74">
        <f t="shared" si="3"/>
        <v>-1.1819925164706868E-2</v>
      </c>
      <c r="AK14" s="52">
        <f t="shared" si="4"/>
        <v>-13896.329999999842</v>
      </c>
      <c r="AL14" s="98">
        <f t="shared" si="5"/>
        <v>5.7110983350852976E-3</v>
      </c>
      <c r="AM14" s="215">
        <v>186155.69</v>
      </c>
      <c r="AN14" s="216">
        <v>664353.46</v>
      </c>
      <c r="AO14" s="216">
        <v>943653.78</v>
      </c>
      <c r="AP14" s="216">
        <v>1175669.8799999999</v>
      </c>
      <c r="AQ14" s="216">
        <v>1161773.55</v>
      </c>
      <c r="AR14" s="74">
        <f t="shared" si="6"/>
        <v>-1.1819925164706868E-2</v>
      </c>
      <c r="AS14" s="52">
        <f t="shared" si="7"/>
        <v>-13896.329999999842</v>
      </c>
      <c r="AT14" s="74">
        <f t="shared" si="8"/>
        <v>5.2408704778242345</v>
      </c>
      <c r="AU14" s="52">
        <f t="shared" si="9"/>
        <v>975617.8600000001</v>
      </c>
      <c r="AV14" s="98">
        <f t="shared" si="10"/>
        <v>1.9036994450284325E-3</v>
      </c>
    </row>
    <row r="15" spans="2:48" x14ac:dyDescent="0.25">
      <c r="B15" s="19" t="s">
        <v>50</v>
      </c>
      <c r="C15" s="212">
        <v>66.31</v>
      </c>
      <c r="D15" s="213">
        <v>120.00999999999999</v>
      </c>
      <c r="E15" s="213">
        <v>137.74</v>
      </c>
      <c r="F15" s="213">
        <v>156.54</v>
      </c>
      <c r="G15" s="213">
        <v>221.06</v>
      </c>
      <c r="H15" s="74">
        <f t="shared" si="11"/>
        <v>0.41216302542481165</v>
      </c>
      <c r="I15" s="212">
        <v>66.31</v>
      </c>
      <c r="J15" s="213">
        <v>120.01</v>
      </c>
      <c r="K15" s="213">
        <v>137.74</v>
      </c>
      <c r="L15" s="213">
        <v>156.54</v>
      </c>
      <c r="M15" s="213">
        <v>221.06</v>
      </c>
      <c r="N15" s="74">
        <f t="shared" si="0"/>
        <v>0.41216302542481165</v>
      </c>
      <c r="P15" s="19" t="s">
        <v>50</v>
      </c>
      <c r="Q15" s="212">
        <v>13.73</v>
      </c>
      <c r="R15" s="213">
        <v>86.23</v>
      </c>
      <c r="S15" s="213">
        <v>110.6</v>
      </c>
      <c r="T15" s="213">
        <v>138.41999999999999</v>
      </c>
      <c r="U15" s="213">
        <v>190.38</v>
      </c>
      <c r="V15" s="74">
        <f t="shared" si="1"/>
        <v>0.37537928045080204</v>
      </c>
      <c r="W15" s="212">
        <v>13.73</v>
      </c>
      <c r="X15" s="213">
        <v>86.23</v>
      </c>
      <c r="Y15" s="213">
        <v>110.6</v>
      </c>
      <c r="Z15" s="213">
        <v>138.41999999999999</v>
      </c>
      <c r="AA15" s="213">
        <v>190.38</v>
      </c>
      <c r="AB15" s="74">
        <f t="shared" si="2"/>
        <v>0.37537928045080204</v>
      </c>
      <c r="AD15" s="19" t="s">
        <v>50</v>
      </c>
      <c r="AE15" s="214">
        <v>285522.39</v>
      </c>
      <c r="AF15" s="52">
        <v>4116745.18</v>
      </c>
      <c r="AG15" s="52">
        <v>6119826.8399999999</v>
      </c>
      <c r="AH15" s="52">
        <v>7672300.4100000001</v>
      </c>
      <c r="AI15" s="52">
        <v>10687868.289999999</v>
      </c>
      <c r="AJ15" s="74">
        <f t="shared" si="3"/>
        <v>0.39304611639939679</v>
      </c>
      <c r="AK15" s="52">
        <f t="shared" si="4"/>
        <v>3015567.879999999</v>
      </c>
      <c r="AL15" s="98">
        <f t="shared" si="5"/>
        <v>5.2539900565501715E-2</v>
      </c>
      <c r="AM15" s="215">
        <v>285522.39</v>
      </c>
      <c r="AN15" s="216">
        <v>4116745.18</v>
      </c>
      <c r="AO15" s="216">
        <v>6119826.8399999999</v>
      </c>
      <c r="AP15" s="216">
        <v>7672300.4100000001</v>
      </c>
      <c r="AQ15" s="216">
        <v>10687868.289999999</v>
      </c>
      <c r="AR15" s="74">
        <f t="shared" si="6"/>
        <v>0.39304611639939679</v>
      </c>
      <c r="AS15" s="52">
        <f t="shared" si="7"/>
        <v>3015567.879999999</v>
      </c>
      <c r="AT15" s="74">
        <f t="shared" si="8"/>
        <v>36.432680113107764</v>
      </c>
      <c r="AU15" s="52">
        <f t="shared" si="9"/>
        <v>10402345.899999999</v>
      </c>
      <c r="AV15" s="98">
        <f t="shared" si="10"/>
        <v>1.7513300188500572E-2</v>
      </c>
    </row>
    <row r="16" spans="2:48" x14ac:dyDescent="0.25">
      <c r="B16" s="19" t="s">
        <v>51</v>
      </c>
      <c r="C16" s="212">
        <v>59.19</v>
      </c>
      <c r="D16" s="213">
        <v>77.3</v>
      </c>
      <c r="E16" s="213">
        <v>86.57</v>
      </c>
      <c r="F16" s="213">
        <v>95.9</v>
      </c>
      <c r="G16" s="213">
        <v>111.62</v>
      </c>
      <c r="H16" s="74">
        <f t="shared" si="11"/>
        <v>0.16392075078206458</v>
      </c>
      <c r="I16" s="212">
        <v>59.19</v>
      </c>
      <c r="J16" s="213">
        <v>77.3</v>
      </c>
      <c r="K16" s="213">
        <v>86.57</v>
      </c>
      <c r="L16" s="213">
        <v>95.9</v>
      </c>
      <c r="M16" s="213">
        <v>111.62</v>
      </c>
      <c r="N16" s="74">
        <f t="shared" si="0"/>
        <v>0.16392075078206458</v>
      </c>
      <c r="P16" s="19" t="s">
        <v>51</v>
      </c>
      <c r="Q16" s="212">
        <v>15.74</v>
      </c>
      <c r="R16" s="213">
        <v>55.36999999999999</v>
      </c>
      <c r="S16" s="213">
        <v>69.73</v>
      </c>
      <c r="T16" s="213">
        <v>83.62</v>
      </c>
      <c r="U16" s="213">
        <v>89.42</v>
      </c>
      <c r="V16" s="74">
        <f t="shared" si="1"/>
        <v>6.9361396795025065E-2</v>
      </c>
      <c r="W16" s="212">
        <v>15.74</v>
      </c>
      <c r="X16" s="213">
        <v>55.37</v>
      </c>
      <c r="Y16" s="213">
        <v>69.73</v>
      </c>
      <c r="Z16" s="213">
        <v>83.62</v>
      </c>
      <c r="AA16" s="213">
        <v>89.42</v>
      </c>
      <c r="AB16" s="74">
        <f t="shared" si="2"/>
        <v>6.9361396795025065E-2</v>
      </c>
      <c r="AD16" s="19" t="s">
        <v>51</v>
      </c>
      <c r="AE16" s="214">
        <v>442587.87</v>
      </c>
      <c r="AF16" s="52">
        <v>2251898.52</v>
      </c>
      <c r="AG16" s="52">
        <v>3292257.81</v>
      </c>
      <c r="AH16" s="52">
        <v>3810782.68</v>
      </c>
      <c r="AI16" s="52">
        <v>3903097.96</v>
      </c>
      <c r="AJ16" s="74">
        <f t="shared" si="3"/>
        <v>2.4224755844644452E-2</v>
      </c>
      <c r="AK16" s="52">
        <f t="shared" si="4"/>
        <v>92315.279999999795</v>
      </c>
      <c r="AL16" s="98">
        <f t="shared" si="5"/>
        <v>1.9187023375623259E-2</v>
      </c>
      <c r="AM16" s="215">
        <v>442587.87</v>
      </c>
      <c r="AN16" s="216">
        <v>2251898.52</v>
      </c>
      <c r="AO16" s="216">
        <v>3292257.81</v>
      </c>
      <c r="AP16" s="216">
        <v>3810782.68</v>
      </c>
      <c r="AQ16" s="216">
        <v>3903097.96</v>
      </c>
      <c r="AR16" s="74">
        <f t="shared" si="6"/>
        <v>2.4224755844644452E-2</v>
      </c>
      <c r="AS16" s="52">
        <f t="shared" si="7"/>
        <v>92315.279999999795</v>
      </c>
      <c r="AT16" s="74">
        <f t="shared" si="8"/>
        <v>7.8188091553435477</v>
      </c>
      <c r="AU16" s="52">
        <f t="shared" si="9"/>
        <v>3460510.09</v>
      </c>
      <c r="AV16" s="98">
        <f t="shared" si="10"/>
        <v>6.3956744585410875E-3</v>
      </c>
    </row>
    <row r="17" spans="2:48" x14ac:dyDescent="0.25">
      <c r="B17" s="19" t="s">
        <v>52</v>
      </c>
      <c r="C17" s="212">
        <v>92.39</v>
      </c>
      <c r="D17" s="213">
        <v>109.46</v>
      </c>
      <c r="E17" s="213">
        <v>122.19</v>
      </c>
      <c r="F17" s="213">
        <v>140.36000000000001</v>
      </c>
      <c r="G17" s="213">
        <v>122.53000000000002</v>
      </c>
      <c r="H17" s="74">
        <f t="shared" si="11"/>
        <v>-0.12703049301795377</v>
      </c>
      <c r="I17" s="212">
        <v>92.39</v>
      </c>
      <c r="J17" s="213">
        <v>109.46</v>
      </c>
      <c r="K17" s="213">
        <v>122.19</v>
      </c>
      <c r="L17" s="213">
        <v>140.36000000000001</v>
      </c>
      <c r="M17" s="213">
        <v>122.53</v>
      </c>
      <c r="N17" s="74">
        <f t="shared" si="0"/>
        <v>-0.12703049301795388</v>
      </c>
      <c r="P17" s="19" t="s">
        <v>52</v>
      </c>
      <c r="Q17" s="212">
        <v>22.36</v>
      </c>
      <c r="R17" s="213">
        <v>66.27</v>
      </c>
      <c r="S17" s="213">
        <v>109.73</v>
      </c>
      <c r="T17" s="213">
        <v>128.38999999999999</v>
      </c>
      <c r="U17" s="213">
        <v>109.37999999999998</v>
      </c>
      <c r="V17" s="74">
        <f t="shared" si="1"/>
        <v>-0.14806449100397234</v>
      </c>
      <c r="W17" s="212">
        <v>22.36</v>
      </c>
      <c r="X17" s="213">
        <v>66.27</v>
      </c>
      <c r="Y17" s="213">
        <v>109.73</v>
      </c>
      <c r="Z17" s="213">
        <v>128.38999999999999</v>
      </c>
      <c r="AA17" s="213">
        <v>109.38</v>
      </c>
      <c r="AB17" s="74">
        <f t="shared" si="2"/>
        <v>-0.14806449100397223</v>
      </c>
      <c r="AD17" s="19" t="s">
        <v>52</v>
      </c>
      <c r="AE17" s="214">
        <v>1038902.95</v>
      </c>
      <c r="AF17" s="52">
        <v>5589738.9500000002</v>
      </c>
      <c r="AG17" s="52">
        <v>9259544.6799999997</v>
      </c>
      <c r="AH17" s="52">
        <v>10833925.029999999</v>
      </c>
      <c r="AI17" s="52">
        <v>9293845.9399999995</v>
      </c>
      <c r="AJ17" s="74">
        <f t="shared" si="3"/>
        <v>-0.14215338261390942</v>
      </c>
      <c r="AK17" s="52">
        <f t="shared" si="4"/>
        <v>-1540079.0899999999</v>
      </c>
      <c r="AL17" s="98">
        <f t="shared" si="5"/>
        <v>4.5687103200510323E-2</v>
      </c>
      <c r="AM17" s="215">
        <v>1038902.95</v>
      </c>
      <c r="AN17" s="216">
        <v>5589738.9500000002</v>
      </c>
      <c r="AO17" s="216">
        <v>9259544.6799999997</v>
      </c>
      <c r="AP17" s="216">
        <v>10833925.029999999</v>
      </c>
      <c r="AQ17" s="216">
        <v>9293845.9399999995</v>
      </c>
      <c r="AR17" s="74">
        <f t="shared" si="6"/>
        <v>-0.14215338261390942</v>
      </c>
      <c r="AS17" s="52">
        <f t="shared" si="7"/>
        <v>-1540079.0899999999</v>
      </c>
      <c r="AT17" s="74">
        <f t="shared" si="8"/>
        <v>7.9458268840222281</v>
      </c>
      <c r="AU17" s="52">
        <f t="shared" si="9"/>
        <v>8254942.9899999993</v>
      </c>
      <c r="AV17" s="98">
        <f t="shared" si="10"/>
        <v>1.522903440017011E-2</v>
      </c>
    </row>
    <row r="18" spans="2:48" x14ac:dyDescent="0.25">
      <c r="B18" s="23" t="s">
        <v>53</v>
      </c>
      <c r="C18" s="212">
        <v>87.46</v>
      </c>
      <c r="D18" s="213">
        <v>69.650000000000006</v>
      </c>
      <c r="E18" s="213">
        <v>83.16</v>
      </c>
      <c r="F18" s="213">
        <v>90.53</v>
      </c>
      <c r="G18" s="213">
        <v>82.26</v>
      </c>
      <c r="H18" s="74">
        <f t="shared" si="11"/>
        <v>-9.1350933392245648E-2</v>
      </c>
      <c r="I18" s="212">
        <v>87.46</v>
      </c>
      <c r="J18" s="213">
        <v>69.650000000000006</v>
      </c>
      <c r="K18" s="213">
        <v>83.16</v>
      </c>
      <c r="L18" s="213">
        <v>90.53</v>
      </c>
      <c r="M18" s="213">
        <v>82.26</v>
      </c>
      <c r="N18" s="74">
        <f t="shared" si="0"/>
        <v>-9.1350933392245648E-2</v>
      </c>
      <c r="P18" s="23" t="s">
        <v>53</v>
      </c>
      <c r="Q18" s="212">
        <v>10.130000000000001</v>
      </c>
      <c r="R18" s="213">
        <v>36.729999999999997</v>
      </c>
      <c r="S18" s="213">
        <v>72.319999999999993</v>
      </c>
      <c r="T18" s="213">
        <v>79.900000000000006</v>
      </c>
      <c r="U18" s="213">
        <v>69.48</v>
      </c>
      <c r="V18" s="74">
        <f t="shared" si="1"/>
        <v>-0.13041301627033797</v>
      </c>
      <c r="W18" s="212">
        <v>10.130000000000001</v>
      </c>
      <c r="X18" s="213">
        <v>36.729999999999997</v>
      </c>
      <c r="Y18" s="213">
        <v>72.319999999999993</v>
      </c>
      <c r="Z18" s="213">
        <v>79.900000000000006</v>
      </c>
      <c r="AA18" s="213">
        <v>69.48</v>
      </c>
      <c r="AB18" s="74">
        <f t="shared" si="2"/>
        <v>-0.13041301627033797</v>
      </c>
      <c r="AD18" s="23" t="s">
        <v>53</v>
      </c>
      <c r="AE18" s="214">
        <v>359204.29</v>
      </c>
      <c r="AF18" s="52">
        <v>1647597.89</v>
      </c>
      <c r="AG18" s="52">
        <v>2748555.45</v>
      </c>
      <c r="AH18" s="52">
        <v>3088877.12</v>
      </c>
      <c r="AI18" s="52">
        <v>2750398.09</v>
      </c>
      <c r="AJ18" s="74">
        <f t="shared" si="3"/>
        <v>-0.10957995959386047</v>
      </c>
      <c r="AK18" s="52">
        <f t="shared" si="4"/>
        <v>-338479.03000000026</v>
      </c>
      <c r="AL18" s="98">
        <f t="shared" si="5"/>
        <v>1.3520529842171721E-2</v>
      </c>
      <c r="AM18" s="215">
        <v>359204.29</v>
      </c>
      <c r="AN18" s="216">
        <v>1647597.89</v>
      </c>
      <c r="AO18" s="216">
        <v>2748555.45</v>
      </c>
      <c r="AP18" s="216">
        <v>3088877.12</v>
      </c>
      <c r="AQ18" s="216">
        <v>2750398.09</v>
      </c>
      <c r="AR18" s="74">
        <f t="shared" si="6"/>
        <v>-0.10957995959386047</v>
      </c>
      <c r="AS18" s="52">
        <f t="shared" si="7"/>
        <v>-338479.03000000026</v>
      </c>
      <c r="AT18" s="74">
        <f t="shared" si="8"/>
        <v>6.6569188246610302</v>
      </c>
      <c r="AU18" s="52">
        <f t="shared" si="9"/>
        <v>2391193.7999999998</v>
      </c>
      <c r="AV18" s="98">
        <f t="shared" si="10"/>
        <v>4.5068432807239076E-3</v>
      </c>
    </row>
    <row r="19" spans="2:48" x14ac:dyDescent="0.25">
      <c r="B19" s="101"/>
      <c r="C19" s="102"/>
      <c r="D19" s="102"/>
      <c r="E19" s="102"/>
      <c r="F19" s="102"/>
      <c r="G19" s="103"/>
      <c r="H19" s="102"/>
      <c r="I19" s="102"/>
      <c r="J19" s="102"/>
      <c r="K19" s="102"/>
      <c r="L19" s="102"/>
      <c r="M19" s="104"/>
      <c r="N19" s="104"/>
      <c r="P19" s="101"/>
      <c r="Q19" s="102"/>
      <c r="R19" s="102"/>
      <c r="S19" s="102"/>
      <c r="T19" s="102"/>
      <c r="U19" s="103"/>
      <c r="V19" s="102"/>
      <c r="W19" s="102"/>
      <c r="X19" s="102"/>
      <c r="Y19" s="102"/>
      <c r="Z19" s="102"/>
      <c r="AA19" s="104"/>
      <c r="AB19" s="104"/>
      <c r="AD19" s="101"/>
      <c r="AE19" s="101"/>
      <c r="AF19" s="101"/>
      <c r="AG19" s="101"/>
      <c r="AH19" s="102"/>
      <c r="AI19" s="103"/>
      <c r="AJ19" s="104"/>
      <c r="AK19" s="104"/>
      <c r="AL19" s="104"/>
      <c r="AM19" s="102"/>
      <c r="AN19" s="102"/>
      <c r="AO19" s="102"/>
      <c r="AP19" s="102"/>
      <c r="AQ19" s="104"/>
      <c r="AR19" s="104"/>
      <c r="AS19" s="104"/>
      <c r="AT19" s="104"/>
      <c r="AU19" s="217"/>
      <c r="AV19" s="104"/>
    </row>
    <row r="20" spans="2:48" x14ac:dyDescent="0.25">
      <c r="B20" s="105" t="s">
        <v>55</v>
      </c>
      <c r="C20" s="105"/>
      <c r="D20" s="105"/>
      <c r="E20" s="105"/>
      <c r="F20" s="105"/>
      <c r="G20" s="105"/>
      <c r="H20" s="105"/>
      <c r="I20" s="105"/>
      <c r="J20" s="105"/>
      <c r="K20" s="105"/>
      <c r="L20" s="105"/>
      <c r="M20" s="105"/>
      <c r="N20" s="105"/>
      <c r="P20" s="105" t="s">
        <v>55</v>
      </c>
      <c r="Q20" s="105"/>
      <c r="R20" s="105"/>
      <c r="S20" s="105"/>
      <c r="T20" s="105"/>
      <c r="U20" s="105"/>
      <c r="V20" s="105"/>
      <c r="W20" s="105"/>
      <c r="X20" s="105"/>
      <c r="Y20" s="105"/>
      <c r="Z20" s="105"/>
      <c r="AA20" s="105"/>
      <c r="AB20" s="105"/>
      <c r="AD20" s="105" t="s">
        <v>55</v>
      </c>
      <c r="AE20" s="105"/>
      <c r="AF20" s="105"/>
      <c r="AG20" s="105"/>
      <c r="AH20" s="105"/>
      <c r="AI20" s="105"/>
      <c r="AJ20" s="105"/>
      <c r="AK20" s="105"/>
      <c r="AL20" s="105"/>
      <c r="AM20" s="105"/>
      <c r="AN20" s="105"/>
      <c r="AO20" s="105"/>
      <c r="AP20" s="105"/>
      <c r="AQ20" s="105"/>
      <c r="AR20" s="105"/>
      <c r="AS20" s="105"/>
      <c r="AT20" s="105"/>
      <c r="AU20" s="105"/>
      <c r="AV20" s="105"/>
    </row>
    <row r="21" spans="2:48" ht="39" customHeight="1" x14ac:dyDescent="0.25">
      <c r="B21" s="282" t="s">
        <v>165</v>
      </c>
      <c r="C21" s="282"/>
      <c r="D21" s="282"/>
      <c r="E21" s="282"/>
      <c r="F21" s="282"/>
      <c r="G21" s="282"/>
      <c r="H21" s="282"/>
      <c r="I21" s="282"/>
      <c r="J21" s="282"/>
      <c r="K21" s="282"/>
      <c r="L21" s="282"/>
      <c r="M21" s="282"/>
      <c r="N21" s="282"/>
      <c r="P21" s="282" t="s">
        <v>166</v>
      </c>
      <c r="Q21" s="282"/>
      <c r="R21" s="282"/>
      <c r="S21" s="282"/>
      <c r="T21" s="282"/>
      <c r="U21" s="282"/>
      <c r="V21" s="282"/>
      <c r="W21" s="282"/>
      <c r="X21" s="218"/>
      <c r="Y21" s="218"/>
      <c r="Z21" s="218"/>
      <c r="AA21" s="218"/>
      <c r="AB21" s="218"/>
      <c r="AD21" s="303" t="s">
        <v>167</v>
      </c>
      <c r="AE21" s="303"/>
      <c r="AF21" s="303"/>
      <c r="AG21" s="303"/>
      <c r="AH21" s="303"/>
      <c r="AI21" s="303"/>
      <c r="AJ21" s="303"/>
      <c r="AK21" s="303"/>
      <c r="AL21" s="303"/>
      <c r="AM21" s="303"/>
      <c r="AN21" s="303"/>
      <c r="AO21" s="303"/>
      <c r="AP21" s="303"/>
      <c r="AQ21" s="303"/>
      <c r="AR21" s="303"/>
      <c r="AS21" s="303"/>
      <c r="AT21" s="303"/>
      <c r="AU21" s="303"/>
      <c r="AV21" s="303"/>
    </row>
    <row r="22" spans="2:48" ht="24" customHeight="1" x14ac:dyDescent="0.25">
      <c r="B22" s="282" t="s">
        <v>168</v>
      </c>
      <c r="C22" s="282"/>
      <c r="D22" s="282"/>
      <c r="E22" s="282"/>
      <c r="F22" s="282"/>
      <c r="G22" s="282"/>
      <c r="H22" s="282"/>
      <c r="I22" s="282"/>
      <c r="J22" s="282"/>
      <c r="K22" s="282"/>
      <c r="L22" s="282"/>
      <c r="M22" s="282"/>
      <c r="N22" s="282"/>
      <c r="P22" s="304" t="s">
        <v>169</v>
      </c>
      <c r="Q22" s="304"/>
      <c r="R22" s="304"/>
      <c r="S22" s="304"/>
      <c r="T22" s="304"/>
      <c r="U22" s="304"/>
      <c r="V22" s="304"/>
      <c r="W22" s="304"/>
      <c r="X22" s="219"/>
      <c r="Y22" s="219"/>
      <c r="Z22" s="219"/>
      <c r="AA22" s="219"/>
      <c r="AB22" s="219"/>
      <c r="AQ22" s="52">
        <f>AQ11/M11</f>
        <v>10894.942120828053</v>
      </c>
    </row>
    <row r="23" spans="2:48" x14ac:dyDescent="0.25">
      <c r="B23" s="282"/>
      <c r="C23" s="282"/>
      <c r="D23" s="282"/>
      <c r="E23" s="282"/>
      <c r="F23" s="282"/>
      <c r="G23" s="282"/>
      <c r="H23" s="282"/>
      <c r="I23" s="282"/>
      <c r="J23" s="282"/>
      <c r="K23" s="282"/>
      <c r="L23" s="282"/>
      <c r="M23" s="282"/>
      <c r="N23" s="282"/>
      <c r="P23" s="220"/>
      <c r="Q23" s="220"/>
      <c r="R23" s="220"/>
      <c r="S23" s="220"/>
      <c r="T23" s="220"/>
      <c r="U23" s="220"/>
      <c r="V23" s="220"/>
      <c r="W23" s="220"/>
      <c r="X23" s="220"/>
      <c r="Y23" s="220"/>
      <c r="Z23" s="220"/>
      <c r="AA23" s="220"/>
      <c r="AB23" s="220"/>
    </row>
    <row r="27" spans="2:48" ht="50.25" customHeight="1" thickBot="1" x14ac:dyDescent="0.3">
      <c r="B27" s="265" t="s">
        <v>170</v>
      </c>
      <c r="C27" s="265"/>
      <c r="D27" s="265"/>
      <c r="E27" s="265"/>
      <c r="F27" s="265"/>
      <c r="G27" s="265"/>
      <c r="H27" s="265"/>
      <c r="I27" s="140"/>
      <c r="P27" s="265" t="s">
        <v>171</v>
      </c>
      <c r="Q27" s="265"/>
      <c r="R27" s="265"/>
      <c r="S27" s="265"/>
      <c r="T27" s="265"/>
      <c r="U27" s="265"/>
      <c r="V27" s="265"/>
      <c r="W27" s="265"/>
      <c r="AE27" s="265" t="s">
        <v>172</v>
      </c>
      <c r="AF27" s="265"/>
      <c r="AG27" s="265"/>
      <c r="AH27" s="265"/>
      <c r="AI27" s="265"/>
      <c r="AJ27" s="265"/>
      <c r="AK27" s="265"/>
      <c r="AL27" s="140"/>
    </row>
    <row r="28" spans="2:48" ht="6" customHeight="1" thickBot="1" x14ac:dyDescent="0.3">
      <c r="B28" s="83"/>
      <c r="C28" s="83"/>
      <c r="D28" s="83"/>
      <c r="E28" s="83"/>
      <c r="F28" s="83"/>
      <c r="G28" s="83"/>
      <c r="H28" s="83"/>
      <c r="I28" s="84"/>
      <c r="P28" s="83"/>
      <c r="Q28" s="83"/>
      <c r="R28" s="83"/>
      <c r="S28" s="83"/>
      <c r="T28" s="83"/>
      <c r="U28" s="83"/>
      <c r="V28" s="83"/>
      <c r="W28" s="84"/>
      <c r="AE28" s="84"/>
      <c r="AF28" s="84"/>
      <c r="AG28" s="84"/>
      <c r="AH28" s="84"/>
      <c r="AI28" s="84"/>
      <c r="AJ28" s="84"/>
      <c r="AK28" s="84"/>
      <c r="AL28" s="84"/>
    </row>
    <row r="29" spans="2:48" ht="30.75" thickBot="1" x14ac:dyDescent="0.3">
      <c r="B29" s="85"/>
      <c r="C29" s="181">
        <v>2020</v>
      </c>
      <c r="D29" s="181">
        <v>2021</v>
      </c>
      <c r="E29" s="181">
        <v>2022</v>
      </c>
      <c r="F29" s="181">
        <v>2023</v>
      </c>
      <c r="G29" s="181">
        <v>2024</v>
      </c>
      <c r="H29" s="14" t="str">
        <f>CONCATENATE("var. ",RIGHT(G29,2),"/",RIGHT(F29,2))</f>
        <v>var. 24/23</v>
      </c>
      <c r="I29" s="202" t="str">
        <f>CONCATENATE("dif. ",RIGHT(G29,2),"/",RIGHT(F29,2))</f>
        <v>dif. 24/23</v>
      </c>
      <c r="P29" s="85"/>
      <c r="Q29" s="181">
        <v>2020</v>
      </c>
      <c r="R29" s="181">
        <v>2021</v>
      </c>
      <c r="S29" s="181">
        <v>2022</v>
      </c>
      <c r="T29" s="181">
        <v>2023</v>
      </c>
      <c r="U29" s="181">
        <v>2024</v>
      </c>
      <c r="V29" s="14" t="str">
        <f>CONCATENATE("var. ",RIGHT(U29,2),"/",RIGHT(T29,2))</f>
        <v>var. 24/23</v>
      </c>
      <c r="W29" s="202" t="str">
        <f>CONCATENATE("dif. ",RIGHT(U29,2),"/",RIGHT(T29,2))</f>
        <v>dif. 24/23</v>
      </c>
      <c r="AE29" s="85"/>
      <c r="AF29" s="181">
        <v>2020</v>
      </c>
      <c r="AG29" s="181">
        <v>2021</v>
      </c>
      <c r="AH29" s="181">
        <v>2022</v>
      </c>
      <c r="AI29" s="181">
        <v>2023</v>
      </c>
      <c r="AJ29" s="181">
        <v>2024</v>
      </c>
      <c r="AK29" s="14" t="str">
        <f>CONCATENATE("var. ",RIGHT(AJ29,2),"/",RIGHT(AI29,2))</f>
        <v>var. 24/23</v>
      </c>
      <c r="AL29" s="202" t="str">
        <f>CONCATENATE("dif. ",RIGHT(AJ29,2),"/",RIGHT(AI29,2))</f>
        <v>dif. 24/23</v>
      </c>
    </row>
    <row r="30" spans="2:48" ht="15.75" x14ac:dyDescent="0.25">
      <c r="B30" s="204" t="s">
        <v>43</v>
      </c>
      <c r="C30" s="205">
        <v>95.05</v>
      </c>
      <c r="D30" s="205">
        <v>99.07</v>
      </c>
      <c r="E30" s="205">
        <v>105.63</v>
      </c>
      <c r="F30" s="205">
        <v>113.88</v>
      </c>
      <c r="G30" s="205">
        <v>125.25</v>
      </c>
      <c r="H30" s="130">
        <f>G30/F30-1</f>
        <v>9.984193888303472E-2</v>
      </c>
      <c r="I30" s="205">
        <f>G30-F30</f>
        <v>11.370000000000005</v>
      </c>
      <c r="P30" s="204" t="s">
        <v>43</v>
      </c>
      <c r="Q30" s="205">
        <v>47.83</v>
      </c>
      <c r="R30" s="205">
        <v>53</v>
      </c>
      <c r="S30" s="205">
        <v>80.58</v>
      </c>
      <c r="T30" s="205">
        <v>93.24</v>
      </c>
      <c r="U30" s="205">
        <v>104.71</v>
      </c>
      <c r="V30" s="130">
        <f>U30/T30-1</f>
        <v>0.12301587301587302</v>
      </c>
      <c r="W30" s="205">
        <f>U30-T30</f>
        <v>11.469999999999999</v>
      </c>
      <c r="AE30" s="204" t="s">
        <v>43</v>
      </c>
      <c r="AF30" s="210">
        <v>477122731.20999998</v>
      </c>
      <c r="AG30" s="210">
        <v>651901800.17999995</v>
      </c>
      <c r="AH30" s="210">
        <v>1528879517.8</v>
      </c>
      <c r="AI30" s="210">
        <v>1797799676.5999999</v>
      </c>
      <c r="AJ30" s="210">
        <v>2045218052.5</v>
      </c>
      <c r="AK30" s="130">
        <f>AJ30/AI30-1</f>
        <v>0.13762288375082909</v>
      </c>
      <c r="AL30" s="129">
        <f>AJ30-AI30</f>
        <v>247418375.9000001</v>
      </c>
    </row>
    <row r="31" spans="2:48" ht="15.75" customHeight="1" x14ac:dyDescent="0.25">
      <c r="B31" s="15" t="s">
        <v>44</v>
      </c>
      <c r="C31" s="212">
        <v>119.42</v>
      </c>
      <c r="D31" s="212">
        <v>126.49</v>
      </c>
      <c r="E31" s="212">
        <v>131.02000000000001</v>
      </c>
      <c r="F31" s="212">
        <v>139.02000000000001</v>
      </c>
      <c r="G31" s="212">
        <v>151.54</v>
      </c>
      <c r="H31" s="74">
        <f t="shared" ref="H31:H35" si="12">G31/F31-1</f>
        <v>9.0058984318802882E-2</v>
      </c>
      <c r="I31" s="213">
        <f t="shared" ref="I31:I40" si="13">G31-F31</f>
        <v>12.519999999999982</v>
      </c>
      <c r="P31" s="15" t="s">
        <v>44</v>
      </c>
      <c r="Q31" s="212">
        <v>61.17</v>
      </c>
      <c r="R31" s="213">
        <v>72.88</v>
      </c>
      <c r="S31" s="213">
        <v>107.72</v>
      </c>
      <c r="T31" s="213">
        <v>119.35</v>
      </c>
      <c r="U31" s="213">
        <v>131.18</v>
      </c>
      <c r="V31" s="74">
        <f t="shared" ref="V31:V40" si="14">U31/T31-1</f>
        <v>9.9120234604105573E-2</v>
      </c>
      <c r="W31" s="213">
        <f t="shared" ref="W31:W40" si="15">U31-T31</f>
        <v>11.830000000000013</v>
      </c>
      <c r="AE31" s="15" t="s">
        <v>44</v>
      </c>
      <c r="AF31" s="215">
        <v>217815325.03999999</v>
      </c>
      <c r="AG31" s="216">
        <v>333738906.93000001</v>
      </c>
      <c r="AH31" s="216">
        <v>743382276.49000001</v>
      </c>
      <c r="AI31" s="216">
        <v>857710368.34000003</v>
      </c>
      <c r="AJ31" s="216">
        <v>951532629.67999995</v>
      </c>
      <c r="AK31" s="74">
        <f t="shared" ref="AK31:AK40" si="16">AJ31/AI31-1</f>
        <v>0.10938688023741872</v>
      </c>
      <c r="AL31" s="52">
        <f t="shared" ref="AL31:AL40" si="17">AJ31-AI31</f>
        <v>93822261.339999914</v>
      </c>
    </row>
    <row r="32" spans="2:48" ht="15.75" customHeight="1" x14ac:dyDescent="0.25">
      <c r="B32" s="19" t="s">
        <v>45</v>
      </c>
      <c r="C32" s="212">
        <v>89.5</v>
      </c>
      <c r="D32" s="212">
        <v>85.87</v>
      </c>
      <c r="E32" s="212">
        <v>93.47</v>
      </c>
      <c r="F32" s="212">
        <v>101.28999999999999</v>
      </c>
      <c r="G32" s="212">
        <v>115.79999999999998</v>
      </c>
      <c r="H32" s="74">
        <f t="shared" si="12"/>
        <v>0.14325204857340301</v>
      </c>
      <c r="I32" s="213">
        <f t="shared" si="13"/>
        <v>14.509999999999991</v>
      </c>
      <c r="P32" s="19" t="s">
        <v>45</v>
      </c>
      <c r="Q32" s="212">
        <v>44.55</v>
      </c>
      <c r="R32" s="213">
        <v>43.14</v>
      </c>
      <c r="S32" s="213">
        <v>71.23</v>
      </c>
      <c r="T32" s="213">
        <v>83.79</v>
      </c>
      <c r="U32" s="213">
        <v>97.120000000000019</v>
      </c>
      <c r="V32" s="74">
        <f t="shared" si="14"/>
        <v>0.15908819668218177</v>
      </c>
      <c r="W32" s="213">
        <f t="shared" si="15"/>
        <v>13.330000000000013</v>
      </c>
      <c r="AE32" s="19" t="s">
        <v>45</v>
      </c>
      <c r="AF32" s="215">
        <v>122348722.31</v>
      </c>
      <c r="AG32" s="216">
        <v>137154616.22</v>
      </c>
      <c r="AH32" s="216">
        <v>381071528.48000002</v>
      </c>
      <c r="AI32" s="216">
        <v>437636228.67000002</v>
      </c>
      <c r="AJ32" s="216">
        <v>514385231.94</v>
      </c>
      <c r="AK32" s="74">
        <f t="shared" si="16"/>
        <v>0.17537168598505737</v>
      </c>
      <c r="AL32" s="52">
        <f t="shared" si="17"/>
        <v>76749003.269999981</v>
      </c>
    </row>
    <row r="33" spans="2:39" ht="15.75" customHeight="1" x14ac:dyDescent="0.25">
      <c r="B33" s="19" t="s">
        <v>46</v>
      </c>
      <c r="C33" s="212">
        <v>70.819999999999993</v>
      </c>
      <c r="D33" s="212">
        <v>66.41</v>
      </c>
      <c r="E33" s="212">
        <v>77.45</v>
      </c>
      <c r="F33" s="212">
        <v>80.180000000000007</v>
      </c>
      <c r="G33" s="212">
        <v>89.86</v>
      </c>
      <c r="H33" s="74">
        <f t="shared" si="12"/>
        <v>0.12072836118732844</v>
      </c>
      <c r="I33" s="213">
        <f t="shared" si="13"/>
        <v>9.6799999999999926</v>
      </c>
      <c r="P33" s="19" t="s">
        <v>46</v>
      </c>
      <c r="Q33" s="212">
        <v>38.090000000000003</v>
      </c>
      <c r="R33" s="213">
        <v>36.92</v>
      </c>
      <c r="S33" s="213">
        <v>53.920000000000009</v>
      </c>
      <c r="T33" s="213">
        <v>54.70000000000001</v>
      </c>
      <c r="U33" s="213">
        <v>64.64</v>
      </c>
      <c r="V33" s="74">
        <f t="shared" si="14"/>
        <v>0.18171846435100525</v>
      </c>
      <c r="W33" s="213">
        <f t="shared" si="15"/>
        <v>9.9399999999999906</v>
      </c>
      <c r="AE33" s="19" t="s">
        <v>46</v>
      </c>
      <c r="AF33" s="215">
        <v>2812428.07</v>
      </c>
      <c r="AG33" s="216">
        <v>4381169.17</v>
      </c>
      <c r="AH33" s="216">
        <v>8179727.9699999997</v>
      </c>
      <c r="AI33" s="216">
        <v>8858381.8200000003</v>
      </c>
      <c r="AJ33" s="216">
        <v>10477086.289999999</v>
      </c>
      <c r="AK33" s="74">
        <f t="shared" si="16"/>
        <v>0.18273139529223847</v>
      </c>
      <c r="AL33" s="52">
        <f t="shared" si="17"/>
        <v>1618704.4699999988</v>
      </c>
    </row>
    <row r="34" spans="2:39" ht="15.75" customHeight="1" x14ac:dyDescent="0.25">
      <c r="B34" s="19" t="s">
        <v>47</v>
      </c>
      <c r="C34" s="212">
        <v>135.87</v>
      </c>
      <c r="D34" s="212">
        <v>154.08000000000001</v>
      </c>
      <c r="E34" s="212">
        <v>185.51</v>
      </c>
      <c r="F34" s="212">
        <v>208.15999999999997</v>
      </c>
      <c r="G34" s="212">
        <v>202.39</v>
      </c>
      <c r="H34" s="74">
        <f t="shared" si="12"/>
        <v>-2.7719062259800031E-2</v>
      </c>
      <c r="I34" s="213">
        <f t="shared" si="13"/>
        <v>-5.7699999999999818</v>
      </c>
      <c r="P34" s="19" t="s">
        <v>47</v>
      </c>
      <c r="Q34" s="212">
        <v>44.86</v>
      </c>
      <c r="R34" s="213">
        <v>46.13</v>
      </c>
      <c r="S34" s="213">
        <v>94.79</v>
      </c>
      <c r="T34" s="213">
        <v>114.31</v>
      </c>
      <c r="U34" s="213">
        <v>127.83</v>
      </c>
      <c r="V34" s="74">
        <f t="shared" si="14"/>
        <v>0.11827486659084951</v>
      </c>
      <c r="W34" s="213">
        <f t="shared" si="15"/>
        <v>13.519999999999996</v>
      </c>
      <c r="AE34" s="19" t="s">
        <v>47</v>
      </c>
      <c r="AF34" s="215">
        <v>19929247.640000001</v>
      </c>
      <c r="AG34" s="216">
        <v>22694182.550000001</v>
      </c>
      <c r="AH34" s="216">
        <v>56687870.049999997</v>
      </c>
      <c r="AI34" s="216">
        <v>62672686.409999996</v>
      </c>
      <c r="AJ34" s="216">
        <v>65406733.899999999</v>
      </c>
      <c r="AK34" s="74">
        <f t="shared" si="16"/>
        <v>4.3624226861986859E-2</v>
      </c>
      <c r="AL34" s="52">
        <f t="shared" si="17"/>
        <v>2734047.4900000021</v>
      </c>
    </row>
    <row r="35" spans="2:39" ht="15.75" customHeight="1" x14ac:dyDescent="0.25">
      <c r="B35" s="19" t="s">
        <v>48</v>
      </c>
      <c r="C35" s="212">
        <v>53.52</v>
      </c>
      <c r="D35" s="212">
        <v>51.25</v>
      </c>
      <c r="E35" s="212">
        <v>59.12</v>
      </c>
      <c r="F35" s="212">
        <v>65.87</v>
      </c>
      <c r="G35" s="212">
        <v>74.569999999999993</v>
      </c>
      <c r="H35" s="74">
        <f t="shared" si="12"/>
        <v>0.13207833611659314</v>
      </c>
      <c r="I35" s="213">
        <f t="shared" si="13"/>
        <v>8.6999999999999886</v>
      </c>
      <c r="P35" s="19" t="s">
        <v>48</v>
      </c>
      <c r="Q35" s="212">
        <v>28.760000000000005</v>
      </c>
      <c r="R35" s="213">
        <v>28.24</v>
      </c>
      <c r="S35" s="213">
        <v>42.01</v>
      </c>
      <c r="T35" s="213">
        <v>51.99</v>
      </c>
      <c r="U35" s="213">
        <v>61.31</v>
      </c>
      <c r="V35" s="74">
        <f t="shared" si="14"/>
        <v>0.17926524331602223</v>
      </c>
      <c r="W35" s="213">
        <f t="shared" si="15"/>
        <v>9.32</v>
      </c>
      <c r="AE35" s="19" t="s">
        <v>48</v>
      </c>
      <c r="AF35" s="215">
        <v>46497100.399999999</v>
      </c>
      <c r="AG35" s="216">
        <v>54944687.289999999</v>
      </c>
      <c r="AH35" s="216">
        <v>136922674.63999999</v>
      </c>
      <c r="AI35" s="216">
        <v>177625996.66999999</v>
      </c>
      <c r="AJ35" s="216">
        <v>217541794.87</v>
      </c>
      <c r="AK35" s="74">
        <f t="shared" si="16"/>
        <v>0.22471822226651339</v>
      </c>
      <c r="AL35" s="52">
        <f t="shared" si="17"/>
        <v>39915798.200000018</v>
      </c>
    </row>
    <row r="36" spans="2:39" x14ac:dyDescent="0.25">
      <c r="B36" s="19" t="s">
        <v>49</v>
      </c>
      <c r="C36" s="212">
        <v>86.79</v>
      </c>
      <c r="D36" s="212">
        <v>84.44</v>
      </c>
      <c r="E36" s="212">
        <v>89.45</v>
      </c>
      <c r="F36" s="212">
        <v>98.5</v>
      </c>
      <c r="G36" s="212">
        <v>108.5</v>
      </c>
      <c r="H36" s="74">
        <f>G36/F36-1</f>
        <v>0.10152284263959399</v>
      </c>
      <c r="I36" s="213">
        <f t="shared" si="13"/>
        <v>10</v>
      </c>
      <c r="P36" s="19" t="s">
        <v>49</v>
      </c>
      <c r="Q36" s="212">
        <v>49.1</v>
      </c>
      <c r="R36" s="213">
        <v>45.63</v>
      </c>
      <c r="S36" s="213">
        <v>64.64</v>
      </c>
      <c r="T36" s="213">
        <v>73.62</v>
      </c>
      <c r="U36" s="213">
        <v>81.849999999999994</v>
      </c>
      <c r="V36" s="74">
        <f t="shared" si="14"/>
        <v>0.11179027438196121</v>
      </c>
      <c r="W36" s="213">
        <f t="shared" si="15"/>
        <v>8.2299999999999898</v>
      </c>
      <c r="AE36" s="19" t="s">
        <v>49</v>
      </c>
      <c r="AF36" s="215">
        <v>3114952.08</v>
      </c>
      <c r="AG36" s="216">
        <v>4498900.47</v>
      </c>
      <c r="AH36" s="216">
        <v>7864755.4299999997</v>
      </c>
      <c r="AI36" s="216">
        <v>9097368.0999999996</v>
      </c>
      <c r="AJ36" s="216">
        <v>10277452.130000001</v>
      </c>
      <c r="AK36" s="74">
        <f t="shared" si="16"/>
        <v>0.12971708048177155</v>
      </c>
      <c r="AL36" s="52">
        <f t="shared" si="17"/>
        <v>1180084.0300000012</v>
      </c>
    </row>
    <row r="37" spans="2:39" x14ac:dyDescent="0.25">
      <c r="B37" s="19" t="s">
        <v>50</v>
      </c>
      <c r="C37" s="212">
        <v>106.13</v>
      </c>
      <c r="D37" s="212">
        <v>125.31</v>
      </c>
      <c r="E37" s="212">
        <v>128.06</v>
      </c>
      <c r="F37" s="212">
        <v>149.08000000000001</v>
      </c>
      <c r="G37" s="212">
        <v>167.62</v>
      </c>
      <c r="H37" s="74">
        <f t="shared" ref="H37:H40" si="18">G37/F37-1</f>
        <v>0.12436275825060372</v>
      </c>
      <c r="I37" s="213">
        <f t="shared" si="13"/>
        <v>18.539999999999992</v>
      </c>
      <c r="P37" s="19" t="s">
        <v>50</v>
      </c>
      <c r="Q37" s="212">
        <v>64.31</v>
      </c>
      <c r="R37" s="213">
        <v>82.55</v>
      </c>
      <c r="S37" s="213">
        <v>96.70999999999998</v>
      </c>
      <c r="T37" s="213">
        <v>122.12</v>
      </c>
      <c r="U37" s="213">
        <v>143.97</v>
      </c>
      <c r="V37" s="74">
        <f t="shared" si="14"/>
        <v>0.17892237143792977</v>
      </c>
      <c r="W37" s="213">
        <f t="shared" si="15"/>
        <v>21.849999999999994</v>
      </c>
      <c r="AE37" s="19" t="s">
        <v>50</v>
      </c>
      <c r="AF37" s="215">
        <v>18804870.850000001</v>
      </c>
      <c r="AG37" s="216">
        <v>30921945.879999999</v>
      </c>
      <c r="AH37" s="216">
        <v>58482134.030000001</v>
      </c>
      <c r="AI37" s="216">
        <v>79534420.480000004</v>
      </c>
      <c r="AJ37" s="216">
        <v>93956888.709999993</v>
      </c>
      <c r="AK37" s="74">
        <f t="shared" si="16"/>
        <v>0.18133618303821941</v>
      </c>
      <c r="AL37" s="52">
        <f t="shared" si="17"/>
        <v>14422468.229999989</v>
      </c>
    </row>
    <row r="38" spans="2:39" x14ac:dyDescent="0.25">
      <c r="B38" s="19" t="s">
        <v>51</v>
      </c>
      <c r="C38" s="212">
        <v>64.19</v>
      </c>
      <c r="D38" s="212">
        <v>68.989999999999995</v>
      </c>
      <c r="E38" s="212">
        <v>76.34</v>
      </c>
      <c r="F38" s="212">
        <v>86.65</v>
      </c>
      <c r="G38" s="212">
        <v>96.86</v>
      </c>
      <c r="H38" s="74">
        <f t="shared" si="18"/>
        <v>0.1178303519907673</v>
      </c>
      <c r="I38" s="213">
        <f t="shared" si="13"/>
        <v>10.209999999999994</v>
      </c>
      <c r="P38" s="19" t="s">
        <v>51</v>
      </c>
      <c r="Q38" s="212">
        <v>33.54</v>
      </c>
      <c r="R38" s="213">
        <v>37.840000000000003</v>
      </c>
      <c r="S38" s="213">
        <v>53.16</v>
      </c>
      <c r="T38" s="213">
        <v>62.04999999999999</v>
      </c>
      <c r="U38" s="213">
        <v>69.75</v>
      </c>
      <c r="V38" s="74">
        <f t="shared" si="14"/>
        <v>0.12409347300564089</v>
      </c>
      <c r="W38" s="213">
        <f t="shared" si="15"/>
        <v>7.7000000000000099</v>
      </c>
      <c r="AE38" s="19" t="s">
        <v>51</v>
      </c>
      <c r="AF38" s="215">
        <v>10173605.369999999</v>
      </c>
      <c r="AG38" s="216">
        <v>16610861.380000001</v>
      </c>
      <c r="AH38" s="216">
        <v>27747259.210000001</v>
      </c>
      <c r="AI38" s="216">
        <v>33504230.199999999</v>
      </c>
      <c r="AJ38" s="216">
        <v>36546242.25</v>
      </c>
      <c r="AK38" s="74">
        <f t="shared" si="16"/>
        <v>9.0794864763076966E-2</v>
      </c>
      <c r="AL38" s="52">
        <f t="shared" si="17"/>
        <v>3042012.0500000007</v>
      </c>
    </row>
    <row r="39" spans="2:39" x14ac:dyDescent="0.25">
      <c r="B39" s="19" t="s">
        <v>52</v>
      </c>
      <c r="C39" s="212">
        <v>102.24</v>
      </c>
      <c r="D39" s="212">
        <v>98.71</v>
      </c>
      <c r="E39" s="212">
        <v>114.5</v>
      </c>
      <c r="F39" s="212">
        <v>129.04</v>
      </c>
      <c r="G39" s="212">
        <v>138.44999999999999</v>
      </c>
      <c r="H39" s="74">
        <f t="shared" si="18"/>
        <v>7.292312461252326E-2</v>
      </c>
      <c r="I39" s="213">
        <f t="shared" si="13"/>
        <v>9.4099999999999966</v>
      </c>
      <c r="P39" s="19" t="s">
        <v>52</v>
      </c>
      <c r="Q39" s="212">
        <v>50.94</v>
      </c>
      <c r="R39" s="213">
        <v>53.72</v>
      </c>
      <c r="S39" s="213">
        <v>88.72</v>
      </c>
      <c r="T39" s="213">
        <v>108.87</v>
      </c>
      <c r="U39" s="213">
        <v>119.53</v>
      </c>
      <c r="V39" s="74">
        <f t="shared" si="14"/>
        <v>9.791494442913562E-2</v>
      </c>
      <c r="W39" s="213">
        <f t="shared" si="15"/>
        <v>10.659999999999997</v>
      </c>
      <c r="AE39" s="19" t="s">
        <v>52</v>
      </c>
      <c r="AF39" s="215">
        <v>28411183</v>
      </c>
      <c r="AG39" s="216">
        <v>34127770.07</v>
      </c>
      <c r="AH39" s="216">
        <v>88124626.280000001</v>
      </c>
      <c r="AI39" s="216">
        <v>107018992.04000001</v>
      </c>
      <c r="AJ39" s="216">
        <v>118898417.72</v>
      </c>
      <c r="AK39" s="74">
        <f t="shared" si="16"/>
        <v>0.11100296735704518</v>
      </c>
      <c r="AL39" s="52">
        <f t="shared" si="17"/>
        <v>11879425.679999992</v>
      </c>
    </row>
    <row r="40" spans="2:39" x14ac:dyDescent="0.25">
      <c r="B40" s="23" t="s">
        <v>53</v>
      </c>
      <c r="C40" s="212">
        <v>58.1</v>
      </c>
      <c r="D40" s="212">
        <v>74.28</v>
      </c>
      <c r="E40" s="212">
        <v>64.23</v>
      </c>
      <c r="F40" s="212">
        <v>69.86</v>
      </c>
      <c r="G40" s="212">
        <v>72.739999999999995</v>
      </c>
      <c r="H40" s="74">
        <f t="shared" si="18"/>
        <v>4.1225307758373742E-2</v>
      </c>
      <c r="I40" s="213">
        <f t="shared" si="13"/>
        <v>2.8799999999999955</v>
      </c>
      <c r="P40" s="23" t="s">
        <v>53</v>
      </c>
      <c r="Q40" s="212">
        <v>22.7</v>
      </c>
      <c r="R40" s="213">
        <v>29.35</v>
      </c>
      <c r="S40" s="213">
        <v>43.18</v>
      </c>
      <c r="T40" s="213">
        <v>54</v>
      </c>
      <c r="U40" s="213">
        <v>56.57</v>
      </c>
      <c r="V40" s="74">
        <f t="shared" si="14"/>
        <v>4.7592592592592631E-2</v>
      </c>
      <c r="W40" s="213">
        <f t="shared" si="15"/>
        <v>2.5700000000000003</v>
      </c>
      <c r="AE40" s="23" t="s">
        <v>53</v>
      </c>
      <c r="AF40" s="215">
        <v>7215296.4500000002</v>
      </c>
      <c r="AG40" s="216">
        <v>12828760.220000001</v>
      </c>
      <c r="AH40" s="216">
        <v>20416665.23</v>
      </c>
      <c r="AI40" s="216">
        <v>24141003.859999999</v>
      </c>
      <c r="AJ40" s="216">
        <v>26195575.010000002</v>
      </c>
      <c r="AK40" s="74">
        <f t="shared" si="16"/>
        <v>8.5107113271469581E-2</v>
      </c>
      <c r="AL40" s="52">
        <f t="shared" si="17"/>
        <v>2054571.1500000022</v>
      </c>
    </row>
    <row r="41" spans="2:39" x14ac:dyDescent="0.25">
      <c r="B41" s="101"/>
      <c r="C41" s="102"/>
      <c r="D41" s="102"/>
      <c r="E41" s="102"/>
      <c r="F41" s="102"/>
      <c r="G41" s="103"/>
      <c r="H41" s="102"/>
      <c r="I41" s="104"/>
      <c r="P41" s="101"/>
      <c r="Q41" s="102"/>
      <c r="R41" s="102"/>
      <c r="S41" s="102"/>
      <c r="T41" s="102"/>
      <c r="U41" s="103"/>
      <c r="V41" s="102"/>
      <c r="W41" s="104"/>
      <c r="AE41" s="101"/>
      <c r="AF41" s="101"/>
      <c r="AG41" s="101"/>
      <c r="AH41" s="101"/>
      <c r="AI41" s="102"/>
      <c r="AJ41" s="103"/>
      <c r="AK41" s="104"/>
      <c r="AL41" s="104"/>
    </row>
    <row r="42" spans="2:39" x14ac:dyDescent="0.25">
      <c r="B42" s="305" t="s">
        <v>55</v>
      </c>
      <c r="C42" s="305"/>
      <c r="D42" s="305"/>
      <c r="E42" s="305"/>
      <c r="F42" s="305"/>
      <c r="G42" s="305"/>
      <c r="H42" s="305"/>
      <c r="I42" s="105"/>
      <c r="P42" s="105" t="s">
        <v>55</v>
      </c>
      <c r="Q42" s="105"/>
      <c r="R42" s="105"/>
      <c r="S42" s="105"/>
      <c r="T42" s="105"/>
      <c r="U42" s="105"/>
      <c r="V42" s="105"/>
      <c r="W42" s="105"/>
      <c r="AE42" s="105" t="s">
        <v>55</v>
      </c>
      <c r="AF42" s="105"/>
      <c r="AG42" s="105"/>
      <c r="AH42" s="105"/>
      <c r="AI42" s="105"/>
      <c r="AJ42" s="105"/>
      <c r="AK42" s="105"/>
      <c r="AL42" s="105"/>
    </row>
    <row r="43" spans="2:39" ht="39" customHeight="1" x14ac:dyDescent="0.25">
      <c r="B43" s="282" t="s">
        <v>165</v>
      </c>
      <c r="C43" s="282"/>
      <c r="D43" s="282"/>
      <c r="E43" s="282"/>
      <c r="F43" s="282"/>
      <c r="G43" s="282"/>
      <c r="H43" s="282"/>
      <c r="P43" s="282" t="s">
        <v>166</v>
      </c>
      <c r="Q43" s="282"/>
      <c r="R43" s="282"/>
      <c r="S43" s="282"/>
      <c r="T43" s="282"/>
      <c r="U43" s="282"/>
      <c r="V43" s="282"/>
      <c r="W43" s="282"/>
      <c r="AE43" s="303" t="s">
        <v>167</v>
      </c>
      <c r="AF43" s="303"/>
      <c r="AG43" s="303"/>
      <c r="AH43" s="303"/>
      <c r="AI43" s="303"/>
      <c r="AJ43" s="303"/>
      <c r="AK43" s="303"/>
      <c r="AL43" s="303"/>
      <c r="AM43" s="303"/>
    </row>
    <row r="44" spans="2:39" ht="24" customHeight="1" x14ac:dyDescent="0.25">
      <c r="B44" s="282" t="s">
        <v>168</v>
      </c>
      <c r="C44" s="282"/>
      <c r="D44" s="282"/>
      <c r="E44" s="282"/>
      <c r="F44" s="282"/>
      <c r="G44" s="282"/>
      <c r="H44" s="282"/>
      <c r="P44" s="304" t="s">
        <v>169</v>
      </c>
      <c r="Q44" s="304"/>
      <c r="R44" s="304"/>
      <c r="S44" s="304"/>
      <c r="T44" s="304"/>
      <c r="U44" s="304"/>
      <c r="V44" s="304"/>
      <c r="W44" s="304"/>
      <c r="AF44" s="120"/>
      <c r="AG44" s="120"/>
    </row>
  </sheetData>
  <mergeCells count="18">
    <mergeCell ref="B42:H42"/>
    <mergeCell ref="B43:H43"/>
    <mergeCell ref="P43:W43"/>
    <mergeCell ref="AE43:AM43"/>
    <mergeCell ref="B44:H44"/>
    <mergeCell ref="P44:W44"/>
    <mergeCell ref="AE27:AK27"/>
    <mergeCell ref="B5:N5"/>
    <mergeCell ref="P5:AB5"/>
    <mergeCell ref="AD5:AT5"/>
    <mergeCell ref="B21:N21"/>
    <mergeCell ref="P21:W21"/>
    <mergeCell ref="AD21:AV21"/>
    <mergeCell ref="B22:N22"/>
    <mergeCell ref="P22:W22"/>
    <mergeCell ref="B23:N23"/>
    <mergeCell ref="B27:H27"/>
    <mergeCell ref="P27:W27"/>
  </mergeCells>
  <pageMargins left="0.7" right="0.7" top="0.75" bottom="0.75" header="0.3" footer="0.3"/>
  <pageSetup paperSize="9" orientation="portrait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4DE459-EE0B-42D7-BFAF-036D73A7E6B7}">
  <sheetPr codeName="Hoja36">
    <tabColor theme="4"/>
  </sheetPr>
  <dimension ref="B4:B25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spans="2:2" ht="15" customHeight="1" x14ac:dyDescent="0.25"/>
    <row r="18" spans="2:2" ht="15" customHeight="1" x14ac:dyDescent="0.25"/>
    <row r="19" spans="2:2" ht="15" customHeight="1" x14ac:dyDescent="0.25"/>
    <row r="20" spans="2:2" ht="15" customHeight="1" x14ac:dyDescent="0.25"/>
    <row r="21" spans="2:2" ht="15" customHeight="1" x14ac:dyDescent="0.25"/>
    <row r="22" spans="2:2" ht="15" customHeight="1" x14ac:dyDescent="0.25"/>
    <row r="23" spans="2:2" ht="15" customHeight="1" x14ac:dyDescent="0.25"/>
    <row r="24" spans="2:2" ht="15" customHeight="1" x14ac:dyDescent="0.25"/>
    <row r="25" spans="2:2" x14ac:dyDescent="0.25">
      <c r="B25" t="s">
        <v>161</v>
      </c>
    </row>
  </sheetData>
  <pageMargins left="0.7" right="0.7" top="0.75" bottom="0.75" header="0.3" footer="0.3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255175-52A6-40E6-9479-EFEB207FCC3F}">
  <sheetPr codeName="Hoja37">
    <tabColor theme="4" tint="0.39997558519241921"/>
  </sheetPr>
  <dimension ref="A1:AE13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4" width="14.28515625" customWidth="1"/>
    <col min="5" max="12" width="14.7109375" customWidth="1"/>
    <col min="13" max="13" width="11.42578125" customWidth="1"/>
    <col min="14" max="14" width="14.7109375" customWidth="1"/>
    <col min="20" max="20" width="12.42578125" customWidth="1"/>
    <col min="27" max="27" width="14" customWidth="1"/>
    <col min="31" max="31" width="11.42578125" style="1"/>
  </cols>
  <sheetData>
    <row r="1" spans="1:31" ht="30" customHeight="1" x14ac:dyDescent="0.25">
      <c r="B1" s="1" t="s">
        <v>307</v>
      </c>
      <c r="C1" s="1"/>
      <c r="D1" s="1"/>
      <c r="F1" s="221"/>
      <c r="G1" s="221"/>
      <c r="H1" s="221"/>
      <c r="J1" s="221"/>
    </row>
    <row r="3" spans="1:31" s="4" customFormat="1" ht="25.5" customHeight="1" thickBot="1" x14ac:dyDescent="0.3">
      <c r="B3" s="62" t="s">
        <v>308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45" x14ac:dyDescent="0.25">
      <c r="C5" s="168" t="s">
        <v>260</v>
      </c>
      <c r="D5" s="168" t="s">
        <v>261</v>
      </c>
      <c r="E5" s="168" t="s">
        <v>262</v>
      </c>
      <c r="F5" s="168" t="s">
        <v>263</v>
      </c>
      <c r="G5" s="169" t="str">
        <f>CONCATENATE("var. ",RIGHT(F5,2),"/",RIGHT(E5,2))</f>
        <v>var. 23/22</v>
      </c>
      <c r="H5" s="169" t="str">
        <f>CONCATENATE("dif. ",RIGHT(F5,2),"/",RIGHT(E5,2))</f>
        <v>dif. 23/22</v>
      </c>
      <c r="I5" s="169" t="str">
        <f>CONCATENATE("%/s total España ",RIGHT(F5,4))</f>
        <v>%/s total España 2023</v>
      </c>
      <c r="J5" s="168" t="s">
        <v>264</v>
      </c>
      <c r="K5" s="169" t="str">
        <f>CONCATENATE("var. ",RIGHT(J5,2),"/",RIGHT(F5,2))</f>
        <v>var. 24/23</v>
      </c>
      <c r="L5" s="169" t="str">
        <f>CONCATENATE("dif. ",RIGHT(J5,2),"/",RIGHT(F5,2))</f>
        <v>dif. 24/23</v>
      </c>
      <c r="M5" s="169" t="str">
        <f>CONCATENATE("%/s total España ",RIGHT(J5,4))</f>
        <v>%/s total España 2024</v>
      </c>
      <c r="N5" s="168" t="s">
        <v>265</v>
      </c>
      <c r="O5" s="169" t="str">
        <f>CONCATENATE("var. ",RIGHT(N5,2),"/",RIGHT(J5,2))</f>
        <v>var. 25/24</v>
      </c>
      <c r="P5" s="169" t="str">
        <f>CONCATENATE("dif. ",RIGHT(N5,2),"/",RIGHT(J5,2))</f>
        <v>dif. 25/24</v>
      </c>
      <c r="Q5" s="169" t="str">
        <f>CONCATENATE("var. ",RIGHT(N5,2),"/",RIGHT(C5,2))</f>
        <v>var. 25/20</v>
      </c>
      <c r="R5" s="169" t="str">
        <f>CONCATENATE("dif. ",RIGHT(N5,2),"/",RIGHT(C5,2))</f>
        <v>dif. 25/20</v>
      </c>
      <c r="S5" s="169" t="str">
        <f>CONCATENATE("%/s total España ",RIGHT(N5,4))</f>
        <v>%/s total España 2025</v>
      </c>
      <c r="T5" s="169" t="str">
        <f>CONCATENATE("%/s total Turistas ",RIGHT(N5,4))</f>
        <v>%/s total Turistas 2025</v>
      </c>
      <c r="AE5" s="1"/>
    </row>
    <row r="6" spans="1:31" s="4" customFormat="1" ht="18.75" x14ac:dyDescent="0.3">
      <c r="B6" s="222" t="s">
        <v>173</v>
      </c>
      <c r="C6" s="223">
        <v>61311</v>
      </c>
      <c r="D6" s="223">
        <v>4603</v>
      </c>
      <c r="E6" s="223">
        <v>36105</v>
      </c>
      <c r="F6" s="223">
        <v>60088</v>
      </c>
      <c r="G6" s="224">
        <f t="shared" ref="G6:G11" si="0">F6/E6-1</f>
        <v>0.6642570281124498</v>
      </c>
      <c r="H6" s="223">
        <f t="shared" ref="H6:H11" si="1">F6-E6</f>
        <v>23983</v>
      </c>
      <c r="I6" s="224"/>
      <c r="J6" s="223">
        <v>64481</v>
      </c>
      <c r="K6" s="224">
        <f t="shared" ref="K6:K11" si="2">J6/F6-1</f>
        <v>7.3109439488749928E-2</v>
      </c>
      <c r="L6" s="223">
        <f t="shared" ref="L6:L11" si="3">J6-F6</f>
        <v>4393</v>
      </c>
      <c r="M6" s="224"/>
      <c r="N6" s="223">
        <v>65410</v>
      </c>
      <c r="O6" s="224">
        <f t="shared" ref="O6:O11" si="4">N6/J6-1</f>
        <v>1.4407344799243216E-2</v>
      </c>
      <c r="P6" s="223">
        <f t="shared" ref="P6:P11" si="5">N6-J6</f>
        <v>929</v>
      </c>
      <c r="Q6" s="224">
        <f>N6/C6-1</f>
        <v>6.6855865994682739E-2</v>
      </c>
      <c r="R6" s="223">
        <f>N6-C6</f>
        <v>4099</v>
      </c>
      <c r="S6" s="224"/>
      <c r="T6" s="224"/>
      <c r="V6" s="29"/>
      <c r="AE6" s="1"/>
    </row>
    <row r="7" spans="1:31" ht="18.75" x14ac:dyDescent="0.3">
      <c r="A7" s="4"/>
      <c r="B7" s="222" t="s">
        <v>174</v>
      </c>
      <c r="C7" s="223">
        <v>19992</v>
      </c>
      <c r="D7" s="223">
        <v>2136</v>
      </c>
      <c r="E7" s="223">
        <v>12392</v>
      </c>
      <c r="F7" s="223">
        <v>18745</v>
      </c>
      <c r="G7" s="224">
        <f t="shared" si="0"/>
        <v>0.51266946417043258</v>
      </c>
      <c r="H7" s="223">
        <f t="shared" si="1"/>
        <v>6353</v>
      </c>
      <c r="I7" s="224">
        <f>F7/$F$7</f>
        <v>1</v>
      </c>
      <c r="J7" s="223">
        <v>17189</v>
      </c>
      <c r="K7" s="224">
        <f t="shared" si="2"/>
        <v>-8.3008802347292576E-2</v>
      </c>
      <c r="L7" s="223">
        <f t="shared" si="3"/>
        <v>-1556</v>
      </c>
      <c r="M7" s="224">
        <f>J7/$J$7</f>
        <v>1</v>
      </c>
      <c r="N7" s="223">
        <v>18625</v>
      </c>
      <c r="O7" s="224">
        <f t="shared" si="4"/>
        <v>8.3541799988364751E-2</v>
      </c>
      <c r="P7" s="223">
        <f t="shared" si="5"/>
        <v>1436</v>
      </c>
      <c r="Q7" s="224">
        <f t="shared" ref="Q7:Q11" si="6">N7/C7-1</f>
        <v>-6.8377350940376114E-2</v>
      </c>
      <c r="R7" s="223">
        <f t="shared" ref="R7:R11" si="7">N7-C7</f>
        <v>-1367</v>
      </c>
      <c r="S7" s="224">
        <f>N7/$N$7</f>
        <v>1</v>
      </c>
      <c r="T7" s="224">
        <f>N7/$N$6</f>
        <v>0.28474239412933799</v>
      </c>
      <c r="V7" s="29"/>
      <c r="W7" s="79"/>
      <c r="AE7" s="1" t="s">
        <v>175</v>
      </c>
    </row>
    <row r="8" spans="1:31" ht="15.75" x14ac:dyDescent="0.25">
      <c r="A8" s="4"/>
      <c r="B8" s="225" t="s">
        <v>100</v>
      </c>
      <c r="C8" s="226">
        <v>16449</v>
      </c>
      <c r="D8" s="226">
        <v>1035</v>
      </c>
      <c r="E8" s="226">
        <v>9244</v>
      </c>
      <c r="F8" s="226">
        <v>15131</v>
      </c>
      <c r="G8" s="227">
        <f t="shared" si="0"/>
        <v>0.63684552141929895</v>
      </c>
      <c r="H8" s="226">
        <f t="shared" si="1"/>
        <v>5887</v>
      </c>
      <c r="I8" s="227">
        <f>F8/$F$7</f>
        <v>0.80720192051213657</v>
      </c>
      <c r="J8" s="226">
        <v>13891</v>
      </c>
      <c r="K8" s="227">
        <f t="shared" si="2"/>
        <v>-8.1950961602009098E-2</v>
      </c>
      <c r="L8" s="226">
        <f t="shared" si="3"/>
        <v>-1240</v>
      </c>
      <c r="M8" s="227">
        <f>J8/$J$7</f>
        <v>0.80813310838326835</v>
      </c>
      <c r="N8" s="226">
        <v>14812</v>
      </c>
      <c r="O8" s="227">
        <f t="shared" si="4"/>
        <v>6.6301922107839584E-2</v>
      </c>
      <c r="P8" s="226">
        <f t="shared" si="5"/>
        <v>921</v>
      </c>
      <c r="Q8" s="227">
        <f t="shared" si="6"/>
        <v>-9.9519727643017863E-2</v>
      </c>
      <c r="R8" s="226">
        <f t="shared" si="7"/>
        <v>-1637</v>
      </c>
      <c r="S8" s="227">
        <f>N8/$N$7</f>
        <v>0.79527516778523488</v>
      </c>
      <c r="T8" s="227">
        <f>N8/$N$6</f>
        <v>0.22644855526677879</v>
      </c>
      <c r="V8" s="29"/>
      <c r="W8" s="79"/>
      <c r="AE8" s="1" t="s">
        <v>176</v>
      </c>
    </row>
    <row r="9" spans="1:31" s="4" customFormat="1" x14ac:dyDescent="0.25">
      <c r="B9" s="228" t="s">
        <v>103</v>
      </c>
      <c r="C9" s="229">
        <v>3543</v>
      </c>
      <c r="D9" s="229">
        <v>1101</v>
      </c>
      <c r="E9" s="229">
        <v>3148</v>
      </c>
      <c r="F9" s="229">
        <v>3614</v>
      </c>
      <c r="G9" s="230">
        <f t="shared" si="0"/>
        <v>0.14803049555273184</v>
      </c>
      <c r="H9" s="231">
        <f t="shared" si="1"/>
        <v>466</v>
      </c>
      <c r="I9" s="232">
        <f>F9/$F$7</f>
        <v>0.19279807948786343</v>
      </c>
      <c r="J9" s="229">
        <v>3298</v>
      </c>
      <c r="K9" s="230">
        <f t="shared" si="2"/>
        <v>-8.7437742114001127E-2</v>
      </c>
      <c r="L9" s="231">
        <f t="shared" si="3"/>
        <v>-316</v>
      </c>
      <c r="M9" s="232">
        <f>J9/$J$7</f>
        <v>0.19186689161673162</v>
      </c>
      <c r="N9" s="229">
        <v>3813</v>
      </c>
      <c r="O9" s="230">
        <f t="shared" si="4"/>
        <v>0.15615524560339589</v>
      </c>
      <c r="P9" s="231">
        <f t="shared" si="5"/>
        <v>515</v>
      </c>
      <c r="Q9" s="230">
        <f t="shared" si="6"/>
        <v>7.6206604572396364E-2</v>
      </c>
      <c r="R9" s="231">
        <f t="shared" si="7"/>
        <v>270</v>
      </c>
      <c r="S9" s="232">
        <f>N9/$N$7</f>
        <v>0.20472483221476509</v>
      </c>
      <c r="T9" s="232">
        <f>N9/$N$6</f>
        <v>5.829383886255924E-2</v>
      </c>
      <c r="V9" s="29"/>
      <c r="W9" s="79"/>
      <c r="AE9" s="1" t="s">
        <v>177</v>
      </c>
    </row>
    <row r="10" spans="1:31" s="4" customFormat="1" x14ac:dyDescent="0.25">
      <c r="B10" s="233" t="s">
        <v>178</v>
      </c>
      <c r="C10" s="29">
        <v>2582</v>
      </c>
      <c r="D10" s="29">
        <v>213</v>
      </c>
      <c r="E10" s="29">
        <v>1808</v>
      </c>
      <c r="F10" s="29">
        <v>2426</v>
      </c>
      <c r="G10" s="22">
        <f t="shared" si="0"/>
        <v>0.3418141592920354</v>
      </c>
      <c r="H10" s="20">
        <f t="shared" si="1"/>
        <v>618</v>
      </c>
      <c r="I10" s="31">
        <f>F10/$F$7</f>
        <v>0.12942117898106162</v>
      </c>
      <c r="J10" s="29">
        <v>1531</v>
      </c>
      <c r="K10" s="22">
        <f t="shared" si="2"/>
        <v>-0.36892003297609233</v>
      </c>
      <c r="L10" s="20">
        <f t="shared" si="3"/>
        <v>-895</v>
      </c>
      <c r="M10" s="31">
        <f>J10/$J$7</f>
        <v>8.906859037756705E-2</v>
      </c>
      <c r="N10" s="29">
        <v>1220</v>
      </c>
      <c r="O10" s="22">
        <f t="shared" si="4"/>
        <v>-0.20313520574787725</v>
      </c>
      <c r="P10" s="20">
        <f t="shared" si="5"/>
        <v>-311</v>
      </c>
      <c r="Q10" s="22">
        <f t="shared" si="6"/>
        <v>-0.52749806351665374</v>
      </c>
      <c r="R10" s="20">
        <f t="shared" si="7"/>
        <v>-1362</v>
      </c>
      <c r="S10" s="31">
        <f>N10/$N$7</f>
        <v>6.550335570469798E-2</v>
      </c>
      <c r="T10" s="31">
        <f>N10/$N$6</f>
        <v>1.8651582326861336E-2</v>
      </c>
      <c r="V10" s="29"/>
      <c r="W10" s="79"/>
      <c r="AE10" s="1" t="s">
        <v>179</v>
      </c>
    </row>
    <row r="11" spans="1:31" s="4" customFormat="1" x14ac:dyDescent="0.25">
      <c r="B11" s="233" t="s">
        <v>180</v>
      </c>
      <c r="C11" s="29">
        <f>C9-C10</f>
        <v>961</v>
      </c>
      <c r="D11" s="29">
        <f>D9-D10</f>
        <v>888</v>
      </c>
      <c r="E11" s="29">
        <f>E9-E10</f>
        <v>1340</v>
      </c>
      <c r="F11" s="29">
        <f>F9-F10</f>
        <v>1188</v>
      </c>
      <c r="G11" s="22">
        <f t="shared" si="0"/>
        <v>-0.11343283582089547</v>
      </c>
      <c r="H11" s="20">
        <f t="shared" si="1"/>
        <v>-152</v>
      </c>
      <c r="I11" s="31">
        <f>F11/$F$7</f>
        <v>6.3376900506801809E-2</v>
      </c>
      <c r="J11" s="29">
        <f>J9-J10</f>
        <v>1767</v>
      </c>
      <c r="K11" s="22">
        <f t="shared" si="2"/>
        <v>0.48737373737373746</v>
      </c>
      <c r="L11" s="20">
        <f t="shared" si="3"/>
        <v>579</v>
      </c>
      <c r="M11" s="31">
        <f>J11/$J$7</f>
        <v>0.10279830123916459</v>
      </c>
      <c r="N11" s="29">
        <f>N9-N10</f>
        <v>2593</v>
      </c>
      <c r="O11" s="22">
        <f t="shared" si="4"/>
        <v>0.46745897000565928</v>
      </c>
      <c r="P11" s="20">
        <f t="shared" si="5"/>
        <v>826</v>
      </c>
      <c r="Q11" s="22">
        <f t="shared" si="6"/>
        <v>1.6982310093652444</v>
      </c>
      <c r="R11" s="20">
        <f t="shared" si="7"/>
        <v>1632</v>
      </c>
      <c r="S11" s="31">
        <f>N11/$N$7</f>
        <v>0.13922147651006711</v>
      </c>
      <c r="T11" s="31">
        <f>N11/$N$6</f>
        <v>3.9642256535697903E-2</v>
      </c>
      <c r="V11" s="29"/>
      <c r="W11" s="79"/>
      <c r="AE11" s="1" t="s">
        <v>181</v>
      </c>
    </row>
    <row r="12" spans="1:31" s="4" customFormat="1" ht="7.5" customHeight="1" x14ac:dyDescent="0.25">
      <c r="B12" s="234"/>
      <c r="C12" s="234"/>
      <c r="D12" s="234"/>
      <c r="E12" s="234"/>
      <c r="F12" s="234"/>
      <c r="G12" s="234"/>
      <c r="H12" s="234"/>
      <c r="I12" s="234"/>
      <c r="J12" s="234"/>
      <c r="K12" s="234"/>
      <c r="L12" s="234"/>
      <c r="M12" s="234"/>
      <c r="N12" s="234"/>
      <c r="O12" s="234"/>
      <c r="P12" s="234"/>
      <c r="Q12" s="234"/>
      <c r="R12" s="234"/>
      <c r="S12" s="234"/>
      <c r="T12" s="234"/>
      <c r="AE12" s="1" t="s">
        <v>182</v>
      </c>
    </row>
    <row r="13" spans="1:31" s="4" customFormat="1" x14ac:dyDescent="0.25">
      <c r="B13" s="167" t="s">
        <v>183</v>
      </c>
      <c r="C13" s="167"/>
      <c r="D13" s="167"/>
      <c r="E13" s="167"/>
      <c r="F13" s="167"/>
      <c r="G13" s="167"/>
      <c r="H13" s="167"/>
      <c r="I13" s="167"/>
      <c r="J13" s="167"/>
      <c r="K13" s="167"/>
      <c r="L13" s="167"/>
      <c r="M13" s="167"/>
      <c r="N13" s="167"/>
      <c r="O13" s="167"/>
      <c r="P13" s="167"/>
      <c r="Q13" s="167"/>
      <c r="R13" s="167"/>
      <c r="S13" s="167"/>
      <c r="T13" s="167"/>
      <c r="AE13" s="1" t="s">
        <v>184</v>
      </c>
    </row>
    <row r="14" spans="1:31" s="4" customFormat="1" x14ac:dyDescent="0.25">
      <c r="AE14" s="1"/>
    </row>
    <row r="37" spans="2:31" s="4" customFormat="1" ht="15.75" hidden="1" customHeight="1" thickBot="1" x14ac:dyDescent="0.3">
      <c r="B37" s="265" t="s">
        <v>185</v>
      </c>
      <c r="C37" s="265"/>
      <c r="D37" s="265"/>
      <c r="E37" s="265"/>
      <c r="F37" s="265"/>
      <c r="G37" s="265"/>
      <c r="H37" s="265"/>
      <c r="I37" s="265"/>
      <c r="J37" s="265"/>
      <c r="K37" s="265"/>
      <c r="L37" s="265"/>
      <c r="M37" s="265"/>
      <c r="N37" s="265"/>
      <c r="O37" s="265"/>
      <c r="P37" s="265"/>
      <c r="Q37" s="265"/>
      <c r="R37" s="265"/>
      <c r="S37" s="83"/>
      <c r="T37" s="83"/>
      <c r="AE37" s="1"/>
    </row>
    <row r="38" spans="2:31" s="4" customFormat="1" ht="6" hidden="1" customHeight="1" thickBot="1" x14ac:dyDescent="0.3">
      <c r="AE38" s="1"/>
    </row>
    <row r="39" spans="2:31" s="4" customFormat="1" ht="30" hidden="1" x14ac:dyDescent="0.25">
      <c r="E39" s="87"/>
      <c r="F39" s="87"/>
      <c r="G39" s="87"/>
      <c r="H39" s="87"/>
      <c r="I39" s="87"/>
      <c r="J39" s="14">
        <v>2020</v>
      </c>
      <c r="K39" s="14"/>
      <c r="L39" s="14"/>
      <c r="M39" s="14" t="s">
        <v>186</v>
      </c>
      <c r="N39" s="14">
        <v>2021</v>
      </c>
      <c r="O39" s="14" t="s">
        <v>186</v>
      </c>
      <c r="P39" s="14" t="s">
        <v>187</v>
      </c>
      <c r="Q39" s="14" t="s">
        <v>188</v>
      </c>
      <c r="R39" s="14" t="s">
        <v>189</v>
      </c>
      <c r="S39" s="87"/>
      <c r="T39" s="87"/>
      <c r="AE39" s="1"/>
    </row>
    <row r="40" spans="2:31" s="4" customFormat="1" ht="18.75" hidden="1" x14ac:dyDescent="0.3">
      <c r="B40" s="222" t="s">
        <v>173</v>
      </c>
      <c r="C40" s="222"/>
      <c r="D40" s="222"/>
      <c r="E40" s="223"/>
      <c r="F40" s="223"/>
      <c r="G40" s="223"/>
      <c r="H40" s="223"/>
      <c r="I40" s="223"/>
      <c r="J40" s="223">
        <v>1824653</v>
      </c>
      <c r="K40" s="223"/>
      <c r="L40" s="223"/>
      <c r="M40" s="224"/>
      <c r="N40" s="223">
        <v>2354005</v>
      </c>
      <c r="O40" s="224"/>
      <c r="P40" s="224">
        <v>1</v>
      </c>
      <c r="Q40" s="224">
        <v>0.2901110512519367</v>
      </c>
      <c r="R40" s="223">
        <v>529352</v>
      </c>
      <c r="S40" s="235"/>
      <c r="T40" s="235"/>
      <c r="AE40" s="1"/>
    </row>
    <row r="41" spans="2:31" ht="18.75" hidden="1" x14ac:dyDescent="0.3">
      <c r="B41" s="222" t="s">
        <v>174</v>
      </c>
      <c r="C41" s="222"/>
      <c r="D41" s="222"/>
      <c r="E41" s="223"/>
      <c r="F41" s="223"/>
      <c r="G41" s="223"/>
      <c r="H41" s="223"/>
      <c r="I41" s="223"/>
      <c r="J41" s="223">
        <v>603938</v>
      </c>
      <c r="K41" s="223"/>
      <c r="L41" s="223"/>
      <c r="M41" s="224">
        <v>1</v>
      </c>
      <c r="N41" s="223">
        <v>936181</v>
      </c>
      <c r="O41" s="224">
        <v>1</v>
      </c>
      <c r="P41" s="224">
        <v>0.39769711619134201</v>
      </c>
      <c r="Q41" s="224">
        <v>0.55012766211101138</v>
      </c>
      <c r="R41" s="223">
        <v>332243</v>
      </c>
      <c r="S41" s="235"/>
      <c r="T41" s="235"/>
      <c r="AE41" s="1" t="s">
        <v>175</v>
      </c>
    </row>
    <row r="42" spans="2:31" ht="15.75" hidden="1" x14ac:dyDescent="0.25">
      <c r="B42" s="225" t="s">
        <v>100</v>
      </c>
      <c r="C42" s="225"/>
      <c r="D42" s="225"/>
      <c r="E42" s="226"/>
      <c r="F42" s="226"/>
      <c r="G42" s="226"/>
      <c r="H42" s="226"/>
      <c r="I42" s="226"/>
      <c r="J42" s="226">
        <v>276550.36166633503</v>
      </c>
      <c r="K42" s="226"/>
      <c r="L42" s="226"/>
      <c r="M42" s="227">
        <v>0.45791184139155844</v>
      </c>
      <c r="N42" s="226">
        <v>430252.45635520399</v>
      </c>
      <c r="O42" s="227">
        <v>0.4595825554622493</v>
      </c>
      <c r="P42" s="227">
        <v>0.18277465695918402</v>
      </c>
      <c r="Q42" s="227">
        <v>0.55578337978930015</v>
      </c>
      <c r="R42" s="226">
        <v>153702.09468886897</v>
      </c>
      <c r="S42" s="236"/>
      <c r="T42" s="236"/>
      <c r="AE42" s="1" t="s">
        <v>176</v>
      </c>
    </row>
    <row r="43" spans="2:31" s="4" customFormat="1" hidden="1" x14ac:dyDescent="0.25">
      <c r="B43" s="228" t="s">
        <v>103</v>
      </c>
      <c r="C43" s="237"/>
      <c r="D43" s="237"/>
      <c r="E43" s="229"/>
      <c r="F43" s="229"/>
      <c r="G43" s="229"/>
      <c r="H43" s="229"/>
      <c r="I43" s="229"/>
      <c r="J43" s="229">
        <v>327387.63833385095</v>
      </c>
      <c r="K43" s="229"/>
      <c r="L43" s="229"/>
      <c r="M43" s="232">
        <v>0.54208815860874948</v>
      </c>
      <c r="N43" s="229">
        <v>505927.5436448183</v>
      </c>
      <c r="O43" s="232">
        <v>0.54041637636826456</v>
      </c>
      <c r="P43" s="232">
        <v>0.21492203442423372</v>
      </c>
      <c r="Q43" s="230">
        <v>0.54534711884540576</v>
      </c>
      <c r="R43" s="231">
        <v>178539.90531096736</v>
      </c>
      <c r="S43" s="238"/>
      <c r="T43" s="238"/>
      <c r="AE43" s="1" t="s">
        <v>177</v>
      </c>
    </row>
    <row r="44" spans="2:31" s="4" customFormat="1" hidden="1" x14ac:dyDescent="0.25">
      <c r="B44" s="233" t="s">
        <v>178</v>
      </c>
      <c r="C44" s="233"/>
      <c r="D44" s="233"/>
      <c r="E44" s="29"/>
      <c r="F44" s="29"/>
      <c r="G44" s="29"/>
      <c r="H44" s="29"/>
      <c r="I44" s="29"/>
      <c r="J44" s="29">
        <v>242109.12821622068</v>
      </c>
      <c r="K44" s="29"/>
      <c r="L44" s="29"/>
      <c r="M44" s="31">
        <v>0.4008840778626625</v>
      </c>
      <c r="N44" s="29">
        <v>391384.01224089495</v>
      </c>
      <c r="O44" s="31">
        <v>0.41806446855992052</v>
      </c>
      <c r="P44" s="31">
        <v>0.16626303352834634</v>
      </c>
      <c r="Q44" s="22">
        <v>0.61656033014732592</v>
      </c>
      <c r="R44" s="20">
        <v>149274.88402467428</v>
      </c>
      <c r="S44" s="20"/>
      <c r="T44" s="20"/>
      <c r="AE44" s="1" t="s">
        <v>179</v>
      </c>
    </row>
    <row r="45" spans="2:31" s="4" customFormat="1" hidden="1" x14ac:dyDescent="0.25">
      <c r="B45" s="233" t="s">
        <v>180</v>
      </c>
      <c r="C45" s="233"/>
      <c r="D45" s="233"/>
      <c r="E45" s="29"/>
      <c r="F45" s="29"/>
      <c r="G45" s="29"/>
      <c r="H45" s="29"/>
      <c r="I45" s="29"/>
      <c r="J45" s="29">
        <v>85278.510117630256</v>
      </c>
      <c r="K45" s="29"/>
      <c r="L45" s="29"/>
      <c r="M45" s="31">
        <v>0.14120408074608695</v>
      </c>
      <c r="N45" s="29">
        <v>114543.53140392336</v>
      </c>
      <c r="O45" s="31">
        <v>0.12235190780834407</v>
      </c>
      <c r="P45" s="31">
        <v>4.8659000895887379E-2</v>
      </c>
      <c r="Q45" s="22">
        <v>0.34316994100771625</v>
      </c>
      <c r="R45" s="20">
        <v>29265.021286293108</v>
      </c>
      <c r="S45" s="20"/>
      <c r="T45" s="20"/>
      <c r="AE45" s="1" t="s">
        <v>181</v>
      </c>
    </row>
    <row r="46" spans="2:31" s="4" customFormat="1" ht="7.5" hidden="1" customHeight="1" x14ac:dyDescent="0.25">
      <c r="B46" s="234"/>
      <c r="C46" s="234"/>
      <c r="D46" s="234"/>
      <c r="E46" s="234"/>
      <c r="F46" s="234"/>
      <c r="G46" s="234"/>
      <c r="H46" s="234"/>
      <c r="I46" s="234"/>
      <c r="J46" s="234"/>
      <c r="K46" s="234"/>
      <c r="L46" s="234"/>
      <c r="M46" s="234"/>
      <c r="N46" s="234"/>
      <c r="O46" s="234"/>
      <c r="P46" s="234"/>
      <c r="Q46" s="234"/>
      <c r="R46" s="234"/>
      <c r="AE46" s="1" t="s">
        <v>182</v>
      </c>
    </row>
    <row r="47" spans="2:31" s="4" customFormat="1" hidden="1" x14ac:dyDescent="0.25">
      <c r="B47" s="283" t="s">
        <v>183</v>
      </c>
      <c r="C47" s="283"/>
      <c r="D47" s="283"/>
      <c r="E47" s="283"/>
      <c r="F47" s="283"/>
      <c r="G47" s="283"/>
      <c r="H47" s="283"/>
      <c r="I47" s="283"/>
      <c r="J47" s="283"/>
      <c r="K47" s="283"/>
      <c r="L47" s="283"/>
      <c r="M47" s="283"/>
      <c r="N47" s="283"/>
      <c r="O47" s="283"/>
      <c r="P47" s="283"/>
      <c r="Q47" s="283"/>
      <c r="R47" s="283"/>
      <c r="S47" s="48"/>
      <c r="T47" s="48"/>
      <c r="AE47" s="1" t="s">
        <v>184</v>
      </c>
    </row>
    <row r="48" spans="2:31" s="4" customFormat="1" hidden="1" x14ac:dyDescent="0.25">
      <c r="AE48" s="1"/>
    </row>
    <row r="49" spans="5:12" hidden="1" x14ac:dyDescent="0.25">
      <c r="E49" s="122"/>
      <c r="F49" s="122"/>
      <c r="G49" s="122"/>
      <c r="H49" s="122"/>
      <c r="I49" s="122"/>
      <c r="J49" s="122">
        <v>0.54208815860874948</v>
      </c>
      <c r="K49" s="122"/>
      <c r="L49" s="122"/>
    </row>
    <row r="50" spans="5:12" hidden="1" x14ac:dyDescent="0.25"/>
    <row r="51" spans="5:12" hidden="1" x14ac:dyDescent="0.25"/>
    <row r="52" spans="5:12" hidden="1" x14ac:dyDescent="0.25"/>
    <row r="53" spans="5:12" hidden="1" x14ac:dyDescent="0.25"/>
    <row r="54" spans="5:12" hidden="1" x14ac:dyDescent="0.25"/>
    <row r="55" spans="5:12" hidden="1" x14ac:dyDescent="0.25"/>
    <row r="56" spans="5:12" hidden="1" x14ac:dyDescent="0.25"/>
    <row r="57" spans="5:12" hidden="1" x14ac:dyDescent="0.25"/>
    <row r="58" spans="5:12" hidden="1" x14ac:dyDescent="0.25"/>
    <row r="59" spans="5:12" hidden="1" x14ac:dyDescent="0.25"/>
    <row r="60" spans="5:12" hidden="1" x14ac:dyDescent="0.25"/>
    <row r="61" spans="5:12" hidden="1" x14ac:dyDescent="0.25"/>
    <row r="62" spans="5:12" hidden="1" x14ac:dyDescent="0.25"/>
    <row r="63" spans="5:12" hidden="1" x14ac:dyDescent="0.25"/>
    <row r="64" spans="5:12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spans="2:31" hidden="1" x14ac:dyDescent="0.25"/>
    <row r="114" spans="2:31" hidden="1" x14ac:dyDescent="0.25"/>
    <row r="115" spans="2:31" hidden="1" x14ac:dyDescent="0.25"/>
    <row r="116" spans="2:31" hidden="1" x14ac:dyDescent="0.25"/>
    <row r="120" spans="2:31" x14ac:dyDescent="0.25">
      <c r="Z120" s="1"/>
      <c r="AE120"/>
    </row>
    <row r="121" spans="2:31" ht="21.75" thickBot="1" x14ac:dyDescent="0.3">
      <c r="B121" s="62" t="s">
        <v>308</v>
      </c>
      <c r="C121" s="62"/>
      <c r="D121" s="62"/>
      <c r="E121" s="62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Z121" s="1"/>
      <c r="AE121"/>
    </row>
    <row r="122" spans="2:31" x14ac:dyDescent="0.25"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Z122" s="1"/>
      <c r="AE122"/>
    </row>
    <row r="123" spans="2:31" ht="30" x14ac:dyDescent="0.25">
      <c r="B123" s="4"/>
      <c r="C123" s="181">
        <v>2020</v>
      </c>
      <c r="D123" s="181">
        <v>2021</v>
      </c>
      <c r="E123" s="181">
        <v>2022</v>
      </c>
      <c r="F123" s="181">
        <v>2023</v>
      </c>
      <c r="G123" s="169" t="str">
        <f>CONCATENATE("var. ",RIGHT(F123,2),"/",RIGHT(E123,2))</f>
        <v>var. 23/22</v>
      </c>
      <c r="H123" s="169" t="str">
        <f>CONCATENATE("dif. ",RIGHT(F123,2),"/",RIGHT(E123,2))</f>
        <v>dif. 23/22</v>
      </c>
      <c r="I123" s="169" t="str">
        <f>CONCATENATE("%/s total España ",RIGHT(F123,4))</f>
        <v>%/s total España 2023</v>
      </c>
      <c r="J123" s="181">
        <v>2024</v>
      </c>
      <c r="K123" s="169" t="str">
        <f>CONCATENATE("%/s total España ",RIGHT(J123,4))</f>
        <v>%/s total España 2024</v>
      </c>
      <c r="L123" s="169" t="str">
        <f>CONCATENATE("var. ",RIGHT(J123,2),"/",RIGHT(F123,2))</f>
        <v>var. 24/23</v>
      </c>
      <c r="M123" s="169" t="str">
        <f>CONCATENATE("dif. ",RIGHT(J123,2),"/",RIGHT(F123,2))</f>
        <v>dif. 24/23</v>
      </c>
      <c r="N123" s="169" t="str">
        <f>CONCATENATE("var. ",RIGHT(J123,2),"/",RIGHT(D123,2))</f>
        <v>var. 24/21</v>
      </c>
      <c r="O123" s="169" t="str">
        <f>CONCATENATE("dif. ",RIGHT(J123,2),"/",RIGHT(D123,2))</f>
        <v>dif. 24/21</v>
      </c>
      <c r="Z123" s="1"/>
      <c r="AE123"/>
    </row>
    <row r="124" spans="2:31" ht="18.75" x14ac:dyDescent="0.3">
      <c r="B124" s="222" t="s">
        <v>173</v>
      </c>
      <c r="C124" s="223">
        <v>225835</v>
      </c>
      <c r="D124" s="223">
        <v>354204</v>
      </c>
      <c r="E124" s="223">
        <v>710225</v>
      </c>
      <c r="F124" s="223">
        <v>797848</v>
      </c>
      <c r="G124" s="224">
        <f t="shared" ref="G124:G129" si="8">F124/E124-1</f>
        <v>0.12337357879545219</v>
      </c>
      <c r="H124" s="223">
        <f t="shared" ref="H124:H129" si="9">F124-E124</f>
        <v>87623</v>
      </c>
      <c r="I124" s="224"/>
      <c r="J124" s="223">
        <v>914356</v>
      </c>
      <c r="K124" s="224"/>
      <c r="L124" s="224">
        <f t="shared" ref="L124:L129" si="10">J124/F124-1</f>
        <v>0.14602781482187077</v>
      </c>
      <c r="M124" s="223">
        <f t="shared" ref="M124:M129" si="11">J124-F124</f>
        <v>116508</v>
      </c>
      <c r="N124" s="224">
        <f t="shared" ref="N124:N129" si="12">J124/D124-1</f>
        <v>1.5814389447888786</v>
      </c>
      <c r="O124" s="223">
        <f t="shared" ref="O124:O129" si="13">J124-D124</f>
        <v>560152</v>
      </c>
      <c r="Z124" s="1"/>
      <c r="AE124"/>
    </row>
    <row r="125" spans="2:31" ht="18.75" x14ac:dyDescent="0.3">
      <c r="B125" s="222" t="s">
        <v>174</v>
      </c>
      <c r="C125" s="223">
        <v>103133</v>
      </c>
      <c r="D125" s="223">
        <v>181693</v>
      </c>
      <c r="E125" s="223">
        <v>342343</v>
      </c>
      <c r="F125" s="223">
        <v>341923</v>
      </c>
      <c r="G125" s="224">
        <f t="shared" si="8"/>
        <v>-1.2268397484394011E-3</v>
      </c>
      <c r="H125" s="223">
        <f t="shared" si="9"/>
        <v>-420</v>
      </c>
      <c r="I125" s="224">
        <f>F125/$F$7</f>
        <v>18.240757535342759</v>
      </c>
      <c r="J125" s="223">
        <v>382237</v>
      </c>
      <c r="K125" s="224">
        <f>J125/$J$125</f>
        <v>1</v>
      </c>
      <c r="L125" s="224">
        <f t="shared" si="10"/>
        <v>0.1179037385610211</v>
      </c>
      <c r="M125" s="223">
        <f t="shared" si="11"/>
        <v>40314</v>
      </c>
      <c r="N125" s="224">
        <f t="shared" si="12"/>
        <v>1.1037519332060124</v>
      </c>
      <c r="O125" s="223">
        <f t="shared" si="13"/>
        <v>200544</v>
      </c>
      <c r="Z125" s="1"/>
      <c r="AE125"/>
    </row>
    <row r="126" spans="2:31" ht="15.75" x14ac:dyDescent="0.25">
      <c r="B126" s="225" t="s">
        <v>100</v>
      </c>
      <c r="C126" s="226">
        <v>74813</v>
      </c>
      <c r="D126" s="226">
        <v>114704</v>
      </c>
      <c r="E126" s="226">
        <v>244952</v>
      </c>
      <c r="F126" s="226">
        <v>249820</v>
      </c>
      <c r="G126" s="227">
        <f t="shared" si="8"/>
        <v>1.987328129592747E-2</v>
      </c>
      <c r="H126" s="226">
        <f t="shared" si="9"/>
        <v>4868</v>
      </c>
      <c r="I126" s="227">
        <f>F126/$F$7</f>
        <v>13.327287276607095</v>
      </c>
      <c r="J126" s="226">
        <v>275953</v>
      </c>
      <c r="K126" s="227">
        <f>J126/$J$125</f>
        <v>0.72194214584145433</v>
      </c>
      <c r="L126" s="227">
        <f t="shared" si="10"/>
        <v>0.1046073172684332</v>
      </c>
      <c r="M126" s="226">
        <f t="shared" si="11"/>
        <v>26133</v>
      </c>
      <c r="N126" s="227">
        <f t="shared" si="12"/>
        <v>1.4057835820895521</v>
      </c>
      <c r="O126" s="226">
        <f t="shared" si="13"/>
        <v>161249</v>
      </c>
      <c r="Z126" s="1"/>
      <c r="AE126"/>
    </row>
    <row r="127" spans="2:31" x14ac:dyDescent="0.25">
      <c r="B127" s="228" t="s">
        <v>103</v>
      </c>
      <c r="C127" s="229">
        <v>28320</v>
      </c>
      <c r="D127" s="229">
        <v>66989</v>
      </c>
      <c r="E127" s="229">
        <v>97391</v>
      </c>
      <c r="F127" s="229">
        <v>92103</v>
      </c>
      <c r="G127" s="230">
        <f t="shared" si="8"/>
        <v>-5.4296598248298134E-2</v>
      </c>
      <c r="H127" s="231">
        <f t="shared" si="9"/>
        <v>-5288</v>
      </c>
      <c r="I127" s="232">
        <f>F127/$F$7</f>
        <v>4.9134702587356625</v>
      </c>
      <c r="J127" s="229">
        <v>106284</v>
      </c>
      <c r="K127" s="232">
        <f>J127/$J$125</f>
        <v>0.27805785415854561</v>
      </c>
      <c r="L127" s="230">
        <f t="shared" si="10"/>
        <v>0.15396892609361257</v>
      </c>
      <c r="M127" s="231">
        <f t="shared" si="11"/>
        <v>14181</v>
      </c>
      <c r="N127" s="230">
        <f t="shared" si="12"/>
        <v>0.58658884294436398</v>
      </c>
      <c r="O127" s="231">
        <f t="shared" si="13"/>
        <v>39295</v>
      </c>
      <c r="Z127" s="1"/>
      <c r="AE127"/>
    </row>
    <row r="128" spans="2:31" x14ac:dyDescent="0.25">
      <c r="B128" s="233" t="s">
        <v>178</v>
      </c>
      <c r="C128" s="29">
        <v>17892</v>
      </c>
      <c r="D128" s="29">
        <v>29544</v>
      </c>
      <c r="E128" s="29">
        <v>51380</v>
      </c>
      <c r="F128" s="29">
        <v>50546</v>
      </c>
      <c r="G128" s="22">
        <f t="shared" si="8"/>
        <v>-1.6231996885947786E-2</v>
      </c>
      <c r="H128" s="20">
        <f t="shared" si="9"/>
        <v>-834</v>
      </c>
      <c r="I128" s="31">
        <f>F128/$F$7</f>
        <v>2.69650573486263</v>
      </c>
      <c r="J128" s="29">
        <v>44152</v>
      </c>
      <c r="K128" s="31">
        <f>J128/$J$125</f>
        <v>0.11550948756923062</v>
      </c>
      <c r="L128" s="22">
        <f t="shared" si="10"/>
        <v>-0.12649863490681756</v>
      </c>
      <c r="M128" s="20">
        <f t="shared" si="11"/>
        <v>-6394</v>
      </c>
      <c r="N128" s="22">
        <f t="shared" si="12"/>
        <v>0.4944489574871378</v>
      </c>
      <c r="O128" s="20">
        <f t="shared" si="13"/>
        <v>14608</v>
      </c>
      <c r="Z128" s="1"/>
      <c r="AE128"/>
    </row>
    <row r="129" spans="2:31" x14ac:dyDescent="0.25">
      <c r="B129" s="233" t="s">
        <v>180</v>
      </c>
      <c r="C129" s="29">
        <f>C127-C128</f>
        <v>10428</v>
      </c>
      <c r="D129" s="29">
        <f>D127-D128</f>
        <v>37445</v>
      </c>
      <c r="E129" s="29">
        <f>E127-E128</f>
        <v>46011</v>
      </c>
      <c r="F129" s="29">
        <f>F127-F128</f>
        <v>41557</v>
      </c>
      <c r="G129" s="22">
        <f t="shared" si="8"/>
        <v>-9.6802938427767327E-2</v>
      </c>
      <c r="H129" s="20">
        <f t="shared" si="9"/>
        <v>-4454</v>
      </c>
      <c r="I129" s="31">
        <f>F129/$F$7</f>
        <v>2.2169645238730329</v>
      </c>
      <c r="J129" s="29">
        <f>J127-J128</f>
        <v>62132</v>
      </c>
      <c r="K129" s="31">
        <f>J129/$J$125</f>
        <v>0.16254836658931501</v>
      </c>
      <c r="L129" s="22">
        <f t="shared" si="10"/>
        <v>0.4951031113891764</v>
      </c>
      <c r="M129" s="20">
        <f t="shared" si="11"/>
        <v>20575</v>
      </c>
      <c r="N129" s="22">
        <f t="shared" si="12"/>
        <v>0.65928695419949257</v>
      </c>
      <c r="O129" s="20">
        <f t="shared" si="13"/>
        <v>24687</v>
      </c>
      <c r="Z129" s="1"/>
      <c r="AE129"/>
    </row>
    <row r="130" spans="2:31" x14ac:dyDescent="0.25">
      <c r="B130" s="234"/>
      <c r="C130" s="234"/>
      <c r="D130" s="234"/>
      <c r="E130" s="234"/>
      <c r="F130" s="234"/>
      <c r="G130" s="234"/>
      <c r="H130" s="234"/>
      <c r="I130" s="234"/>
      <c r="J130" s="234"/>
      <c r="K130" s="234"/>
      <c r="L130" s="234"/>
      <c r="M130" s="234"/>
      <c r="N130" s="234"/>
      <c r="O130" s="234"/>
      <c r="Z130" s="1"/>
      <c r="AE130"/>
    </row>
    <row r="131" spans="2:31" x14ac:dyDescent="0.25">
      <c r="B131" s="167" t="s">
        <v>183</v>
      </c>
      <c r="C131" s="167"/>
      <c r="D131" s="167"/>
      <c r="E131" s="167"/>
      <c r="F131" s="167"/>
      <c r="G131" s="167"/>
      <c r="H131" s="167"/>
      <c r="I131" s="167"/>
      <c r="J131" s="167"/>
      <c r="K131" s="167"/>
      <c r="L131" s="167"/>
      <c r="M131" s="167"/>
      <c r="N131" s="167"/>
      <c r="O131" s="167"/>
      <c r="Z131" s="1"/>
      <c r="AE131"/>
    </row>
  </sheetData>
  <mergeCells count="2">
    <mergeCell ref="B37:R37"/>
    <mergeCell ref="B47:R47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494A8E-4F6F-412B-9B5F-FE052C21B2B2}">
  <sheetPr codeName="Hoja38">
    <tabColor theme="4" tint="0.39997558519241921"/>
  </sheetPr>
  <dimension ref="A1:AE14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20" width="12.42578125" customWidth="1"/>
    <col min="27" max="27" width="14" hidden="1" customWidth="1"/>
    <col min="31" max="31" width="11.42578125" style="1"/>
  </cols>
  <sheetData>
    <row r="1" spans="1:31" ht="30" customHeight="1" x14ac:dyDescent="0.25">
      <c r="B1" s="1" t="s">
        <v>190</v>
      </c>
      <c r="G1" s="221"/>
      <c r="H1" s="221"/>
      <c r="I1" s="221"/>
      <c r="K1" s="221"/>
    </row>
    <row r="3" spans="1:31" s="4" customFormat="1" ht="25.5" customHeight="1" thickBot="1" x14ac:dyDescent="0.3">
      <c r="B3" s="62" t="s">
        <v>309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30" x14ac:dyDescent="0.25">
      <c r="C5" s="239" t="s">
        <v>260</v>
      </c>
      <c r="D5" s="239" t="s">
        <v>261</v>
      </c>
      <c r="E5" s="239" t="s">
        <v>262</v>
      </c>
      <c r="F5" s="240" t="str">
        <f>CONCATENATE("%/s total Tenerife ",RIGHT(E5,4))</f>
        <v>%/s total Tenerife 2022</v>
      </c>
      <c r="G5" s="239" t="s">
        <v>263</v>
      </c>
      <c r="H5" s="240" t="str">
        <f>CONCATENATE("var. ",RIGHT(G5,2),"/",RIGHT(E5,2))</f>
        <v>var. 23/22</v>
      </c>
      <c r="I5" s="240" t="str">
        <f>CONCATENATE("dif. ",RIGHT(G5,2),"/",RIGHT(E5,2))</f>
        <v>dif. 23/22</v>
      </c>
      <c r="J5" s="240" t="str">
        <f>CONCATENATE("%/s total Tenerife ",RIGHT(G5,4))</f>
        <v>%/s total Tenerife 2023</v>
      </c>
      <c r="K5" s="239" t="s">
        <v>264</v>
      </c>
      <c r="L5" s="240" t="str">
        <f>CONCATENATE("var. ",RIGHT(K5,2),"/",RIGHT(G5,2))</f>
        <v>var. 24/23</v>
      </c>
      <c r="M5" s="240" t="str">
        <f>CONCATENATE("dif. ",RIGHT(K5,2),"/",RIGHT(G5,2))</f>
        <v>dif. 24/23</v>
      </c>
      <c r="N5" s="240" t="str">
        <f>CONCATENATE("%/s total Tenerife ",RIGHT(K5,4))</f>
        <v>%/s total Tenerife 2024</v>
      </c>
      <c r="O5" s="239" t="s">
        <v>265</v>
      </c>
      <c r="P5" s="240" t="str">
        <f>CONCATENATE("var. ",RIGHT(O5,2),"/",RIGHT(K5,2))</f>
        <v>var. 25/24</v>
      </c>
      <c r="Q5" s="240" t="str">
        <f>CONCATENATE("dif. ",RIGHT(O5,2),"/",RIGHT(K5,2))</f>
        <v>dif. 25/24</v>
      </c>
      <c r="R5" s="240" t="str">
        <f>CONCATENATE("var. ",RIGHT(O5,2),"/",RIGHT(C5,2))</f>
        <v>var. 25/20</v>
      </c>
      <c r="S5" s="240" t="str">
        <f>CONCATENATE("dif. ",RIGHT(O5,2),"/",RIGHT(C5,2))</f>
        <v>dif. 25/20</v>
      </c>
      <c r="T5" s="240" t="str">
        <f>CONCATENATE("%/s total Tenerife ",RIGHT(O5,4))</f>
        <v>%/s total Tenerife 2025</v>
      </c>
      <c r="AE5" s="1"/>
    </row>
    <row r="6" spans="1:31" ht="18.75" x14ac:dyDescent="0.3">
      <c r="A6" s="4"/>
      <c r="B6" s="222" t="s">
        <v>191</v>
      </c>
      <c r="C6" s="241">
        <v>19992</v>
      </c>
      <c r="D6" s="241">
        <v>2136</v>
      </c>
      <c r="E6" s="241">
        <v>12392</v>
      </c>
      <c r="F6" s="242">
        <f>E6/$E$6</f>
        <v>1</v>
      </c>
      <c r="G6" s="241">
        <v>18745</v>
      </c>
      <c r="H6" s="242">
        <f>G6/E6-1</f>
        <v>0.51266946417043258</v>
      </c>
      <c r="I6" s="241">
        <f>G6-E6</f>
        <v>6353</v>
      </c>
      <c r="J6" s="242">
        <f>G6/$G$6</f>
        <v>1</v>
      </c>
      <c r="K6" s="241">
        <v>17189</v>
      </c>
      <c r="L6" s="242">
        <f t="shared" ref="L6:L12" si="0">K6/G6-1</f>
        <v>-8.3008802347292576E-2</v>
      </c>
      <c r="M6" s="241">
        <f t="shared" ref="M6:M12" si="1">K6-G6</f>
        <v>-1556</v>
      </c>
      <c r="N6" s="242">
        <f>K6/$K$6</f>
        <v>1</v>
      </c>
      <c r="O6" s="241">
        <v>18625</v>
      </c>
      <c r="P6" s="242">
        <f t="shared" ref="P6:P11" si="2">O6/K6-1</f>
        <v>8.3541799988364751E-2</v>
      </c>
      <c r="Q6" s="241">
        <f t="shared" ref="Q6:Q12" si="3">O6-K6</f>
        <v>1436</v>
      </c>
      <c r="R6" s="242">
        <f>O6/C6-1</f>
        <v>-6.8377350940376114E-2</v>
      </c>
      <c r="S6" s="241">
        <f>O6-C6</f>
        <v>-1367</v>
      </c>
      <c r="T6" s="242">
        <f>O6/$O$6</f>
        <v>1</v>
      </c>
      <c r="V6" s="29"/>
      <c r="W6" s="79"/>
      <c r="AE6" s="1" t="s">
        <v>175</v>
      </c>
    </row>
    <row r="7" spans="1:31" s="4" customFormat="1" x14ac:dyDescent="0.25">
      <c r="B7" s="243" t="s">
        <v>192</v>
      </c>
      <c r="C7" s="244">
        <v>16841</v>
      </c>
      <c r="D7" s="244">
        <v>1742</v>
      </c>
      <c r="E7" s="244">
        <v>10573</v>
      </c>
      <c r="F7" s="245">
        <f t="shared" ref="F7:F12" si="4">E7/$E$6</f>
        <v>0.85321174951581669</v>
      </c>
      <c r="G7" s="244">
        <v>16592</v>
      </c>
      <c r="H7" s="246">
        <f>G7/E7-1</f>
        <v>0.56928024212617045</v>
      </c>
      <c r="I7" s="247">
        <f>G7-E7</f>
        <v>6019</v>
      </c>
      <c r="J7" s="245">
        <f>G7/$G$6</f>
        <v>0.885142704721259</v>
      </c>
      <c r="K7" s="244">
        <v>15398</v>
      </c>
      <c r="L7" s="248">
        <f t="shared" si="0"/>
        <v>-7.1962391513982649E-2</v>
      </c>
      <c r="M7" s="249">
        <f t="shared" si="1"/>
        <v>-1194</v>
      </c>
      <c r="N7" s="245">
        <f>K7/$K$6</f>
        <v>0.89580545697830005</v>
      </c>
      <c r="O7" s="244">
        <v>16231</v>
      </c>
      <c r="P7" s="246">
        <f t="shared" si="2"/>
        <v>5.4097934796726754E-2</v>
      </c>
      <c r="Q7" s="247">
        <f t="shared" si="3"/>
        <v>833</v>
      </c>
      <c r="R7" s="246">
        <f t="shared" ref="R7:R10" si="5">O7/C7-1</f>
        <v>-3.6221127011460075E-2</v>
      </c>
      <c r="S7" s="247">
        <f t="shared" ref="S7:S10" si="6">O7-C7</f>
        <v>-610</v>
      </c>
      <c r="T7" s="245">
        <f>O7/$O$6</f>
        <v>0.87146308724832211</v>
      </c>
      <c r="V7" s="29"/>
      <c r="W7" s="79"/>
      <c r="AE7" s="1" t="s">
        <v>177</v>
      </c>
    </row>
    <row r="8" spans="1:31" s="4" customFormat="1" x14ac:dyDescent="0.25">
      <c r="B8" s="97" t="s">
        <v>62</v>
      </c>
      <c r="C8" s="250">
        <v>2986</v>
      </c>
      <c r="D8" s="250">
        <v>966</v>
      </c>
      <c r="E8" s="250">
        <v>2218</v>
      </c>
      <c r="F8" s="251">
        <f t="shared" si="4"/>
        <v>0.17898644286636539</v>
      </c>
      <c r="G8" s="250">
        <v>2271</v>
      </c>
      <c r="H8" s="252">
        <f>IFERROR(G8/E8-1,"-")</f>
        <v>2.3895401262398641E-2</v>
      </c>
      <c r="I8" s="253">
        <f t="shared" ref="I8:I12" si="7">G8-E8</f>
        <v>53</v>
      </c>
      <c r="J8" s="251">
        <f t="shared" ref="J8:J12" si="8">G8/$G$6</f>
        <v>0.12115230728194185</v>
      </c>
      <c r="K8" s="250">
        <v>1977</v>
      </c>
      <c r="L8" s="254">
        <f>IFERROR(K8/G8-1,"-")</f>
        <v>-0.1294583883751651</v>
      </c>
      <c r="M8" s="255">
        <f>IF(G8=0,"nd",K8-G8)</f>
        <v>-294</v>
      </c>
      <c r="N8" s="256">
        <f t="shared" ref="N8:N12" si="9">K8/$K$6</f>
        <v>0.11501541683634883</v>
      </c>
      <c r="O8" s="250">
        <v>2684</v>
      </c>
      <c r="P8" s="254">
        <f>IFERROR(O8/K8-1,"-")</f>
        <v>0.35761254425897815</v>
      </c>
      <c r="Q8" s="257">
        <f t="shared" si="3"/>
        <v>707</v>
      </c>
      <c r="R8" s="254">
        <f>IFERROR(O8/C8-1,"-")</f>
        <v>-0.10113864701942399</v>
      </c>
      <c r="S8" s="257">
        <f t="shared" si="6"/>
        <v>-302</v>
      </c>
      <c r="T8" s="256">
        <f t="shared" ref="T8:T12" si="10">O8/$O$6</f>
        <v>0.14410738255033556</v>
      </c>
      <c r="V8" s="29"/>
      <c r="W8" s="79"/>
      <c r="AE8" s="1"/>
    </row>
    <row r="9" spans="1:31" s="4" customFormat="1" x14ac:dyDescent="0.25">
      <c r="B9" s="97" t="s">
        <v>61</v>
      </c>
      <c r="C9" s="250">
        <v>13855</v>
      </c>
      <c r="D9" s="250">
        <v>776</v>
      </c>
      <c r="E9" s="250">
        <v>8355</v>
      </c>
      <c r="F9" s="256">
        <f t="shared" si="4"/>
        <v>0.67422530664945124</v>
      </c>
      <c r="G9" s="250">
        <v>14321</v>
      </c>
      <c r="H9" s="252">
        <f>IFERROR(G9/E9-1,"-")</f>
        <v>0.71406343506882108</v>
      </c>
      <c r="I9" s="257">
        <f t="shared" si="7"/>
        <v>5966</v>
      </c>
      <c r="J9" s="256">
        <f t="shared" si="8"/>
        <v>0.76399039743931718</v>
      </c>
      <c r="K9" s="250">
        <v>13421</v>
      </c>
      <c r="L9" s="254">
        <f>IFERROR(K9/G9-1,"-")</f>
        <v>-6.284477340967809E-2</v>
      </c>
      <c r="M9" s="255">
        <f>IF(G9=0,"nd",K9-G9)</f>
        <v>-900</v>
      </c>
      <c r="N9" s="256">
        <f t="shared" si="9"/>
        <v>0.7807900401419513</v>
      </c>
      <c r="O9" s="250">
        <v>13547</v>
      </c>
      <c r="P9" s="254">
        <f t="shared" si="2"/>
        <v>9.3882721108711209E-3</v>
      </c>
      <c r="Q9" s="257">
        <f t="shared" si="3"/>
        <v>126</v>
      </c>
      <c r="R9" s="258">
        <f t="shared" si="5"/>
        <v>-2.2230241789967575E-2</v>
      </c>
      <c r="S9" s="257">
        <f t="shared" si="6"/>
        <v>-308</v>
      </c>
      <c r="T9" s="256">
        <f t="shared" si="10"/>
        <v>0.7273557046979866</v>
      </c>
      <c r="V9" s="29"/>
      <c r="W9" s="79"/>
      <c r="AE9" s="1"/>
    </row>
    <row r="10" spans="1:31" s="4" customFormat="1" x14ac:dyDescent="0.25">
      <c r="B10" s="243" t="s">
        <v>193</v>
      </c>
      <c r="C10" s="259">
        <v>3151</v>
      </c>
      <c r="D10" s="259">
        <v>394</v>
      </c>
      <c r="E10" s="259">
        <v>1819</v>
      </c>
      <c r="F10" s="260">
        <f>IFERROR(E10/$E$6,"-")</f>
        <v>0.14678825048418334</v>
      </c>
      <c r="G10" s="259">
        <v>2153</v>
      </c>
      <c r="H10" s="248">
        <f>IFERROR(G10/E10-1,"-")</f>
        <v>0.18361737218251784</v>
      </c>
      <c r="I10" s="249">
        <f>IFERROR(G10-E10,"-")</f>
        <v>334</v>
      </c>
      <c r="J10" s="260">
        <f>IFERROR(G10/$G$6,"-")</f>
        <v>0.114857295278741</v>
      </c>
      <c r="K10" s="259">
        <v>1791</v>
      </c>
      <c r="L10" s="248">
        <f>IFERROR(K10/G10-1,"-")</f>
        <v>-0.1681374825824431</v>
      </c>
      <c r="M10" s="249">
        <f>IFERROR(K10-G10,"-")</f>
        <v>-362</v>
      </c>
      <c r="N10" s="260">
        <f>IFERROR(K10/$K$6,"-")</f>
        <v>0.10419454302169992</v>
      </c>
      <c r="O10" s="259">
        <v>2394</v>
      </c>
      <c r="P10" s="248">
        <f>IFERROR(O10/K10-1,"-")</f>
        <v>0.33668341708542715</v>
      </c>
      <c r="Q10" s="249">
        <f>IFERROR(O10-K10,"-")</f>
        <v>603</v>
      </c>
      <c r="R10" s="248">
        <f t="shared" si="5"/>
        <v>-0.24024119327197713</v>
      </c>
      <c r="S10" s="249">
        <f t="shared" si="6"/>
        <v>-757</v>
      </c>
      <c r="T10" s="260">
        <f>IFERROR(O10/$O$6,"-")</f>
        <v>0.12853691275167786</v>
      </c>
      <c r="V10" s="29"/>
      <c r="W10" s="79"/>
      <c r="AE10" s="1"/>
    </row>
    <row r="11" spans="1:31" s="4" customFormat="1" hidden="1" x14ac:dyDescent="0.25">
      <c r="B11" s="97" t="s">
        <v>62</v>
      </c>
      <c r="C11" s="250">
        <v>2040</v>
      </c>
      <c r="D11" s="250">
        <v>207</v>
      </c>
      <c r="E11" s="250">
        <v>1021</v>
      </c>
      <c r="F11" s="256">
        <f t="shared" si="4"/>
        <v>8.2391865719819241E-2</v>
      </c>
      <c r="G11" s="250">
        <v>1108</v>
      </c>
      <c r="H11" s="258">
        <f t="shared" ref="H11:H12" si="11">G11/E11-1</f>
        <v>8.5210577864838433E-2</v>
      </c>
      <c r="I11" s="257">
        <f t="shared" si="7"/>
        <v>87</v>
      </c>
      <c r="J11" s="256">
        <f t="shared" si="8"/>
        <v>5.9109095758869031E-2</v>
      </c>
      <c r="K11" s="250">
        <v>1245</v>
      </c>
      <c r="L11" s="254">
        <f>K11/G11-1</f>
        <v>0.12364620938628157</v>
      </c>
      <c r="M11" s="257">
        <f t="shared" si="1"/>
        <v>137</v>
      </c>
      <c r="N11" s="256">
        <f t="shared" si="9"/>
        <v>7.2430042469020892E-2</v>
      </c>
      <c r="O11" s="250">
        <v>1591</v>
      </c>
      <c r="P11" s="258">
        <f t="shared" si="2"/>
        <v>0.27791164658634537</v>
      </c>
      <c r="Q11" s="257">
        <f t="shared" si="3"/>
        <v>346</v>
      </c>
      <c r="R11" s="258">
        <f t="shared" ref="R11:R12" si="12">O11/D11-1</f>
        <v>6.6859903381642516</v>
      </c>
      <c r="S11" s="257">
        <f t="shared" ref="S11:S12" si="13">O11-D11</f>
        <v>1384</v>
      </c>
      <c r="T11" s="256">
        <f t="shared" si="10"/>
        <v>8.5422818791946312E-2</v>
      </c>
      <c r="V11" s="29"/>
      <c r="W11" s="79"/>
      <c r="AE11" s="1"/>
    </row>
    <row r="12" spans="1:31" s="4" customFormat="1" hidden="1" x14ac:dyDescent="0.25">
      <c r="B12" s="97" t="s">
        <v>61</v>
      </c>
      <c r="C12" s="250" t="e">
        <v>#REF!</v>
      </c>
      <c r="D12" s="250" t="e">
        <v>#REF!</v>
      </c>
      <c r="E12" s="250" t="e">
        <v>#REF!</v>
      </c>
      <c r="F12" s="256" t="e">
        <f t="shared" si="4"/>
        <v>#REF!</v>
      </c>
      <c r="G12" s="250" t="e">
        <v>#REF!</v>
      </c>
      <c r="H12" s="258" t="e">
        <f t="shared" si="11"/>
        <v>#REF!</v>
      </c>
      <c r="I12" s="257" t="e">
        <f t="shared" si="7"/>
        <v>#REF!</v>
      </c>
      <c r="J12" s="256" t="e">
        <f t="shared" si="8"/>
        <v>#REF!</v>
      </c>
      <c r="K12" s="250" t="e">
        <v>#REF!</v>
      </c>
      <c r="L12" s="254" t="e">
        <f t="shared" si="0"/>
        <v>#REF!</v>
      </c>
      <c r="M12" s="257" t="e">
        <f t="shared" si="1"/>
        <v>#REF!</v>
      </c>
      <c r="N12" s="256" t="e">
        <f t="shared" si="9"/>
        <v>#REF!</v>
      </c>
      <c r="O12" s="250" t="e">
        <v>#REF!</v>
      </c>
      <c r="P12" s="258" t="e">
        <f>O12/K12-1</f>
        <v>#REF!</v>
      </c>
      <c r="Q12" s="257" t="e">
        <f t="shared" si="3"/>
        <v>#REF!</v>
      </c>
      <c r="R12" s="258" t="e">
        <f t="shared" si="12"/>
        <v>#REF!</v>
      </c>
      <c r="S12" s="257" t="e">
        <f t="shared" si="13"/>
        <v>#REF!</v>
      </c>
      <c r="T12" s="256" t="e">
        <f t="shared" si="10"/>
        <v>#REF!</v>
      </c>
      <c r="V12" s="29"/>
      <c r="W12" s="79"/>
      <c r="AE12" s="1"/>
    </row>
    <row r="13" spans="1:31" s="4" customFormat="1" ht="7.5" customHeight="1" x14ac:dyDescent="0.25">
      <c r="B13" s="234"/>
      <c r="C13" s="234"/>
      <c r="D13" s="234"/>
      <c r="E13" s="234"/>
      <c r="F13" s="234"/>
      <c r="G13" s="234"/>
      <c r="H13" s="234"/>
      <c r="I13" s="234"/>
      <c r="J13" s="234"/>
      <c r="K13" s="234"/>
      <c r="L13" s="261"/>
      <c r="M13" s="234"/>
      <c r="N13" s="234"/>
      <c r="O13" s="234"/>
      <c r="P13" s="234"/>
      <c r="Q13" s="234"/>
      <c r="R13" s="234"/>
      <c r="S13" s="234"/>
      <c r="T13" s="234"/>
      <c r="AE13" s="1" t="s">
        <v>182</v>
      </c>
    </row>
    <row r="14" spans="1:31" s="4" customFormat="1" x14ac:dyDescent="0.25">
      <c r="B14" s="167" t="s">
        <v>183</v>
      </c>
      <c r="C14" s="167"/>
      <c r="D14" s="167"/>
      <c r="E14" s="167"/>
      <c r="F14" s="167"/>
      <c r="G14" s="167"/>
      <c r="H14" s="167"/>
      <c r="I14" s="167"/>
      <c r="J14" s="167"/>
      <c r="K14" s="167"/>
      <c r="L14" s="167"/>
      <c r="M14" s="167"/>
      <c r="N14" s="167"/>
      <c r="O14" s="167"/>
      <c r="P14" s="167"/>
      <c r="Q14" s="167"/>
      <c r="R14" s="167"/>
      <c r="S14" s="167"/>
      <c r="T14" s="167"/>
      <c r="AE14" s="1" t="s">
        <v>184</v>
      </c>
    </row>
    <row r="15" spans="1:31" s="4" customFormat="1" x14ac:dyDescent="0.25">
      <c r="AE15" s="1"/>
    </row>
    <row r="18" spans="1:27" x14ac:dyDescent="0.25">
      <c r="A18" t="s">
        <v>194</v>
      </c>
    </row>
    <row r="19" spans="1:27" x14ac:dyDescent="0.25">
      <c r="AA19" t="str">
        <f>CONCATENATE("Hoteles: 
",FIXED(O7,0)," viajeros 
cuota: ",FIXED(T7*100,1),"%")</f>
        <v>Hoteles: 
16,231 viajeros 
cuota: 87.1%</v>
      </c>
    </row>
    <row r="20" spans="1:27" x14ac:dyDescent="0.25">
      <c r="AA20" t="str">
        <f>CONCATENATE("Apartamentos: 
",FIXED(O10,0)," viajeros
cuota: ",FIXED(T10*100,1),"%")</f>
        <v>Apartamentos: 
2,394 viajeros
cuota: 12.9%</v>
      </c>
    </row>
    <row r="38" spans="2:31" s="4" customFormat="1" ht="15.75" hidden="1" customHeight="1" thickBot="1" x14ac:dyDescent="0.3">
      <c r="B38" s="265" t="s">
        <v>185</v>
      </c>
      <c r="C38" s="265"/>
      <c r="D38" s="265"/>
      <c r="E38" s="265"/>
      <c r="F38" s="265"/>
      <c r="G38" s="265"/>
      <c r="H38" s="265"/>
      <c r="I38" s="265"/>
      <c r="J38" s="265"/>
      <c r="K38" s="265"/>
      <c r="L38" s="265"/>
      <c r="M38" s="265"/>
      <c r="N38" s="265"/>
      <c r="O38" s="265"/>
      <c r="P38" s="265"/>
      <c r="Q38" s="265"/>
      <c r="R38" s="265"/>
      <c r="S38" s="265"/>
      <c r="T38" s="83"/>
      <c r="AE38" s="1"/>
    </row>
    <row r="39" spans="2:31" s="4" customFormat="1" ht="6" hidden="1" customHeight="1" thickBot="1" x14ac:dyDescent="0.3">
      <c r="AE39" s="1"/>
    </row>
    <row r="40" spans="2:31" s="4" customFormat="1" ht="30" hidden="1" x14ac:dyDescent="0.25">
      <c r="C40" s="87"/>
      <c r="D40" s="87"/>
      <c r="E40" s="87"/>
      <c r="F40" s="87"/>
      <c r="G40" s="87"/>
      <c r="H40" s="87"/>
      <c r="I40" s="87"/>
      <c r="J40" s="87"/>
      <c r="K40" s="14">
        <v>2020</v>
      </c>
      <c r="L40" s="14"/>
      <c r="M40" s="14"/>
      <c r="N40" s="14" t="s">
        <v>186</v>
      </c>
      <c r="O40" s="14">
        <v>2021</v>
      </c>
      <c r="P40" s="14" t="s">
        <v>186</v>
      </c>
      <c r="Q40" s="14" t="s">
        <v>187</v>
      </c>
      <c r="R40" s="14" t="s">
        <v>188</v>
      </c>
      <c r="S40" s="14" t="s">
        <v>189</v>
      </c>
      <c r="T40" s="87"/>
      <c r="AE40" s="1"/>
    </row>
    <row r="41" spans="2:31" s="4" customFormat="1" ht="18.75" hidden="1" x14ac:dyDescent="0.3">
      <c r="B41" s="222" t="s">
        <v>173</v>
      </c>
      <c r="C41" s="223"/>
      <c r="D41" s="223"/>
      <c r="E41" s="223"/>
      <c r="F41" s="223"/>
      <c r="G41" s="223"/>
      <c r="H41" s="223"/>
      <c r="I41" s="223"/>
      <c r="J41" s="223"/>
      <c r="K41" s="223">
        <v>1824653</v>
      </c>
      <c r="L41" s="223"/>
      <c r="M41" s="223"/>
      <c r="N41" s="224"/>
      <c r="O41" s="223">
        <v>2354005</v>
      </c>
      <c r="P41" s="224"/>
      <c r="Q41" s="224">
        <v>1</v>
      </c>
      <c r="R41" s="224">
        <v>0.2901110512519367</v>
      </c>
      <c r="S41" s="223">
        <v>529352</v>
      </c>
      <c r="T41" s="235"/>
      <c r="AE41" s="1"/>
    </row>
    <row r="42" spans="2:31" ht="18.75" hidden="1" x14ac:dyDescent="0.3">
      <c r="B42" s="222" t="s">
        <v>174</v>
      </c>
      <c r="C42" s="223"/>
      <c r="D42" s="223"/>
      <c r="E42" s="223"/>
      <c r="F42" s="223"/>
      <c r="G42" s="223"/>
      <c r="H42" s="223"/>
      <c r="I42" s="223"/>
      <c r="J42" s="223"/>
      <c r="K42" s="223">
        <v>603938</v>
      </c>
      <c r="L42" s="223"/>
      <c r="M42" s="223"/>
      <c r="N42" s="224">
        <v>1</v>
      </c>
      <c r="O42" s="223">
        <v>936181</v>
      </c>
      <c r="P42" s="224">
        <v>1</v>
      </c>
      <c r="Q42" s="224">
        <v>0.39769711619134201</v>
      </c>
      <c r="R42" s="224">
        <v>0.55012766211101138</v>
      </c>
      <c r="S42" s="223">
        <v>332243</v>
      </c>
      <c r="T42" s="235"/>
      <c r="AE42" s="1" t="s">
        <v>175</v>
      </c>
    </row>
    <row r="43" spans="2:31" ht="15.75" hidden="1" x14ac:dyDescent="0.25">
      <c r="B43" s="225" t="s">
        <v>100</v>
      </c>
      <c r="C43" s="226"/>
      <c r="D43" s="226"/>
      <c r="E43" s="226"/>
      <c r="F43" s="226"/>
      <c r="G43" s="226"/>
      <c r="H43" s="226"/>
      <c r="I43" s="226"/>
      <c r="J43" s="226"/>
      <c r="K43" s="226">
        <v>276550.36166633503</v>
      </c>
      <c r="L43" s="226"/>
      <c r="M43" s="226"/>
      <c r="N43" s="227">
        <v>0.45791184139155844</v>
      </c>
      <c r="O43" s="226">
        <v>430252.45635520399</v>
      </c>
      <c r="P43" s="227">
        <v>0.4595825554622493</v>
      </c>
      <c r="Q43" s="227">
        <v>0.18277465695918402</v>
      </c>
      <c r="R43" s="227">
        <v>0.55578337978930015</v>
      </c>
      <c r="S43" s="226">
        <v>153702.09468886897</v>
      </c>
      <c r="T43" s="236"/>
      <c r="AE43" s="1" t="s">
        <v>176</v>
      </c>
    </row>
    <row r="44" spans="2:31" s="4" customFormat="1" hidden="1" x14ac:dyDescent="0.25">
      <c r="B44" s="228" t="s">
        <v>103</v>
      </c>
      <c r="C44" s="229"/>
      <c r="D44" s="229"/>
      <c r="E44" s="229"/>
      <c r="F44" s="229"/>
      <c r="G44" s="229"/>
      <c r="H44" s="229"/>
      <c r="I44" s="229"/>
      <c r="J44" s="229"/>
      <c r="K44" s="229">
        <v>327387.63833385095</v>
      </c>
      <c r="L44" s="229"/>
      <c r="M44" s="229"/>
      <c r="N44" s="232">
        <v>0.54208815860874948</v>
      </c>
      <c r="O44" s="229">
        <v>505927.5436448183</v>
      </c>
      <c r="P44" s="232">
        <v>0.54041637636826456</v>
      </c>
      <c r="Q44" s="232">
        <v>0.21492203442423372</v>
      </c>
      <c r="R44" s="230">
        <v>0.54534711884540576</v>
      </c>
      <c r="S44" s="231">
        <v>178539.90531096736</v>
      </c>
      <c r="T44" s="238"/>
      <c r="AE44" s="1" t="s">
        <v>177</v>
      </c>
    </row>
    <row r="45" spans="2:31" s="4" customFormat="1" hidden="1" x14ac:dyDescent="0.25">
      <c r="B45" s="233" t="s">
        <v>178</v>
      </c>
      <c r="C45" s="29"/>
      <c r="D45" s="29"/>
      <c r="E45" s="29"/>
      <c r="F45" s="29"/>
      <c r="G45" s="29"/>
      <c r="H45" s="29"/>
      <c r="I45" s="29"/>
      <c r="J45" s="29"/>
      <c r="K45" s="29">
        <v>242109.12821622068</v>
      </c>
      <c r="L45" s="29"/>
      <c r="M45" s="29"/>
      <c r="N45" s="31">
        <v>0.4008840778626625</v>
      </c>
      <c r="O45" s="29">
        <v>391384.01224089495</v>
      </c>
      <c r="P45" s="31">
        <v>0.41806446855992052</v>
      </c>
      <c r="Q45" s="31">
        <v>0.16626303352834634</v>
      </c>
      <c r="R45" s="22">
        <v>0.61656033014732592</v>
      </c>
      <c r="S45" s="20">
        <v>149274.88402467428</v>
      </c>
      <c r="T45" s="20"/>
      <c r="AE45" s="1" t="s">
        <v>179</v>
      </c>
    </row>
    <row r="46" spans="2:31" s="4" customFormat="1" hidden="1" x14ac:dyDescent="0.25">
      <c r="B46" s="233" t="s">
        <v>180</v>
      </c>
      <c r="C46" s="29"/>
      <c r="D46" s="29"/>
      <c r="E46" s="29"/>
      <c r="F46" s="29"/>
      <c r="G46" s="29"/>
      <c r="H46" s="29"/>
      <c r="I46" s="29"/>
      <c r="J46" s="29"/>
      <c r="K46" s="29">
        <v>85278.510117630256</v>
      </c>
      <c r="L46" s="29"/>
      <c r="M46" s="29"/>
      <c r="N46" s="31">
        <v>0.14120408074608695</v>
      </c>
      <c r="O46" s="29">
        <v>114543.53140392336</v>
      </c>
      <c r="P46" s="31">
        <v>0.12235190780834407</v>
      </c>
      <c r="Q46" s="31">
        <v>4.8659000895887379E-2</v>
      </c>
      <c r="R46" s="22">
        <v>0.34316994100771625</v>
      </c>
      <c r="S46" s="20">
        <v>29265.021286293108</v>
      </c>
      <c r="T46" s="20"/>
      <c r="AE46" s="1" t="s">
        <v>181</v>
      </c>
    </row>
    <row r="47" spans="2:31" s="4" customFormat="1" ht="7.5" hidden="1" customHeight="1" x14ac:dyDescent="0.25">
      <c r="B47" s="234"/>
      <c r="C47" s="234"/>
      <c r="D47" s="234"/>
      <c r="E47" s="234"/>
      <c r="F47" s="234"/>
      <c r="G47" s="234"/>
      <c r="H47" s="234"/>
      <c r="I47" s="234"/>
      <c r="J47" s="234"/>
      <c r="K47" s="234"/>
      <c r="L47" s="234"/>
      <c r="M47" s="234"/>
      <c r="N47" s="234"/>
      <c r="O47" s="234"/>
      <c r="P47" s="234"/>
      <c r="Q47" s="234"/>
      <c r="R47" s="234"/>
      <c r="S47" s="234"/>
      <c r="AE47" s="1" t="s">
        <v>182</v>
      </c>
    </row>
    <row r="48" spans="2:31" s="4" customFormat="1" hidden="1" x14ac:dyDescent="0.25">
      <c r="B48" s="283" t="s">
        <v>183</v>
      </c>
      <c r="C48" s="283"/>
      <c r="D48" s="283"/>
      <c r="E48" s="283"/>
      <c r="F48" s="283"/>
      <c r="G48" s="283"/>
      <c r="H48" s="283"/>
      <c r="I48" s="283"/>
      <c r="J48" s="283"/>
      <c r="K48" s="283"/>
      <c r="L48" s="283"/>
      <c r="M48" s="283"/>
      <c r="N48" s="283"/>
      <c r="O48" s="283"/>
      <c r="P48" s="283"/>
      <c r="Q48" s="283"/>
      <c r="R48" s="283"/>
      <c r="S48" s="283"/>
      <c r="T48" s="48"/>
      <c r="AE48" s="1" t="s">
        <v>184</v>
      </c>
    </row>
    <row r="49" spans="3:31" s="4" customFormat="1" hidden="1" x14ac:dyDescent="0.25">
      <c r="AE49" s="1"/>
    </row>
    <row r="50" spans="3:31" hidden="1" x14ac:dyDescent="0.25">
      <c r="C50" s="122"/>
      <c r="D50" s="122"/>
      <c r="E50" s="122"/>
      <c r="F50" s="122"/>
      <c r="G50" s="122"/>
      <c r="H50" s="122"/>
      <c r="I50" s="122"/>
      <c r="J50" s="122"/>
      <c r="K50" s="122">
        <v>0.54208815860874948</v>
      </c>
      <c r="L50" s="122"/>
      <c r="M50" s="122"/>
    </row>
    <row r="51" spans="3:31" hidden="1" x14ac:dyDescent="0.25"/>
    <row r="52" spans="3:31" hidden="1" x14ac:dyDescent="0.25"/>
    <row r="53" spans="3:31" hidden="1" x14ac:dyDescent="0.25"/>
    <row r="54" spans="3:31" hidden="1" x14ac:dyDescent="0.25"/>
    <row r="55" spans="3:31" hidden="1" x14ac:dyDescent="0.25"/>
    <row r="56" spans="3:31" hidden="1" x14ac:dyDescent="0.25"/>
    <row r="57" spans="3:31" hidden="1" x14ac:dyDescent="0.25"/>
    <row r="58" spans="3:31" hidden="1" x14ac:dyDescent="0.25"/>
    <row r="59" spans="3:31" hidden="1" x14ac:dyDescent="0.25"/>
    <row r="60" spans="3:31" hidden="1" x14ac:dyDescent="0.25"/>
    <row r="61" spans="3:31" hidden="1" x14ac:dyDescent="0.25"/>
    <row r="62" spans="3:31" hidden="1" x14ac:dyDescent="0.25"/>
    <row r="63" spans="3:31" hidden="1" x14ac:dyDescent="0.25"/>
    <row r="64" spans="3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31" spans="1:31" s="4" customFormat="1" ht="25.5" customHeight="1" thickBot="1" x14ac:dyDescent="0.3">
      <c r="B131" s="62" t="s">
        <v>195</v>
      </c>
      <c r="C131" s="62"/>
      <c r="D131" s="62"/>
      <c r="E131" s="62"/>
      <c r="F131" s="62"/>
      <c r="G131" s="62"/>
      <c r="H131" s="62"/>
      <c r="I131" s="62"/>
      <c r="J131" s="62"/>
      <c r="K131" s="62"/>
      <c r="L131" s="62"/>
      <c r="M131" s="62"/>
      <c r="N131" s="62"/>
      <c r="O131" s="62"/>
      <c r="Z131" s="1"/>
    </row>
    <row r="132" spans="1:31" s="4" customFormat="1" ht="6" customHeight="1" x14ac:dyDescent="0.25">
      <c r="Z132" s="1"/>
    </row>
    <row r="133" spans="1:31" s="4" customFormat="1" ht="30" x14ac:dyDescent="0.25">
      <c r="C133" s="181">
        <v>2020</v>
      </c>
      <c r="D133" s="181">
        <v>2021</v>
      </c>
      <c r="E133" s="181">
        <v>2022</v>
      </c>
      <c r="F133" s="181">
        <v>2023</v>
      </c>
      <c r="G133" s="169" t="str">
        <f>CONCATENATE("var. ",RIGHT(F133,2),"/",RIGHT(E133,2))</f>
        <v>var. 23/22</v>
      </c>
      <c r="H133" s="169" t="str">
        <f>CONCATENATE("dif. ",RIGHT(F133,2),"/",RIGHT(E133,2))</f>
        <v>dif. 23/22</v>
      </c>
      <c r="I133" s="240" t="str">
        <f>CONCATENATE("%/s total Tenerife ",RIGHT(F133,4))</f>
        <v>%/s total Tenerife 2023</v>
      </c>
      <c r="J133" s="181">
        <v>2024</v>
      </c>
      <c r="K133" s="240" t="str">
        <f>CONCATENATE("%/s total Tenerife ",RIGHT(J133,4))</f>
        <v>%/s total Tenerife 2024</v>
      </c>
      <c r="L133" s="169" t="str">
        <f>CONCATENATE("var. ",RIGHT(J133,2),"/",RIGHT(F133,2))</f>
        <v>var. 24/23</v>
      </c>
      <c r="M133" s="169" t="str">
        <f>CONCATENATE("dif. ",RIGHT(J133,2),"/",RIGHT(F133,2))</f>
        <v>dif. 24/23</v>
      </c>
      <c r="N133" s="169" t="str">
        <f>CONCATENATE("var. ",RIGHT(J133,2),"/",RIGHT(D133,2))</f>
        <v>var. 24/21</v>
      </c>
      <c r="O133" s="169" t="str">
        <f>CONCATENATE("dif. ",RIGHT(J133,2),"/",RIGHT(D133,2))</f>
        <v>dif. 24/21</v>
      </c>
      <c r="Z133" s="1"/>
    </row>
    <row r="134" spans="1:31" ht="18.75" x14ac:dyDescent="0.3">
      <c r="A134" s="4"/>
      <c r="B134" s="222" t="s">
        <v>191</v>
      </c>
      <c r="C134" s="241">
        <v>19992</v>
      </c>
      <c r="D134" s="226">
        <v>114704</v>
      </c>
      <c r="E134" s="226">
        <v>244952</v>
      </c>
      <c r="F134" s="226">
        <v>249820</v>
      </c>
      <c r="G134" s="227">
        <f>F134/E134-1</f>
        <v>1.987328129592747E-2</v>
      </c>
      <c r="H134" s="226">
        <f>F134-E134</f>
        <v>4868</v>
      </c>
      <c r="I134" s="227">
        <f>F134/F$134</f>
        <v>1</v>
      </c>
      <c r="J134" s="226">
        <v>275953</v>
      </c>
      <c r="K134" s="227">
        <f>J134/J$134</f>
        <v>1</v>
      </c>
      <c r="L134" s="227">
        <f>J134/F134-1</f>
        <v>0.1046073172684332</v>
      </c>
      <c r="M134" s="226">
        <f>J134-F134</f>
        <v>26133</v>
      </c>
      <c r="N134" s="227">
        <f>J134/D134-1</f>
        <v>1.4057835820895521</v>
      </c>
      <c r="O134" s="226">
        <f>J134-D134</f>
        <v>161249</v>
      </c>
      <c r="Q134" s="29"/>
      <c r="R134" s="79"/>
      <c r="Z134" s="1" t="s">
        <v>175</v>
      </c>
      <c r="AE134"/>
    </row>
    <row r="135" spans="1:31" s="4" customFormat="1" x14ac:dyDescent="0.25">
      <c r="B135" s="243" t="s">
        <v>192</v>
      </c>
      <c r="C135" s="244">
        <v>16841</v>
      </c>
      <c r="D135" s="244">
        <v>98793</v>
      </c>
      <c r="E135" s="244">
        <v>213248</v>
      </c>
      <c r="F135" s="244">
        <v>218970</v>
      </c>
      <c r="G135" s="248">
        <f>IFERROR(F135/E135-1,"-")</f>
        <v>2.6832608043217299E-2</v>
      </c>
      <c r="H135" s="244">
        <f t="shared" ref="H135:H138" si="14">F135-E135</f>
        <v>5722</v>
      </c>
      <c r="I135" s="246">
        <f>F135/F$134</f>
        <v>0.87651108798334798</v>
      </c>
      <c r="J135" s="244">
        <v>227439</v>
      </c>
      <c r="K135" s="245">
        <f t="shared" ref="K135:K138" si="15">J135/J$134</f>
        <v>0.82419469982207116</v>
      </c>
      <c r="L135" s="246">
        <f t="shared" ref="L135:L138" si="16">J135/F135-1</f>
        <v>3.8676531031648143E-2</v>
      </c>
      <c r="M135" s="247">
        <f t="shared" ref="M135:M138" si="17">J135-F135</f>
        <v>8469</v>
      </c>
      <c r="N135" s="245">
        <f t="shared" ref="N135:N138" si="18">J135/D135-1</f>
        <v>1.3021772797667852</v>
      </c>
      <c r="O135" s="244">
        <f t="shared" ref="O135:O138" si="19">J135-D135</f>
        <v>128646</v>
      </c>
      <c r="Q135" s="29"/>
      <c r="R135" s="79"/>
      <c r="Z135" s="1" t="s">
        <v>177</v>
      </c>
    </row>
    <row r="136" spans="1:31" s="4" customFormat="1" x14ac:dyDescent="0.25">
      <c r="B136" s="97" t="s">
        <v>62</v>
      </c>
      <c r="C136" s="250">
        <v>2986</v>
      </c>
      <c r="D136" s="250">
        <v>13859</v>
      </c>
      <c r="E136" s="250">
        <v>19011</v>
      </c>
      <c r="F136" s="250">
        <v>19206</v>
      </c>
      <c r="G136" s="254">
        <f t="shared" ref="G136:G138" si="20">IFERROR(F136/E136-1,"-")</f>
        <v>1.0257219504497428E-2</v>
      </c>
      <c r="H136" s="250">
        <f t="shared" si="14"/>
        <v>195</v>
      </c>
      <c r="I136" s="258">
        <f t="shared" ref="I136:I138" si="21">F136/F$134</f>
        <v>7.6879353134256659E-2</v>
      </c>
      <c r="J136" s="250">
        <v>25652</v>
      </c>
      <c r="K136" s="256">
        <f t="shared" si="15"/>
        <v>9.2957858765804327E-2</v>
      </c>
      <c r="L136" s="258">
        <f t="shared" si="16"/>
        <v>0.33562428407789224</v>
      </c>
      <c r="M136" s="257">
        <f t="shared" si="17"/>
        <v>6446</v>
      </c>
      <c r="N136" s="256">
        <f t="shared" si="18"/>
        <v>0.85092719532433803</v>
      </c>
      <c r="O136" s="250">
        <f t="shared" si="19"/>
        <v>11793</v>
      </c>
      <c r="Q136" s="29"/>
      <c r="R136" s="79"/>
      <c r="Z136" s="1"/>
    </row>
    <row r="137" spans="1:31" s="4" customFormat="1" x14ac:dyDescent="0.25">
      <c r="B137" s="97" t="s">
        <v>61</v>
      </c>
      <c r="C137" s="250">
        <v>55668</v>
      </c>
      <c r="D137" s="250">
        <v>84934</v>
      </c>
      <c r="E137" s="250">
        <v>194237</v>
      </c>
      <c r="F137" s="250">
        <v>199764</v>
      </c>
      <c r="G137" s="252">
        <f t="shared" si="20"/>
        <v>2.8454928772581933E-2</v>
      </c>
      <c r="H137" s="250">
        <f t="shared" si="14"/>
        <v>5527</v>
      </c>
      <c r="I137" s="262">
        <f t="shared" si="21"/>
        <v>0.79963173484909134</v>
      </c>
      <c r="J137" s="250">
        <v>201787</v>
      </c>
      <c r="K137" s="256">
        <f t="shared" si="15"/>
        <v>0.73123684105626685</v>
      </c>
      <c r="L137" s="258">
        <f t="shared" si="16"/>
        <v>1.0126949800765006E-2</v>
      </c>
      <c r="M137" s="257">
        <f t="shared" si="17"/>
        <v>2023</v>
      </c>
      <c r="N137" s="256">
        <f t="shared" si="18"/>
        <v>1.3758094520451172</v>
      </c>
      <c r="O137" s="250">
        <f t="shared" si="19"/>
        <v>116853</v>
      </c>
      <c r="Q137" s="29"/>
      <c r="R137" s="79"/>
      <c r="Z137" s="1"/>
    </row>
    <row r="138" spans="1:31" s="4" customFormat="1" x14ac:dyDescent="0.25">
      <c r="B138" s="243" t="s">
        <v>193</v>
      </c>
      <c r="C138" s="244">
        <v>11545</v>
      </c>
      <c r="D138" s="244">
        <v>15911</v>
      </c>
      <c r="E138" s="244">
        <v>31704</v>
      </c>
      <c r="F138" s="244">
        <v>30850</v>
      </c>
      <c r="G138" s="248">
        <f t="shared" si="20"/>
        <v>-2.6936664143325739E-2</v>
      </c>
      <c r="H138" s="244">
        <f t="shared" si="14"/>
        <v>-854</v>
      </c>
      <c r="I138" s="246">
        <f t="shared" si="21"/>
        <v>0.12348891201665199</v>
      </c>
      <c r="J138" s="244">
        <v>48514</v>
      </c>
      <c r="K138" s="245">
        <f t="shared" si="15"/>
        <v>0.17580530017792886</v>
      </c>
      <c r="L138" s="246">
        <f t="shared" si="16"/>
        <v>0.57257698541329005</v>
      </c>
      <c r="M138" s="247">
        <f t="shared" si="17"/>
        <v>17664</v>
      </c>
      <c r="N138" s="245">
        <f t="shared" si="18"/>
        <v>2.0490855383068318</v>
      </c>
      <c r="O138" s="244">
        <f t="shared" si="19"/>
        <v>32603</v>
      </c>
      <c r="Q138" s="29"/>
      <c r="R138" s="79"/>
      <c r="Z138" s="1"/>
    </row>
    <row r="139" spans="1:31" s="4" customFormat="1" ht="7.5" customHeight="1" x14ac:dyDescent="0.25">
      <c r="B139" s="234"/>
      <c r="C139" s="234"/>
      <c r="D139" s="234"/>
      <c r="E139" s="234"/>
      <c r="F139" s="234"/>
      <c r="G139" s="234"/>
      <c r="H139" s="234"/>
      <c r="I139" s="234"/>
      <c r="J139" s="234"/>
      <c r="K139" s="234"/>
      <c r="L139" s="234"/>
      <c r="M139" s="234"/>
      <c r="N139" s="234"/>
      <c r="O139" s="234"/>
      <c r="Z139" s="1" t="s">
        <v>182</v>
      </c>
    </row>
    <row r="140" spans="1:31" s="4" customFormat="1" ht="32.25" customHeight="1" x14ac:dyDescent="0.25">
      <c r="B140" s="306" t="s">
        <v>196</v>
      </c>
      <c r="C140" s="306"/>
      <c r="D140" s="306"/>
      <c r="E140" s="306"/>
      <c r="F140" s="306"/>
      <c r="G140" s="306"/>
      <c r="H140" s="306"/>
      <c r="I140" s="306"/>
      <c r="J140" s="306"/>
      <c r="K140" s="306"/>
      <c r="L140" s="306"/>
      <c r="M140" s="306"/>
      <c r="N140" s="306"/>
      <c r="O140" s="306"/>
      <c r="Z140" s="1" t="s">
        <v>184</v>
      </c>
    </row>
    <row r="141" spans="1:31" x14ac:dyDescent="0.25">
      <c r="Z141" s="1"/>
      <c r="AE141"/>
    </row>
    <row r="142" spans="1:31" x14ac:dyDescent="0.25">
      <c r="Z142" s="1"/>
      <c r="AE142"/>
    </row>
  </sheetData>
  <mergeCells count="3">
    <mergeCell ref="B38:S38"/>
    <mergeCell ref="B48:S48"/>
    <mergeCell ref="B140:O14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E94F1D-67B1-4529-B8C9-3EE2381F94D5}">
  <sheetPr codeName="Hoja39">
    <tabColor theme="4" tint="0.39997558519241921"/>
  </sheetPr>
  <dimension ref="A1:AE14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20" width="12.42578125" customWidth="1"/>
    <col min="27" max="27" width="14" hidden="1" customWidth="1"/>
    <col min="31" max="31" width="11.42578125" style="1"/>
  </cols>
  <sheetData>
    <row r="1" spans="1:31" ht="30" customHeight="1" x14ac:dyDescent="0.25">
      <c r="B1" s="1" t="s">
        <v>190</v>
      </c>
      <c r="G1" s="221"/>
      <c r="H1" s="221"/>
      <c r="I1" s="221"/>
      <c r="K1" s="221"/>
    </row>
    <row r="3" spans="1:31" s="4" customFormat="1" ht="25.5" customHeight="1" thickBot="1" x14ac:dyDescent="0.3">
      <c r="B3" s="62" t="s">
        <v>310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30" x14ac:dyDescent="0.25">
      <c r="C5" s="239" t="s">
        <v>260</v>
      </c>
      <c r="D5" s="239" t="s">
        <v>261</v>
      </c>
      <c r="E5" s="239" t="s">
        <v>262</v>
      </c>
      <c r="F5" s="240" t="str">
        <f>CONCATENATE("%/s total Tenerife ",RIGHT(E5,4))</f>
        <v>%/s total Tenerife 2022</v>
      </c>
      <c r="G5" s="239" t="s">
        <v>263</v>
      </c>
      <c r="H5" s="240" t="str">
        <f>CONCATENATE("var. ",RIGHT(G5,2),"/",RIGHT(E5,2))</f>
        <v>var. 23/22</v>
      </c>
      <c r="I5" s="240" t="str">
        <f>CONCATENATE("dif. ",RIGHT(G5,2),"/",RIGHT(E5,2))</f>
        <v>dif. 23/22</v>
      </c>
      <c r="J5" s="240" t="str">
        <f>CONCATENATE("%/s total Tenerife ",RIGHT(G5,4))</f>
        <v>%/s total Tenerife 2023</v>
      </c>
      <c r="K5" s="239" t="s">
        <v>264</v>
      </c>
      <c r="L5" s="240" t="str">
        <f>CONCATENATE("var. ",RIGHT(K5,2),"/",RIGHT(G5,2))</f>
        <v>var. 24/23</v>
      </c>
      <c r="M5" s="240" t="str">
        <f>CONCATENATE("dif. ",RIGHT(K5,2),"/",RIGHT(G5,2))</f>
        <v>dif. 24/23</v>
      </c>
      <c r="N5" s="240" t="str">
        <f>CONCATENATE("%/s total Tenerife ",RIGHT(K5,4))</f>
        <v>%/s total Tenerife 2024</v>
      </c>
      <c r="O5" s="239" t="s">
        <v>265</v>
      </c>
      <c r="P5" s="240" t="str">
        <f>CONCATENATE("var. ",RIGHT(O5,2),"/",RIGHT(K5,2))</f>
        <v>var. 25/24</v>
      </c>
      <c r="Q5" s="240" t="str">
        <f>CONCATENATE("dif. ",RIGHT(O5,2),"/",RIGHT(K5,2))</f>
        <v>dif. 25/24</v>
      </c>
      <c r="R5" s="240" t="str">
        <f>CONCATENATE("var. ",RIGHT(O5,2),"/",RIGHT(C5,2))</f>
        <v>var. 25/20</v>
      </c>
      <c r="S5" s="240" t="str">
        <f>CONCATENATE("dif. ",RIGHT(O5,2),"/",RIGHT(C5,2))</f>
        <v>dif. 25/20</v>
      </c>
      <c r="T5" s="240" t="str">
        <f>CONCATENATE("%/s total Tenerife ",RIGHT(O5,4))</f>
        <v>%/s total Tenerife 2025</v>
      </c>
      <c r="AE5" s="1"/>
    </row>
    <row r="6" spans="1:31" ht="18.75" x14ac:dyDescent="0.3">
      <c r="A6" s="4"/>
      <c r="B6" s="222" t="s">
        <v>197</v>
      </c>
      <c r="C6" s="241">
        <v>16449</v>
      </c>
      <c r="D6" s="241">
        <v>1035</v>
      </c>
      <c r="E6" s="241">
        <v>9244</v>
      </c>
      <c r="F6" s="242">
        <f>E6/$E$6</f>
        <v>1</v>
      </c>
      <c r="G6" s="241">
        <v>15131</v>
      </c>
      <c r="H6" s="242">
        <f>G6/E6-1</f>
        <v>0.63684552141929895</v>
      </c>
      <c r="I6" s="241">
        <f>G6-E6</f>
        <v>5887</v>
      </c>
      <c r="J6" s="242">
        <f>G6/$G$6</f>
        <v>1</v>
      </c>
      <c r="K6" s="241">
        <v>13891</v>
      </c>
      <c r="L6" s="242">
        <f t="shared" ref="L6:L12" si="0">K6/G6-1</f>
        <v>-8.1950961602009098E-2</v>
      </c>
      <c r="M6" s="241">
        <f t="shared" ref="M6:M12" si="1">K6-G6</f>
        <v>-1240</v>
      </c>
      <c r="N6" s="242">
        <f>K6/$K$6</f>
        <v>1</v>
      </c>
      <c r="O6" s="241">
        <v>14812</v>
      </c>
      <c r="P6" s="242">
        <f t="shared" ref="P6:P11" si="2">O6/K6-1</f>
        <v>6.6301922107839584E-2</v>
      </c>
      <c r="Q6" s="241">
        <f t="shared" ref="Q6:Q12" si="3">O6-K6</f>
        <v>921</v>
      </c>
      <c r="R6" s="242">
        <f>O6/C6-1</f>
        <v>-9.9519727643017863E-2</v>
      </c>
      <c r="S6" s="241">
        <f>O6-C6</f>
        <v>-1637</v>
      </c>
      <c r="T6" s="242">
        <f>O6/$O$6</f>
        <v>1</v>
      </c>
      <c r="V6" s="29"/>
      <c r="W6" s="79"/>
      <c r="AE6" s="1" t="s">
        <v>175</v>
      </c>
    </row>
    <row r="7" spans="1:31" s="4" customFormat="1" x14ac:dyDescent="0.25">
      <c r="B7" s="243" t="s">
        <v>192</v>
      </c>
      <c r="C7" s="244">
        <v>14409</v>
      </c>
      <c r="D7" s="244">
        <v>828</v>
      </c>
      <c r="E7" s="244">
        <v>8223</v>
      </c>
      <c r="F7" s="245">
        <f t="shared" ref="F7:F12" si="4">E7/$E$6</f>
        <v>0.88954997836434446</v>
      </c>
      <c r="G7" s="244">
        <v>14023</v>
      </c>
      <c r="H7" s="246">
        <f>G7/E7-1</f>
        <v>0.70533868417852363</v>
      </c>
      <c r="I7" s="247">
        <f>G7-E7</f>
        <v>5800</v>
      </c>
      <c r="J7" s="245">
        <f>G7/$G$6</f>
        <v>0.92677285043949509</v>
      </c>
      <c r="K7" s="244">
        <v>12646</v>
      </c>
      <c r="L7" s="248">
        <f t="shared" si="0"/>
        <v>-9.8195821150966256E-2</v>
      </c>
      <c r="M7" s="249">
        <f t="shared" si="1"/>
        <v>-1377</v>
      </c>
      <c r="N7" s="245">
        <f>K7/$K$6</f>
        <v>0.91037362320927218</v>
      </c>
      <c r="O7" s="244">
        <v>13221</v>
      </c>
      <c r="P7" s="246">
        <f t="shared" si="2"/>
        <v>4.546892297959837E-2</v>
      </c>
      <c r="Q7" s="247">
        <f t="shared" si="3"/>
        <v>575</v>
      </c>
      <c r="R7" s="246">
        <f t="shared" ref="R7:R10" si="5">O7/C7-1</f>
        <v>-8.2448469706433491E-2</v>
      </c>
      <c r="S7" s="247">
        <f t="shared" ref="S7:S10" si="6">O7-C7</f>
        <v>-1188</v>
      </c>
      <c r="T7" s="245">
        <f>O7/$O$6</f>
        <v>0.89258709154739402</v>
      </c>
      <c r="V7" s="29"/>
      <c r="W7" s="79"/>
      <c r="AE7" s="1" t="s">
        <v>177</v>
      </c>
    </row>
    <row r="8" spans="1:31" s="4" customFormat="1" x14ac:dyDescent="0.25">
      <c r="B8" s="97" t="s">
        <v>62</v>
      </c>
      <c r="C8" s="250">
        <v>1870</v>
      </c>
      <c r="D8" s="250">
        <v>230</v>
      </c>
      <c r="E8" s="250">
        <v>974</v>
      </c>
      <c r="F8" s="251">
        <f t="shared" si="4"/>
        <v>0.10536564257897015</v>
      </c>
      <c r="G8" s="250">
        <v>1066</v>
      </c>
      <c r="H8" s="252">
        <f>IFERROR(G8/E8-1,"-")</f>
        <v>9.4455852156057452E-2</v>
      </c>
      <c r="I8" s="253">
        <f t="shared" ref="I8:I12" si="7">G8-E8</f>
        <v>92</v>
      </c>
      <c r="J8" s="251">
        <f t="shared" ref="J8:J12" si="8">G8/$G$6</f>
        <v>7.0451391183662684E-2</v>
      </c>
      <c r="K8" s="250">
        <v>1230</v>
      </c>
      <c r="L8" s="254">
        <f>IFERROR(K8/G8-1,"-")</f>
        <v>0.15384615384615374</v>
      </c>
      <c r="M8" s="255">
        <f>IF(G8=0,"nd",K8-G8)</f>
        <v>164</v>
      </c>
      <c r="N8" s="256">
        <f t="shared" ref="N8:N12" si="9">K8/$K$6</f>
        <v>8.854654092577928E-2</v>
      </c>
      <c r="O8" s="250">
        <v>1435</v>
      </c>
      <c r="P8" s="254">
        <f>IFERROR(O8/K8-1,"-")</f>
        <v>0.16666666666666674</v>
      </c>
      <c r="Q8" s="257">
        <f t="shared" si="3"/>
        <v>205</v>
      </c>
      <c r="R8" s="254">
        <f>IFERROR(O8/C8-1,"-")</f>
        <v>-0.23262032085561501</v>
      </c>
      <c r="S8" s="257">
        <f t="shared" si="6"/>
        <v>-435</v>
      </c>
      <c r="T8" s="256">
        <f t="shared" ref="T8:T12" si="10">O8/$O$6</f>
        <v>9.6880907372400751E-2</v>
      </c>
      <c r="V8" s="29"/>
      <c r="W8" s="79"/>
      <c r="AE8" s="1"/>
    </row>
    <row r="9" spans="1:31" s="4" customFormat="1" x14ac:dyDescent="0.25">
      <c r="B9" s="97" t="s">
        <v>61</v>
      </c>
      <c r="C9" s="250">
        <v>12539</v>
      </c>
      <c r="D9" s="250">
        <v>598</v>
      </c>
      <c r="E9" s="250">
        <v>7249</v>
      </c>
      <c r="F9" s="256">
        <f t="shared" si="4"/>
        <v>0.78418433578537428</v>
      </c>
      <c r="G9" s="250">
        <v>12957</v>
      </c>
      <c r="H9" s="252">
        <f>IFERROR(G9/E9-1,"-")</f>
        <v>0.78741895433852949</v>
      </c>
      <c r="I9" s="257">
        <f t="shared" si="7"/>
        <v>5708</v>
      </c>
      <c r="J9" s="256">
        <f t="shared" si="8"/>
        <v>0.85632145925583236</v>
      </c>
      <c r="K9" s="250">
        <v>11416</v>
      </c>
      <c r="L9" s="254">
        <f>IFERROR(K9/G9-1,"-")</f>
        <v>-0.11893185150883689</v>
      </c>
      <c r="M9" s="255">
        <f>IF(G9=0,"nd",K9-G9)</f>
        <v>-1541</v>
      </c>
      <c r="N9" s="256">
        <f t="shared" si="9"/>
        <v>0.82182708228349288</v>
      </c>
      <c r="O9" s="250">
        <v>11786</v>
      </c>
      <c r="P9" s="254">
        <f t="shared" si="2"/>
        <v>3.2410651716888506E-2</v>
      </c>
      <c r="Q9" s="257">
        <f t="shared" si="3"/>
        <v>370</v>
      </c>
      <c r="R9" s="258">
        <f t="shared" si="5"/>
        <v>-6.005263577637765E-2</v>
      </c>
      <c r="S9" s="257">
        <f t="shared" si="6"/>
        <v>-753</v>
      </c>
      <c r="T9" s="256">
        <f t="shared" si="10"/>
        <v>0.79570618417499328</v>
      </c>
      <c r="V9" s="29"/>
      <c r="W9" s="79"/>
      <c r="AE9" s="1"/>
    </row>
    <row r="10" spans="1:31" s="4" customFormat="1" x14ac:dyDescent="0.25">
      <c r="B10" s="243" t="s">
        <v>193</v>
      </c>
      <c r="C10" s="259">
        <v>2040</v>
      </c>
      <c r="D10" s="259">
        <v>207</v>
      </c>
      <c r="E10" s="259">
        <v>1021</v>
      </c>
      <c r="F10" s="260">
        <f>IFERROR(E10/$E$6,"-")</f>
        <v>0.11045002163565557</v>
      </c>
      <c r="G10" s="259">
        <v>1108</v>
      </c>
      <c r="H10" s="248">
        <f>IFERROR(G10/E10-1,"-")</f>
        <v>8.5210577864838433E-2</v>
      </c>
      <c r="I10" s="249">
        <f>IFERROR(G10-E10,"-")</f>
        <v>87</v>
      </c>
      <c r="J10" s="260">
        <f>IFERROR(G10/$G$6,"-")</f>
        <v>7.3227149560504926E-2</v>
      </c>
      <c r="K10" s="259">
        <v>1245</v>
      </c>
      <c r="L10" s="248">
        <f>IFERROR(K10/G10-1,"-")</f>
        <v>0.12364620938628157</v>
      </c>
      <c r="M10" s="249">
        <f>IFERROR(K10-G10,"-")</f>
        <v>137</v>
      </c>
      <c r="N10" s="260">
        <f>IFERROR(K10/$K$6,"-")</f>
        <v>8.962637679072781E-2</v>
      </c>
      <c r="O10" s="259">
        <v>1591</v>
      </c>
      <c r="P10" s="248">
        <f>IFERROR(O10/K10-1,"-")</f>
        <v>0.27791164658634537</v>
      </c>
      <c r="Q10" s="249">
        <f>IFERROR(O10-K10,"-")</f>
        <v>346</v>
      </c>
      <c r="R10" s="248">
        <f t="shared" si="5"/>
        <v>-0.22009803921568627</v>
      </c>
      <c r="S10" s="249">
        <f t="shared" si="6"/>
        <v>-449</v>
      </c>
      <c r="T10" s="260">
        <f>IFERROR(O10/$O$6,"-")</f>
        <v>0.107412908452606</v>
      </c>
      <c r="V10" s="29"/>
      <c r="W10" s="79"/>
      <c r="AE10" s="1"/>
    </row>
    <row r="11" spans="1:31" s="4" customFormat="1" hidden="1" x14ac:dyDescent="0.25">
      <c r="B11" s="97" t="s">
        <v>62</v>
      </c>
      <c r="C11" s="250">
        <v>2040</v>
      </c>
      <c r="D11" s="250">
        <v>207</v>
      </c>
      <c r="E11" s="250">
        <v>1021</v>
      </c>
      <c r="F11" s="256">
        <f t="shared" si="4"/>
        <v>0.11045002163565557</v>
      </c>
      <c r="G11" s="250">
        <v>1108</v>
      </c>
      <c r="H11" s="258">
        <f t="shared" ref="H11:H12" si="11">G11/E11-1</f>
        <v>8.5210577864838433E-2</v>
      </c>
      <c r="I11" s="257">
        <f t="shared" si="7"/>
        <v>87</v>
      </c>
      <c r="J11" s="256">
        <f t="shared" si="8"/>
        <v>7.3227149560504926E-2</v>
      </c>
      <c r="K11" s="250">
        <v>1245</v>
      </c>
      <c r="L11" s="254">
        <f>K11/G11-1</f>
        <v>0.12364620938628157</v>
      </c>
      <c r="M11" s="257">
        <f t="shared" si="1"/>
        <v>137</v>
      </c>
      <c r="N11" s="256">
        <f t="shared" si="9"/>
        <v>8.962637679072781E-2</v>
      </c>
      <c r="O11" s="250">
        <v>1591</v>
      </c>
      <c r="P11" s="258">
        <f t="shared" si="2"/>
        <v>0.27791164658634537</v>
      </c>
      <c r="Q11" s="257">
        <f t="shared" si="3"/>
        <v>346</v>
      </c>
      <c r="R11" s="258">
        <f t="shared" ref="R11:R12" si="12">O11/D11-1</f>
        <v>6.6859903381642516</v>
      </c>
      <c r="S11" s="257">
        <f t="shared" ref="S11:S12" si="13">O11-D11</f>
        <v>1384</v>
      </c>
      <c r="T11" s="256">
        <f t="shared" si="10"/>
        <v>0.107412908452606</v>
      </c>
      <c r="V11" s="29"/>
      <c r="W11" s="79"/>
      <c r="AE11" s="1"/>
    </row>
    <row r="12" spans="1:31" s="4" customFormat="1" hidden="1" x14ac:dyDescent="0.25">
      <c r="B12" s="97" t="s">
        <v>61</v>
      </c>
      <c r="C12" s="250" t="e">
        <v>#REF!</v>
      </c>
      <c r="D12" s="250" t="e">
        <v>#REF!</v>
      </c>
      <c r="E12" s="250" t="e">
        <v>#REF!</v>
      </c>
      <c r="F12" s="256" t="e">
        <f t="shared" si="4"/>
        <v>#REF!</v>
      </c>
      <c r="G12" s="250" t="e">
        <v>#REF!</v>
      </c>
      <c r="H12" s="258" t="e">
        <f t="shared" si="11"/>
        <v>#REF!</v>
      </c>
      <c r="I12" s="257" t="e">
        <f t="shared" si="7"/>
        <v>#REF!</v>
      </c>
      <c r="J12" s="256" t="e">
        <f t="shared" si="8"/>
        <v>#REF!</v>
      </c>
      <c r="K12" s="250" t="e">
        <v>#REF!</v>
      </c>
      <c r="L12" s="254" t="e">
        <f t="shared" si="0"/>
        <v>#REF!</v>
      </c>
      <c r="M12" s="257" t="e">
        <f t="shared" si="1"/>
        <v>#REF!</v>
      </c>
      <c r="N12" s="256" t="e">
        <f t="shared" si="9"/>
        <v>#REF!</v>
      </c>
      <c r="O12" s="250" t="e">
        <v>#REF!</v>
      </c>
      <c r="P12" s="258" t="e">
        <f>O12/K12-1</f>
        <v>#REF!</v>
      </c>
      <c r="Q12" s="257" t="e">
        <f t="shared" si="3"/>
        <v>#REF!</v>
      </c>
      <c r="R12" s="258" t="e">
        <f t="shared" si="12"/>
        <v>#REF!</v>
      </c>
      <c r="S12" s="257" t="e">
        <f t="shared" si="13"/>
        <v>#REF!</v>
      </c>
      <c r="T12" s="256" t="e">
        <f t="shared" si="10"/>
        <v>#REF!</v>
      </c>
      <c r="V12" s="29"/>
      <c r="W12" s="79"/>
      <c r="AE12" s="1"/>
    </row>
    <row r="13" spans="1:31" s="4" customFormat="1" ht="7.5" customHeight="1" x14ac:dyDescent="0.25">
      <c r="B13" s="234"/>
      <c r="C13" s="234"/>
      <c r="D13" s="234"/>
      <c r="E13" s="234"/>
      <c r="F13" s="234"/>
      <c r="G13" s="234"/>
      <c r="H13" s="234"/>
      <c r="I13" s="234"/>
      <c r="J13" s="234"/>
      <c r="K13" s="234"/>
      <c r="L13" s="261"/>
      <c r="M13" s="234"/>
      <c r="N13" s="234"/>
      <c r="O13" s="234"/>
      <c r="P13" s="234"/>
      <c r="Q13" s="234"/>
      <c r="R13" s="234"/>
      <c r="S13" s="234"/>
      <c r="T13" s="234"/>
      <c r="AE13" s="1" t="s">
        <v>182</v>
      </c>
    </row>
    <row r="14" spans="1:31" s="4" customFormat="1" x14ac:dyDescent="0.25">
      <c r="B14" s="167" t="s">
        <v>183</v>
      </c>
      <c r="C14" s="167"/>
      <c r="D14" s="167"/>
      <c r="E14" s="167"/>
      <c r="F14" s="167"/>
      <c r="G14" s="167"/>
      <c r="H14" s="167"/>
      <c r="I14" s="167"/>
      <c r="J14" s="167"/>
      <c r="K14" s="167"/>
      <c r="L14" s="167"/>
      <c r="M14" s="167"/>
      <c r="N14" s="167"/>
      <c r="O14" s="167"/>
      <c r="P14" s="167"/>
      <c r="Q14" s="167"/>
      <c r="R14" s="167"/>
      <c r="S14" s="167"/>
      <c r="T14" s="167"/>
      <c r="AE14" s="1" t="s">
        <v>184</v>
      </c>
    </row>
    <row r="15" spans="1:31" s="4" customFormat="1" x14ac:dyDescent="0.25">
      <c r="AE15" s="1"/>
    </row>
    <row r="19" spans="27:27" x14ac:dyDescent="0.25">
      <c r="AA19" t="str">
        <f>CONCATENATE("Hoteles: 
",FIXED(O7,0)," viajeros 
cuota: ",FIXED(T7*100,1),"%")</f>
        <v>Hoteles: 
13,221 viajeros 
cuota: 89.3%</v>
      </c>
    </row>
    <row r="20" spans="27:27" x14ac:dyDescent="0.25">
      <c r="AA20" t="str">
        <f>CONCATENATE("Apartamentos: 
",FIXED(O10,0)," viajeros
cuota: ",FIXED(T10*100,1),"%")</f>
        <v>Apartamentos: 
1,591 viajeros
cuota: 10.7%</v>
      </c>
    </row>
    <row r="38" spans="2:31" s="4" customFormat="1" ht="15.75" hidden="1" customHeight="1" thickBot="1" x14ac:dyDescent="0.3">
      <c r="B38" s="265" t="s">
        <v>185</v>
      </c>
      <c r="C38" s="265"/>
      <c r="D38" s="265"/>
      <c r="E38" s="265"/>
      <c r="F38" s="265"/>
      <c r="G38" s="265"/>
      <c r="H38" s="265"/>
      <c r="I38" s="265"/>
      <c r="J38" s="265"/>
      <c r="K38" s="265"/>
      <c r="L38" s="265"/>
      <c r="M38" s="265"/>
      <c r="N38" s="265"/>
      <c r="O38" s="265"/>
      <c r="P38" s="265"/>
      <c r="Q38" s="265"/>
      <c r="R38" s="265"/>
      <c r="S38" s="265"/>
      <c r="T38" s="83"/>
      <c r="AE38" s="1"/>
    </row>
    <row r="39" spans="2:31" s="4" customFormat="1" ht="6" hidden="1" customHeight="1" thickBot="1" x14ac:dyDescent="0.3">
      <c r="AE39" s="1"/>
    </row>
    <row r="40" spans="2:31" s="4" customFormat="1" ht="30" hidden="1" x14ac:dyDescent="0.25">
      <c r="C40" s="87"/>
      <c r="D40" s="87"/>
      <c r="E40" s="87"/>
      <c r="F40" s="87"/>
      <c r="G40" s="87"/>
      <c r="H40" s="87"/>
      <c r="I40" s="87"/>
      <c r="J40" s="87"/>
      <c r="K40" s="14">
        <v>2020</v>
      </c>
      <c r="L40" s="14"/>
      <c r="M40" s="14"/>
      <c r="N40" s="14" t="s">
        <v>186</v>
      </c>
      <c r="O40" s="14">
        <v>2021</v>
      </c>
      <c r="P40" s="14" t="s">
        <v>186</v>
      </c>
      <c r="Q40" s="14" t="s">
        <v>187</v>
      </c>
      <c r="R40" s="14" t="s">
        <v>188</v>
      </c>
      <c r="S40" s="14" t="s">
        <v>189</v>
      </c>
      <c r="T40" s="87"/>
      <c r="AE40" s="1"/>
    </row>
    <row r="41" spans="2:31" s="4" customFormat="1" ht="18.75" hidden="1" x14ac:dyDescent="0.3">
      <c r="B41" s="222" t="s">
        <v>173</v>
      </c>
      <c r="C41" s="223"/>
      <c r="D41" s="223"/>
      <c r="E41" s="223"/>
      <c r="F41" s="223"/>
      <c r="G41" s="223"/>
      <c r="H41" s="223"/>
      <c r="I41" s="223"/>
      <c r="J41" s="223"/>
      <c r="K41" s="223">
        <v>1824653</v>
      </c>
      <c r="L41" s="223"/>
      <c r="M41" s="223"/>
      <c r="N41" s="224"/>
      <c r="O41" s="223">
        <v>2354005</v>
      </c>
      <c r="P41" s="224"/>
      <c r="Q41" s="224">
        <v>1</v>
      </c>
      <c r="R41" s="224">
        <v>0.2901110512519367</v>
      </c>
      <c r="S41" s="223">
        <v>529352</v>
      </c>
      <c r="T41" s="235"/>
      <c r="AE41" s="1"/>
    </row>
    <row r="42" spans="2:31" ht="18.75" hidden="1" x14ac:dyDescent="0.3">
      <c r="B42" s="222" t="s">
        <v>174</v>
      </c>
      <c r="C42" s="223"/>
      <c r="D42" s="223"/>
      <c r="E42" s="223"/>
      <c r="F42" s="223"/>
      <c r="G42" s="223"/>
      <c r="H42" s="223"/>
      <c r="I42" s="223"/>
      <c r="J42" s="223"/>
      <c r="K42" s="223">
        <v>603938</v>
      </c>
      <c r="L42" s="223"/>
      <c r="M42" s="223"/>
      <c r="N42" s="224">
        <v>1</v>
      </c>
      <c r="O42" s="223">
        <v>936181</v>
      </c>
      <c r="P42" s="224">
        <v>1</v>
      </c>
      <c r="Q42" s="224">
        <v>0.39769711619134201</v>
      </c>
      <c r="R42" s="224">
        <v>0.55012766211101138</v>
      </c>
      <c r="S42" s="223">
        <v>332243</v>
      </c>
      <c r="T42" s="235"/>
      <c r="AE42" s="1" t="s">
        <v>175</v>
      </c>
    </row>
    <row r="43" spans="2:31" ht="15.75" hidden="1" x14ac:dyDescent="0.25">
      <c r="B43" s="225" t="s">
        <v>100</v>
      </c>
      <c r="C43" s="226"/>
      <c r="D43" s="226"/>
      <c r="E43" s="226"/>
      <c r="F43" s="226"/>
      <c r="G43" s="226"/>
      <c r="H43" s="226"/>
      <c r="I43" s="226"/>
      <c r="J43" s="226"/>
      <c r="K43" s="226">
        <v>276550.36166633503</v>
      </c>
      <c r="L43" s="226"/>
      <c r="M43" s="226"/>
      <c r="N43" s="227">
        <v>0.45791184139155844</v>
      </c>
      <c r="O43" s="226">
        <v>430252.45635520399</v>
      </c>
      <c r="P43" s="227">
        <v>0.4595825554622493</v>
      </c>
      <c r="Q43" s="227">
        <v>0.18277465695918402</v>
      </c>
      <c r="R43" s="227">
        <v>0.55578337978930015</v>
      </c>
      <c r="S43" s="226">
        <v>153702.09468886897</v>
      </c>
      <c r="T43" s="236"/>
      <c r="AE43" s="1" t="s">
        <v>176</v>
      </c>
    </row>
    <row r="44" spans="2:31" s="4" customFormat="1" hidden="1" x14ac:dyDescent="0.25">
      <c r="B44" s="228" t="s">
        <v>103</v>
      </c>
      <c r="C44" s="229"/>
      <c r="D44" s="229"/>
      <c r="E44" s="229"/>
      <c r="F44" s="229"/>
      <c r="G44" s="229"/>
      <c r="H44" s="229"/>
      <c r="I44" s="229"/>
      <c r="J44" s="229"/>
      <c r="K44" s="229">
        <v>327387.63833385095</v>
      </c>
      <c r="L44" s="229"/>
      <c r="M44" s="229"/>
      <c r="N44" s="232">
        <v>0.54208815860874948</v>
      </c>
      <c r="O44" s="229">
        <v>505927.5436448183</v>
      </c>
      <c r="P44" s="232">
        <v>0.54041637636826456</v>
      </c>
      <c r="Q44" s="232">
        <v>0.21492203442423372</v>
      </c>
      <c r="R44" s="230">
        <v>0.54534711884540576</v>
      </c>
      <c r="S44" s="231">
        <v>178539.90531096736</v>
      </c>
      <c r="T44" s="238"/>
      <c r="AE44" s="1" t="s">
        <v>177</v>
      </c>
    </row>
    <row r="45" spans="2:31" s="4" customFormat="1" hidden="1" x14ac:dyDescent="0.25">
      <c r="B45" s="233" t="s">
        <v>178</v>
      </c>
      <c r="C45" s="29"/>
      <c r="D45" s="29"/>
      <c r="E45" s="29"/>
      <c r="F45" s="29"/>
      <c r="G45" s="29"/>
      <c r="H45" s="29"/>
      <c r="I45" s="29"/>
      <c r="J45" s="29"/>
      <c r="K45" s="29">
        <v>242109.12821622068</v>
      </c>
      <c r="L45" s="29"/>
      <c r="M45" s="29"/>
      <c r="N45" s="31">
        <v>0.4008840778626625</v>
      </c>
      <c r="O45" s="29">
        <v>391384.01224089495</v>
      </c>
      <c r="P45" s="31">
        <v>0.41806446855992052</v>
      </c>
      <c r="Q45" s="31">
        <v>0.16626303352834634</v>
      </c>
      <c r="R45" s="22">
        <v>0.61656033014732592</v>
      </c>
      <c r="S45" s="20">
        <v>149274.88402467428</v>
      </c>
      <c r="T45" s="20"/>
      <c r="AE45" s="1" t="s">
        <v>179</v>
      </c>
    </row>
    <row r="46" spans="2:31" s="4" customFormat="1" hidden="1" x14ac:dyDescent="0.25">
      <c r="B46" s="233" t="s">
        <v>180</v>
      </c>
      <c r="C46" s="29"/>
      <c r="D46" s="29"/>
      <c r="E46" s="29"/>
      <c r="F46" s="29"/>
      <c r="G46" s="29"/>
      <c r="H46" s="29"/>
      <c r="I46" s="29"/>
      <c r="J46" s="29"/>
      <c r="K46" s="29">
        <v>85278.510117630256</v>
      </c>
      <c r="L46" s="29"/>
      <c r="M46" s="29"/>
      <c r="N46" s="31">
        <v>0.14120408074608695</v>
      </c>
      <c r="O46" s="29">
        <v>114543.53140392336</v>
      </c>
      <c r="P46" s="31">
        <v>0.12235190780834407</v>
      </c>
      <c r="Q46" s="31">
        <v>4.8659000895887379E-2</v>
      </c>
      <c r="R46" s="22">
        <v>0.34316994100771625</v>
      </c>
      <c r="S46" s="20">
        <v>29265.021286293108</v>
      </c>
      <c r="T46" s="20"/>
      <c r="AE46" s="1" t="s">
        <v>181</v>
      </c>
    </row>
    <row r="47" spans="2:31" s="4" customFormat="1" ht="7.5" hidden="1" customHeight="1" x14ac:dyDescent="0.25">
      <c r="B47" s="234"/>
      <c r="C47" s="234"/>
      <c r="D47" s="234"/>
      <c r="E47" s="234"/>
      <c r="F47" s="234"/>
      <c r="G47" s="234"/>
      <c r="H47" s="234"/>
      <c r="I47" s="234"/>
      <c r="J47" s="234"/>
      <c r="K47" s="234"/>
      <c r="L47" s="234"/>
      <c r="M47" s="234"/>
      <c r="N47" s="234"/>
      <c r="O47" s="234"/>
      <c r="P47" s="234"/>
      <c r="Q47" s="234"/>
      <c r="R47" s="234"/>
      <c r="S47" s="234"/>
      <c r="AE47" s="1" t="s">
        <v>182</v>
      </c>
    </row>
    <row r="48" spans="2:31" s="4" customFormat="1" hidden="1" x14ac:dyDescent="0.25">
      <c r="B48" s="283" t="s">
        <v>183</v>
      </c>
      <c r="C48" s="283"/>
      <c r="D48" s="283"/>
      <c r="E48" s="283"/>
      <c r="F48" s="283"/>
      <c r="G48" s="283"/>
      <c r="H48" s="283"/>
      <c r="I48" s="283"/>
      <c r="J48" s="283"/>
      <c r="K48" s="283"/>
      <c r="L48" s="283"/>
      <c r="M48" s="283"/>
      <c r="N48" s="283"/>
      <c r="O48" s="283"/>
      <c r="P48" s="283"/>
      <c r="Q48" s="283"/>
      <c r="R48" s="283"/>
      <c r="S48" s="283"/>
      <c r="T48" s="48"/>
      <c r="AE48" s="1" t="s">
        <v>184</v>
      </c>
    </row>
    <row r="49" spans="3:31" s="4" customFormat="1" hidden="1" x14ac:dyDescent="0.25">
      <c r="AE49" s="1"/>
    </row>
    <row r="50" spans="3:31" hidden="1" x14ac:dyDescent="0.25">
      <c r="C50" s="122"/>
      <c r="D50" s="122"/>
      <c r="E50" s="122"/>
      <c r="F50" s="122"/>
      <c r="G50" s="122"/>
      <c r="H50" s="122"/>
      <c r="I50" s="122"/>
      <c r="J50" s="122"/>
      <c r="K50" s="122">
        <v>0.54208815860874948</v>
      </c>
      <c r="L50" s="122"/>
      <c r="M50" s="122"/>
    </row>
    <row r="51" spans="3:31" hidden="1" x14ac:dyDescent="0.25"/>
    <row r="52" spans="3:31" hidden="1" x14ac:dyDescent="0.25"/>
    <row r="53" spans="3:31" hidden="1" x14ac:dyDescent="0.25"/>
    <row r="54" spans="3:31" hidden="1" x14ac:dyDescent="0.25"/>
    <row r="55" spans="3:31" hidden="1" x14ac:dyDescent="0.25"/>
    <row r="56" spans="3:31" hidden="1" x14ac:dyDescent="0.25"/>
    <row r="57" spans="3:31" hidden="1" x14ac:dyDescent="0.25"/>
    <row r="58" spans="3:31" hidden="1" x14ac:dyDescent="0.25"/>
    <row r="59" spans="3:31" hidden="1" x14ac:dyDescent="0.25"/>
    <row r="60" spans="3:31" hidden="1" x14ac:dyDescent="0.25"/>
    <row r="61" spans="3:31" hidden="1" x14ac:dyDescent="0.25"/>
    <row r="62" spans="3:31" hidden="1" x14ac:dyDescent="0.25"/>
    <row r="63" spans="3:31" hidden="1" x14ac:dyDescent="0.25"/>
    <row r="64" spans="3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31" spans="1:31" s="4" customFormat="1" ht="25.5" customHeight="1" thickBot="1" x14ac:dyDescent="0.3">
      <c r="B131" s="62" t="s">
        <v>198</v>
      </c>
      <c r="C131" s="62"/>
      <c r="D131" s="62"/>
      <c r="E131" s="62"/>
      <c r="F131" s="62"/>
      <c r="G131" s="62"/>
      <c r="H131" s="62"/>
      <c r="I131" s="62"/>
      <c r="J131" s="62"/>
      <c r="K131" s="62"/>
      <c r="L131" s="62"/>
      <c r="M131" s="62"/>
      <c r="N131" s="62"/>
      <c r="O131" s="62"/>
      <c r="Z131" s="1"/>
    </row>
    <row r="132" spans="1:31" s="4" customFormat="1" ht="6" customHeight="1" x14ac:dyDescent="0.25">
      <c r="Z132" s="1"/>
    </row>
    <row r="133" spans="1:31" s="4" customFormat="1" ht="30" x14ac:dyDescent="0.25">
      <c r="C133" s="181">
        <v>2020</v>
      </c>
      <c r="D133" s="181">
        <v>2021</v>
      </c>
      <c r="E133" s="181">
        <v>2022</v>
      </c>
      <c r="F133" s="181">
        <v>2023</v>
      </c>
      <c r="G133" s="169" t="str">
        <f>CONCATENATE("var. ",RIGHT(F133,2),"/",RIGHT(E133,2))</f>
        <v>var. 23/22</v>
      </c>
      <c r="H133" s="169" t="str">
        <f>CONCATENATE("dif. ",RIGHT(F133,2),"/",RIGHT(E133,2))</f>
        <v>dif. 23/22</v>
      </c>
      <c r="I133" s="240" t="str">
        <f>CONCATENATE("%/s total Tenerife ",RIGHT(F133,4))</f>
        <v>%/s total Tenerife 2023</v>
      </c>
      <c r="J133" s="181">
        <v>2024</v>
      </c>
      <c r="K133" s="240" t="str">
        <f>CONCATENATE("%/s total Tenerife ",RIGHT(J133,4))</f>
        <v>%/s total Tenerife 2024</v>
      </c>
      <c r="L133" s="169" t="str">
        <f>CONCATENATE("var. ",RIGHT(J133,2),"/",RIGHT(F133,2))</f>
        <v>var. 24/23</v>
      </c>
      <c r="M133" s="169" t="str">
        <f>CONCATENATE("dif. ",RIGHT(J133,2),"/",RIGHT(F133,2))</f>
        <v>dif. 24/23</v>
      </c>
      <c r="N133" s="169" t="str">
        <f>CONCATENATE("var. ",RIGHT(J133,2),"/",RIGHT(D133,2))</f>
        <v>var. 24/21</v>
      </c>
      <c r="O133" s="169" t="str">
        <f>CONCATENATE("dif. ",RIGHT(J133,2),"/",RIGHT(D133,2))</f>
        <v>dif. 24/21</v>
      </c>
      <c r="Z133" s="1"/>
    </row>
    <row r="134" spans="1:31" ht="18.75" x14ac:dyDescent="0.3">
      <c r="A134" s="4"/>
      <c r="B134" s="222" t="s">
        <v>197</v>
      </c>
      <c r="C134" s="226">
        <v>74813</v>
      </c>
      <c r="D134" s="226">
        <v>114704</v>
      </c>
      <c r="E134" s="226">
        <v>244952</v>
      </c>
      <c r="F134" s="226">
        <v>249820</v>
      </c>
      <c r="G134" s="227">
        <f>F134/E134-1</f>
        <v>1.987328129592747E-2</v>
      </c>
      <c r="H134" s="226">
        <f>F134-E134</f>
        <v>4868</v>
      </c>
      <c r="I134" s="227">
        <f>F134/F$134</f>
        <v>1</v>
      </c>
      <c r="J134" s="226">
        <v>275953</v>
      </c>
      <c r="K134" s="227">
        <f>J134/J$134</f>
        <v>1</v>
      </c>
      <c r="L134" s="227">
        <f>J134/F134-1</f>
        <v>0.1046073172684332</v>
      </c>
      <c r="M134" s="226">
        <f>J134-F134</f>
        <v>26133</v>
      </c>
      <c r="N134" s="227">
        <f>J134/D134-1</f>
        <v>1.4057835820895521</v>
      </c>
      <c r="O134" s="226">
        <f>J134-D134</f>
        <v>161249</v>
      </c>
      <c r="Q134" s="29"/>
      <c r="R134" s="79"/>
      <c r="Z134" s="1" t="s">
        <v>175</v>
      </c>
      <c r="AE134"/>
    </row>
    <row r="135" spans="1:31" s="4" customFormat="1" x14ac:dyDescent="0.25">
      <c r="B135" s="243" t="s">
        <v>192</v>
      </c>
      <c r="C135" s="244">
        <v>63268</v>
      </c>
      <c r="D135" s="244">
        <v>98793</v>
      </c>
      <c r="E135" s="244">
        <v>213248</v>
      </c>
      <c r="F135" s="244">
        <v>218970</v>
      </c>
      <c r="G135" s="248">
        <f>IFERROR(F135/E135-1,"-")</f>
        <v>2.6832608043217299E-2</v>
      </c>
      <c r="H135" s="244">
        <f t="shared" ref="H135:H138" si="14">F135-E135</f>
        <v>5722</v>
      </c>
      <c r="I135" s="246">
        <f>F135/F$134</f>
        <v>0.87651108798334798</v>
      </c>
      <c r="J135" s="244">
        <v>227439</v>
      </c>
      <c r="K135" s="245">
        <f t="shared" ref="K135:K138" si="15">J135/J$134</f>
        <v>0.82419469982207116</v>
      </c>
      <c r="L135" s="246">
        <f t="shared" ref="L135:L138" si="16">J135/F135-1</f>
        <v>3.8676531031648143E-2</v>
      </c>
      <c r="M135" s="247">
        <f t="shared" ref="M135:M138" si="17">J135-F135</f>
        <v>8469</v>
      </c>
      <c r="N135" s="245">
        <f t="shared" ref="N135:N138" si="18">J135/D135-1</f>
        <v>1.3021772797667852</v>
      </c>
      <c r="O135" s="244">
        <f t="shared" ref="O135:O138" si="19">J135-D135</f>
        <v>128646</v>
      </c>
      <c r="Q135" s="29"/>
      <c r="R135" s="79"/>
      <c r="Z135" s="1" t="s">
        <v>177</v>
      </c>
    </row>
    <row r="136" spans="1:31" s="4" customFormat="1" x14ac:dyDescent="0.25">
      <c r="B136" s="97" t="s">
        <v>62</v>
      </c>
      <c r="C136" s="250">
        <v>7600</v>
      </c>
      <c r="D136" s="250">
        <v>13859</v>
      </c>
      <c r="E136" s="250">
        <v>19011</v>
      </c>
      <c r="F136" s="250">
        <v>19206</v>
      </c>
      <c r="G136" s="254">
        <f t="shared" ref="G136:G138" si="20">IFERROR(F136/E136-1,"-")</f>
        <v>1.0257219504497428E-2</v>
      </c>
      <c r="H136" s="250">
        <f t="shared" si="14"/>
        <v>195</v>
      </c>
      <c r="I136" s="258">
        <f t="shared" ref="I136:I138" si="21">F136/F$134</f>
        <v>7.6879353134256659E-2</v>
      </c>
      <c r="J136" s="250">
        <v>25652</v>
      </c>
      <c r="K136" s="256">
        <f t="shared" si="15"/>
        <v>9.2957858765804327E-2</v>
      </c>
      <c r="L136" s="258">
        <f t="shared" si="16"/>
        <v>0.33562428407789224</v>
      </c>
      <c r="M136" s="257">
        <f t="shared" si="17"/>
        <v>6446</v>
      </c>
      <c r="N136" s="256">
        <f t="shared" si="18"/>
        <v>0.85092719532433803</v>
      </c>
      <c r="O136" s="250">
        <f t="shared" si="19"/>
        <v>11793</v>
      </c>
      <c r="Q136" s="29"/>
      <c r="R136" s="79"/>
      <c r="Z136" s="1"/>
    </row>
    <row r="137" spans="1:31" s="4" customFormat="1" x14ac:dyDescent="0.25">
      <c r="B137" s="97" t="s">
        <v>61</v>
      </c>
      <c r="C137" s="250">
        <v>55668</v>
      </c>
      <c r="D137" s="250">
        <v>84934</v>
      </c>
      <c r="E137" s="250">
        <v>194237</v>
      </c>
      <c r="F137" s="250">
        <v>199764</v>
      </c>
      <c r="G137" s="252">
        <f t="shared" si="20"/>
        <v>2.8454928772581933E-2</v>
      </c>
      <c r="H137" s="250">
        <f t="shared" si="14"/>
        <v>5527</v>
      </c>
      <c r="I137" s="262">
        <f t="shared" si="21"/>
        <v>0.79963173484909134</v>
      </c>
      <c r="J137" s="250">
        <v>201787</v>
      </c>
      <c r="K137" s="256">
        <f t="shared" si="15"/>
        <v>0.73123684105626685</v>
      </c>
      <c r="L137" s="258">
        <f t="shared" si="16"/>
        <v>1.0126949800765006E-2</v>
      </c>
      <c r="M137" s="257">
        <f t="shared" si="17"/>
        <v>2023</v>
      </c>
      <c r="N137" s="256">
        <f t="shared" si="18"/>
        <v>1.3758094520451172</v>
      </c>
      <c r="O137" s="250">
        <f t="shared" si="19"/>
        <v>116853</v>
      </c>
      <c r="Q137" s="29"/>
      <c r="R137" s="79"/>
      <c r="Z137" s="1"/>
    </row>
    <row r="138" spans="1:31" s="4" customFormat="1" x14ac:dyDescent="0.25">
      <c r="B138" s="243" t="s">
        <v>193</v>
      </c>
      <c r="C138" s="244">
        <v>11545</v>
      </c>
      <c r="D138" s="244">
        <v>15911</v>
      </c>
      <c r="E138" s="244">
        <v>31704</v>
      </c>
      <c r="F138" s="244">
        <v>30850</v>
      </c>
      <c r="G138" s="248">
        <f t="shared" si="20"/>
        <v>-2.6936664143325739E-2</v>
      </c>
      <c r="H138" s="244">
        <f t="shared" si="14"/>
        <v>-854</v>
      </c>
      <c r="I138" s="246">
        <f t="shared" si="21"/>
        <v>0.12348891201665199</v>
      </c>
      <c r="J138" s="244">
        <v>48514</v>
      </c>
      <c r="K138" s="245">
        <f t="shared" si="15"/>
        <v>0.17580530017792886</v>
      </c>
      <c r="L138" s="246">
        <f t="shared" si="16"/>
        <v>0.57257698541329005</v>
      </c>
      <c r="M138" s="247">
        <f t="shared" si="17"/>
        <v>17664</v>
      </c>
      <c r="N138" s="245">
        <f t="shared" si="18"/>
        <v>2.0490855383068318</v>
      </c>
      <c r="O138" s="244">
        <f t="shared" si="19"/>
        <v>32603</v>
      </c>
      <c r="Q138" s="29"/>
      <c r="R138" s="79"/>
      <c r="Z138" s="1"/>
    </row>
    <row r="139" spans="1:31" s="4" customFormat="1" ht="7.5" customHeight="1" x14ac:dyDescent="0.25">
      <c r="B139" s="234"/>
      <c r="C139" s="234"/>
      <c r="D139" s="234"/>
      <c r="E139" s="234"/>
      <c r="F139" s="234"/>
      <c r="G139" s="234"/>
      <c r="H139" s="234"/>
      <c r="I139" s="234"/>
      <c r="J139" s="234"/>
      <c r="K139" s="234"/>
      <c r="L139" s="234"/>
      <c r="M139" s="234"/>
      <c r="N139" s="234"/>
      <c r="O139" s="234"/>
      <c r="Z139" s="1" t="s">
        <v>182</v>
      </c>
    </row>
    <row r="140" spans="1:31" s="4" customFormat="1" ht="32.25" customHeight="1" x14ac:dyDescent="0.25">
      <c r="B140" s="306" t="s">
        <v>196</v>
      </c>
      <c r="C140" s="306"/>
      <c r="D140" s="306"/>
      <c r="E140" s="306"/>
      <c r="F140" s="306"/>
      <c r="G140" s="306"/>
      <c r="H140" s="306"/>
      <c r="I140" s="306"/>
      <c r="J140" s="306"/>
      <c r="K140" s="306"/>
      <c r="L140" s="306"/>
      <c r="M140" s="306"/>
      <c r="N140" s="306"/>
      <c r="O140" s="306"/>
      <c r="Z140" s="1" t="s">
        <v>184</v>
      </c>
    </row>
    <row r="141" spans="1:31" x14ac:dyDescent="0.25">
      <c r="Z141" s="1"/>
      <c r="AE141"/>
    </row>
    <row r="142" spans="1:31" x14ac:dyDescent="0.25">
      <c r="Z142" s="1"/>
      <c r="AE142"/>
    </row>
  </sheetData>
  <mergeCells count="3">
    <mergeCell ref="B38:S38"/>
    <mergeCell ref="B48:S48"/>
    <mergeCell ref="B140:O14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7788E7-238A-45E9-8680-57122ACED2BC}">
  <sheetPr codeName="Hoja40">
    <tabColor theme="4" tint="0.39997558519241921"/>
  </sheetPr>
  <dimension ref="A1:AE14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20" width="12.42578125" customWidth="1"/>
    <col min="27" max="27" width="14" hidden="1" customWidth="1"/>
    <col min="31" max="31" width="11.42578125" style="1"/>
  </cols>
  <sheetData>
    <row r="1" spans="1:31" ht="30" customHeight="1" x14ac:dyDescent="0.25">
      <c r="B1" s="1" t="s">
        <v>190</v>
      </c>
      <c r="G1" s="221"/>
      <c r="H1" s="221"/>
      <c r="I1" s="221"/>
      <c r="K1" s="221"/>
    </row>
    <row r="3" spans="1:31" s="4" customFormat="1" ht="25.5" customHeight="1" thickBot="1" x14ac:dyDescent="0.3">
      <c r="B3" s="62" t="s">
        <v>311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30" x14ac:dyDescent="0.25">
      <c r="C5" s="239" t="s">
        <v>260</v>
      </c>
      <c r="D5" s="239" t="s">
        <v>261</v>
      </c>
      <c r="E5" s="239" t="s">
        <v>262</v>
      </c>
      <c r="F5" s="240" t="str">
        <f>CONCATENATE("%/s total Tenerife ",RIGHT(E5,4))</f>
        <v>%/s total Tenerife 2022</v>
      </c>
      <c r="G5" s="239" t="s">
        <v>263</v>
      </c>
      <c r="H5" s="240" t="str">
        <f>CONCATENATE("var. ",RIGHT(G5,2),"/",RIGHT(E5,2))</f>
        <v>var. 23/22</v>
      </c>
      <c r="I5" s="240" t="str">
        <f>CONCATENATE("dif. ",RIGHT(G5,2),"/",RIGHT(E5,2))</f>
        <v>dif. 23/22</v>
      </c>
      <c r="J5" s="240" t="str">
        <f>CONCATENATE("%/s total Tenerife ",RIGHT(G5,4))</f>
        <v>%/s total Tenerife 2023</v>
      </c>
      <c r="K5" s="239" t="s">
        <v>264</v>
      </c>
      <c r="L5" s="240" t="str">
        <f>CONCATENATE("var. ",RIGHT(K5,2),"/",RIGHT(G5,2))</f>
        <v>var. 24/23</v>
      </c>
      <c r="M5" s="240" t="str">
        <f>CONCATENATE("dif. ",RIGHT(K5,2),"/",RIGHT(G5,2))</f>
        <v>dif. 24/23</v>
      </c>
      <c r="N5" s="240" t="str">
        <f>CONCATENATE("%/s total Tenerife ",RIGHT(K5,4))</f>
        <v>%/s total Tenerife 2024</v>
      </c>
      <c r="O5" s="239" t="s">
        <v>265</v>
      </c>
      <c r="P5" s="240" t="str">
        <f>CONCATENATE("var. ",RIGHT(O5,2),"/",RIGHT(K5,2))</f>
        <v>var. 25/24</v>
      </c>
      <c r="Q5" s="240" t="str">
        <f>CONCATENATE("dif. ",RIGHT(O5,2),"/",RIGHT(K5,2))</f>
        <v>dif. 25/24</v>
      </c>
      <c r="R5" s="240" t="str">
        <f>CONCATENATE("var. ",RIGHT(O5,2),"/",RIGHT(C5,2))</f>
        <v>var. 25/20</v>
      </c>
      <c r="S5" s="240" t="str">
        <f>CONCATENATE("dif. ",RIGHT(O5,2),"/",RIGHT(C5,2))</f>
        <v>dif. 25/20</v>
      </c>
      <c r="T5" s="240" t="str">
        <f>CONCATENATE("%/s total Tenerife ",RIGHT(O5,4))</f>
        <v>%/s total Tenerife 2025</v>
      </c>
      <c r="AE5" s="1"/>
    </row>
    <row r="6" spans="1:31" ht="18.75" x14ac:dyDescent="0.3">
      <c r="A6" s="4"/>
      <c r="B6" s="222" t="s">
        <v>199</v>
      </c>
      <c r="C6" s="241">
        <v>3543</v>
      </c>
      <c r="D6" s="241">
        <v>1101</v>
      </c>
      <c r="E6" s="241">
        <v>3148</v>
      </c>
      <c r="F6" s="242">
        <f>E6/$E$6</f>
        <v>1</v>
      </c>
      <c r="G6" s="241">
        <v>3614</v>
      </c>
      <c r="H6" s="242">
        <f>G6/E6-1</f>
        <v>0.14803049555273184</v>
      </c>
      <c r="I6" s="241">
        <f>G6-E6</f>
        <v>466</v>
      </c>
      <c r="J6" s="242">
        <f>G6/$G$6</f>
        <v>1</v>
      </c>
      <c r="K6" s="241">
        <v>3298</v>
      </c>
      <c r="L6" s="242">
        <f t="shared" ref="L6:L12" si="0">K6/G6-1</f>
        <v>-8.7437742114001127E-2</v>
      </c>
      <c r="M6" s="241">
        <f t="shared" ref="M6:M12" si="1">K6-G6</f>
        <v>-316</v>
      </c>
      <c r="N6" s="242">
        <f>K6/$K$6</f>
        <v>1</v>
      </c>
      <c r="O6" s="241">
        <v>3813</v>
      </c>
      <c r="P6" s="242">
        <f t="shared" ref="P6:P11" si="2">O6/K6-1</f>
        <v>0.15615524560339589</v>
      </c>
      <c r="Q6" s="241">
        <f t="shared" ref="Q6:Q12" si="3">O6-K6</f>
        <v>515</v>
      </c>
      <c r="R6" s="242">
        <f>O6/C6-1</f>
        <v>7.6206604572396364E-2</v>
      </c>
      <c r="S6" s="241">
        <f>O6-C6</f>
        <v>270</v>
      </c>
      <c r="T6" s="242">
        <f>O6/$O$6</f>
        <v>1</v>
      </c>
      <c r="V6" s="29"/>
      <c r="W6" s="79"/>
      <c r="AE6" s="1" t="s">
        <v>175</v>
      </c>
    </row>
    <row r="7" spans="1:31" s="4" customFormat="1" x14ac:dyDescent="0.25">
      <c r="B7" s="243" t="s">
        <v>192</v>
      </c>
      <c r="C7" s="244">
        <v>2432</v>
      </c>
      <c r="D7" s="244">
        <v>914</v>
      </c>
      <c r="E7" s="244">
        <v>2350</v>
      </c>
      <c r="F7" s="245">
        <f t="shared" ref="F7:F12" si="4">E7/$E$6</f>
        <v>0.74650571791613718</v>
      </c>
      <c r="G7" s="244">
        <v>2569</v>
      </c>
      <c r="H7" s="246">
        <f>G7/E7-1</f>
        <v>9.3191489361702073E-2</v>
      </c>
      <c r="I7" s="247">
        <f>G7-E7</f>
        <v>219</v>
      </c>
      <c r="J7" s="245">
        <f>G7/$G$6</f>
        <v>0.71084670724958499</v>
      </c>
      <c r="K7" s="244">
        <v>2752</v>
      </c>
      <c r="L7" s="248">
        <f t="shared" si="0"/>
        <v>7.1233943168548031E-2</v>
      </c>
      <c r="M7" s="249">
        <f t="shared" si="1"/>
        <v>183</v>
      </c>
      <c r="N7" s="245">
        <f>K7/$K$6</f>
        <v>0.83444511825348699</v>
      </c>
      <c r="O7" s="244">
        <v>3010</v>
      </c>
      <c r="P7" s="246">
        <f t="shared" si="2"/>
        <v>9.375E-2</v>
      </c>
      <c r="Q7" s="247">
        <f t="shared" si="3"/>
        <v>258</v>
      </c>
      <c r="R7" s="246">
        <f t="shared" ref="R7:R10" si="5">O7/C7-1</f>
        <v>0.23766447368421062</v>
      </c>
      <c r="S7" s="247">
        <f t="shared" ref="S7:S10" si="6">O7-C7</f>
        <v>578</v>
      </c>
      <c r="T7" s="245">
        <f>O7/$O$6</f>
        <v>0.78940466824023081</v>
      </c>
      <c r="V7" s="29"/>
      <c r="W7" s="79"/>
      <c r="AE7" s="1" t="s">
        <v>177</v>
      </c>
    </row>
    <row r="8" spans="1:31" s="4" customFormat="1" x14ac:dyDescent="0.25">
      <c r="B8" s="97" t="s">
        <v>62</v>
      </c>
      <c r="C8" s="250">
        <v>1116</v>
      </c>
      <c r="D8" s="250">
        <v>736</v>
      </c>
      <c r="E8" s="250">
        <v>1244</v>
      </c>
      <c r="F8" s="251">
        <f t="shared" si="4"/>
        <v>0.39517153748411687</v>
      </c>
      <c r="G8" s="250">
        <v>1205</v>
      </c>
      <c r="H8" s="252">
        <f>IFERROR(G8/E8-1,"-")</f>
        <v>-3.1350482315112504E-2</v>
      </c>
      <c r="I8" s="253">
        <f t="shared" ref="I8:I12" si="7">G8-E8</f>
        <v>-39</v>
      </c>
      <c r="J8" s="251">
        <f t="shared" ref="J8:J12" si="8">G8/$G$6</f>
        <v>0.33342556723851685</v>
      </c>
      <c r="K8" s="250">
        <v>747</v>
      </c>
      <c r="L8" s="254">
        <f>IFERROR(K8/G8-1,"-")</f>
        <v>-0.3800829875518672</v>
      </c>
      <c r="M8" s="255">
        <f>IF(G8=0,"nd",K8-G8)</f>
        <v>-458</v>
      </c>
      <c r="N8" s="256">
        <f t="shared" ref="N8:N12" si="9">K8/$K$6</f>
        <v>0.2265009096422074</v>
      </c>
      <c r="O8" s="250">
        <v>1249</v>
      </c>
      <c r="P8" s="254">
        <f>IFERROR(O8/K8-1,"-")</f>
        <v>0.67202141900937074</v>
      </c>
      <c r="Q8" s="257">
        <f t="shared" si="3"/>
        <v>502</v>
      </c>
      <c r="R8" s="254">
        <f>IFERROR(O8/C8-1,"-")</f>
        <v>0.11917562724014341</v>
      </c>
      <c r="S8" s="257">
        <f t="shared" si="6"/>
        <v>133</v>
      </c>
      <c r="T8" s="256">
        <f t="shared" ref="T8:T12" si="10">O8/$O$6</f>
        <v>0.32756359821662734</v>
      </c>
      <c r="V8" s="29"/>
      <c r="W8" s="79"/>
      <c r="AE8" s="1"/>
    </row>
    <row r="9" spans="1:31" s="4" customFormat="1" x14ac:dyDescent="0.25">
      <c r="B9" s="97" t="s">
        <v>61</v>
      </c>
      <c r="C9" s="250">
        <v>1316</v>
      </c>
      <c r="D9" s="250">
        <v>178</v>
      </c>
      <c r="E9" s="250">
        <v>1106</v>
      </c>
      <c r="F9" s="256">
        <f t="shared" si="4"/>
        <v>0.3513341804320203</v>
      </c>
      <c r="G9" s="250">
        <v>1364</v>
      </c>
      <c r="H9" s="252">
        <f>IFERROR(G9/E9-1,"-")</f>
        <v>0.23327305605786619</v>
      </c>
      <c r="I9" s="257">
        <f t="shared" si="7"/>
        <v>258</v>
      </c>
      <c r="J9" s="256">
        <f t="shared" si="8"/>
        <v>0.37742114001106808</v>
      </c>
      <c r="K9" s="250">
        <v>2005</v>
      </c>
      <c r="L9" s="254">
        <f>IFERROR(K9/G9-1,"-")</f>
        <v>0.46994134897360706</v>
      </c>
      <c r="M9" s="255">
        <f>IF(G9=0,"nd",K9-G9)</f>
        <v>641</v>
      </c>
      <c r="N9" s="256">
        <f t="shared" si="9"/>
        <v>0.60794420861127951</v>
      </c>
      <c r="O9" s="250">
        <v>1761</v>
      </c>
      <c r="P9" s="254">
        <f t="shared" si="2"/>
        <v>-0.12169576059850373</v>
      </c>
      <c r="Q9" s="257">
        <f t="shared" si="3"/>
        <v>-244</v>
      </c>
      <c r="R9" s="258">
        <f t="shared" si="5"/>
        <v>0.33814589665653494</v>
      </c>
      <c r="S9" s="257">
        <f t="shared" si="6"/>
        <v>445</v>
      </c>
      <c r="T9" s="256">
        <f t="shared" si="10"/>
        <v>0.46184107002360347</v>
      </c>
      <c r="V9" s="29"/>
      <c r="W9" s="79"/>
      <c r="AE9" s="1"/>
    </row>
    <row r="10" spans="1:31" s="4" customFormat="1" x14ac:dyDescent="0.25">
      <c r="B10" s="243" t="s">
        <v>193</v>
      </c>
      <c r="C10" s="259">
        <v>1111</v>
      </c>
      <c r="D10" s="259">
        <v>187</v>
      </c>
      <c r="E10" s="259">
        <v>798</v>
      </c>
      <c r="F10" s="260">
        <f>IFERROR(E10/$E$6,"-")</f>
        <v>0.25349428208386277</v>
      </c>
      <c r="G10" s="259">
        <v>1045</v>
      </c>
      <c r="H10" s="248">
        <f>IFERROR(G10/E10-1,"-")</f>
        <v>0.30952380952380953</v>
      </c>
      <c r="I10" s="249">
        <f>IFERROR(G10-E10,"-")</f>
        <v>247</v>
      </c>
      <c r="J10" s="260">
        <f>IFERROR(G10/$G$6,"-")</f>
        <v>0.28915329275041507</v>
      </c>
      <c r="K10" s="259">
        <v>546</v>
      </c>
      <c r="L10" s="248">
        <f>IFERROR(K10/G10-1,"-")</f>
        <v>-0.477511961722488</v>
      </c>
      <c r="M10" s="249">
        <f>IFERROR(K10-G10,"-")</f>
        <v>-499</v>
      </c>
      <c r="N10" s="260">
        <f>IFERROR(K10/$K$6,"-")</f>
        <v>0.16555488174651303</v>
      </c>
      <c r="O10" s="259">
        <v>803</v>
      </c>
      <c r="P10" s="248">
        <f>IFERROR(O10/K10-1,"-")</f>
        <v>0.4706959706959708</v>
      </c>
      <c r="Q10" s="249">
        <f>IFERROR(O10-K10,"-")</f>
        <v>257</v>
      </c>
      <c r="R10" s="248">
        <f t="shared" si="5"/>
        <v>-0.27722772277227725</v>
      </c>
      <c r="S10" s="249">
        <f t="shared" si="6"/>
        <v>-308</v>
      </c>
      <c r="T10" s="260">
        <f>IFERROR(O10/$O$6,"-")</f>
        <v>0.21059533175976922</v>
      </c>
      <c r="V10" s="29"/>
      <c r="W10" s="79"/>
      <c r="AE10" s="1"/>
    </row>
    <row r="11" spans="1:31" s="4" customFormat="1" hidden="1" x14ac:dyDescent="0.25">
      <c r="B11" s="97" t="s">
        <v>62</v>
      </c>
      <c r="C11" s="250">
        <v>1111</v>
      </c>
      <c r="D11" s="250">
        <v>187</v>
      </c>
      <c r="E11" s="250">
        <v>798</v>
      </c>
      <c r="F11" s="256">
        <f t="shared" si="4"/>
        <v>0.25349428208386277</v>
      </c>
      <c r="G11" s="250">
        <v>1045</v>
      </c>
      <c r="H11" s="258">
        <f t="shared" ref="H11:H12" si="11">G11/E11-1</f>
        <v>0.30952380952380953</v>
      </c>
      <c r="I11" s="257">
        <f t="shared" si="7"/>
        <v>247</v>
      </c>
      <c r="J11" s="256">
        <f t="shared" si="8"/>
        <v>0.28915329275041507</v>
      </c>
      <c r="K11" s="250">
        <v>546</v>
      </c>
      <c r="L11" s="254">
        <f>K11/G11-1</f>
        <v>-0.477511961722488</v>
      </c>
      <c r="M11" s="257">
        <f t="shared" si="1"/>
        <v>-499</v>
      </c>
      <c r="N11" s="256">
        <f t="shared" si="9"/>
        <v>0.16555488174651303</v>
      </c>
      <c r="O11" s="250">
        <v>803</v>
      </c>
      <c r="P11" s="258">
        <f t="shared" si="2"/>
        <v>0.4706959706959708</v>
      </c>
      <c r="Q11" s="257">
        <f t="shared" si="3"/>
        <v>257</v>
      </c>
      <c r="R11" s="258">
        <f t="shared" ref="R11:R12" si="12">O11/D11-1</f>
        <v>3.2941176470588234</v>
      </c>
      <c r="S11" s="257">
        <f t="shared" ref="S11:S12" si="13">O11-D11</f>
        <v>616</v>
      </c>
      <c r="T11" s="256">
        <f t="shared" si="10"/>
        <v>0.21059533175976922</v>
      </c>
      <c r="V11" s="29"/>
      <c r="W11" s="79"/>
      <c r="AE11" s="1"/>
    </row>
    <row r="12" spans="1:31" s="4" customFormat="1" hidden="1" x14ac:dyDescent="0.25">
      <c r="B12" s="97" t="s">
        <v>61</v>
      </c>
      <c r="C12" s="250" t="e">
        <v>#REF!</v>
      </c>
      <c r="D12" s="250" t="e">
        <v>#REF!</v>
      </c>
      <c r="E12" s="250" t="e">
        <v>#REF!</v>
      </c>
      <c r="F12" s="256" t="e">
        <f t="shared" si="4"/>
        <v>#REF!</v>
      </c>
      <c r="G12" s="250" t="e">
        <v>#REF!</v>
      </c>
      <c r="H12" s="258" t="e">
        <f t="shared" si="11"/>
        <v>#REF!</v>
      </c>
      <c r="I12" s="257" t="e">
        <f t="shared" si="7"/>
        <v>#REF!</v>
      </c>
      <c r="J12" s="256" t="e">
        <f t="shared" si="8"/>
        <v>#REF!</v>
      </c>
      <c r="K12" s="250" t="e">
        <v>#REF!</v>
      </c>
      <c r="L12" s="254" t="e">
        <f t="shared" si="0"/>
        <v>#REF!</v>
      </c>
      <c r="M12" s="257" t="e">
        <f t="shared" si="1"/>
        <v>#REF!</v>
      </c>
      <c r="N12" s="256" t="e">
        <f t="shared" si="9"/>
        <v>#REF!</v>
      </c>
      <c r="O12" s="250" t="e">
        <v>#REF!</v>
      </c>
      <c r="P12" s="258" t="e">
        <f>O12/K12-1</f>
        <v>#REF!</v>
      </c>
      <c r="Q12" s="257" t="e">
        <f t="shared" si="3"/>
        <v>#REF!</v>
      </c>
      <c r="R12" s="258" t="e">
        <f t="shared" si="12"/>
        <v>#REF!</v>
      </c>
      <c r="S12" s="257" t="e">
        <f t="shared" si="13"/>
        <v>#REF!</v>
      </c>
      <c r="T12" s="256" t="e">
        <f t="shared" si="10"/>
        <v>#REF!</v>
      </c>
      <c r="V12" s="29"/>
      <c r="W12" s="79"/>
      <c r="AE12" s="1"/>
    </row>
    <row r="13" spans="1:31" s="4" customFormat="1" ht="7.5" customHeight="1" x14ac:dyDescent="0.25">
      <c r="B13" s="234"/>
      <c r="C13" s="234"/>
      <c r="D13" s="234"/>
      <c r="E13" s="234"/>
      <c r="F13" s="234"/>
      <c r="G13" s="234"/>
      <c r="H13" s="234"/>
      <c r="I13" s="234"/>
      <c r="J13" s="234"/>
      <c r="K13" s="234"/>
      <c r="L13" s="261"/>
      <c r="M13" s="234"/>
      <c r="N13" s="234"/>
      <c r="O13" s="234"/>
      <c r="P13" s="234"/>
      <c r="Q13" s="234"/>
      <c r="R13" s="234"/>
      <c r="S13" s="234"/>
      <c r="T13" s="234"/>
      <c r="AE13" s="1" t="s">
        <v>182</v>
      </c>
    </row>
    <row r="14" spans="1:31" s="4" customFormat="1" x14ac:dyDescent="0.25">
      <c r="B14" s="167" t="s">
        <v>183</v>
      </c>
      <c r="C14" s="167"/>
      <c r="D14" s="167"/>
      <c r="E14" s="167"/>
      <c r="F14" s="167"/>
      <c r="G14" s="167"/>
      <c r="H14" s="167"/>
      <c r="I14" s="167"/>
      <c r="J14" s="167"/>
      <c r="K14" s="167"/>
      <c r="L14" s="167"/>
      <c r="M14" s="167"/>
      <c r="N14" s="167"/>
      <c r="O14" s="167"/>
      <c r="P14" s="167"/>
      <c r="Q14" s="167"/>
      <c r="R14" s="167"/>
      <c r="S14" s="167"/>
      <c r="T14" s="167"/>
      <c r="AE14" s="1" t="s">
        <v>184</v>
      </c>
    </row>
    <row r="15" spans="1:31" s="4" customFormat="1" x14ac:dyDescent="0.25">
      <c r="AE15" s="1"/>
    </row>
    <row r="19" spans="27:27" x14ac:dyDescent="0.25">
      <c r="AA19" t="str">
        <f>CONCATENATE("Hoteles: 
",FIXED(O7,0)," viajeros 
cuota: ",FIXED(T7*100,1),"%")</f>
        <v>Hoteles: 
3,010 viajeros 
cuota: 78.9%</v>
      </c>
    </row>
    <row r="20" spans="27:27" x14ac:dyDescent="0.25">
      <c r="AA20" t="str">
        <f>CONCATENATE("Apartamentos: 
",FIXED(O10,0)," viajeros
cuota: ",FIXED(T10*100,1),"%")</f>
        <v>Apartamentos: 
803 viajeros
cuota: 21.1%</v>
      </c>
    </row>
    <row r="38" spans="2:31" s="4" customFormat="1" ht="15.75" hidden="1" customHeight="1" thickBot="1" x14ac:dyDescent="0.3">
      <c r="B38" s="265" t="s">
        <v>185</v>
      </c>
      <c r="C38" s="265"/>
      <c r="D38" s="265"/>
      <c r="E38" s="265"/>
      <c r="F38" s="265"/>
      <c r="G38" s="265"/>
      <c r="H38" s="265"/>
      <c r="I38" s="265"/>
      <c r="J38" s="265"/>
      <c r="K38" s="265"/>
      <c r="L38" s="265"/>
      <c r="M38" s="265"/>
      <c r="N38" s="265"/>
      <c r="O38" s="265"/>
      <c r="P38" s="265"/>
      <c r="Q38" s="265"/>
      <c r="R38" s="265"/>
      <c r="S38" s="265"/>
      <c r="T38" s="83"/>
      <c r="AE38" s="1"/>
    </row>
    <row r="39" spans="2:31" s="4" customFormat="1" ht="6" hidden="1" customHeight="1" thickBot="1" x14ac:dyDescent="0.3">
      <c r="AE39" s="1"/>
    </row>
    <row r="40" spans="2:31" s="4" customFormat="1" ht="30" hidden="1" x14ac:dyDescent="0.25">
      <c r="C40" s="87"/>
      <c r="D40" s="87"/>
      <c r="E40" s="87"/>
      <c r="F40" s="87"/>
      <c r="G40" s="87"/>
      <c r="H40" s="87"/>
      <c r="I40" s="87"/>
      <c r="J40" s="87"/>
      <c r="K40" s="14">
        <v>2020</v>
      </c>
      <c r="L40" s="14"/>
      <c r="M40" s="14"/>
      <c r="N40" s="14" t="s">
        <v>186</v>
      </c>
      <c r="O40" s="14">
        <v>2021</v>
      </c>
      <c r="P40" s="14" t="s">
        <v>186</v>
      </c>
      <c r="Q40" s="14" t="s">
        <v>187</v>
      </c>
      <c r="R40" s="14" t="s">
        <v>188</v>
      </c>
      <c r="S40" s="14" t="s">
        <v>189</v>
      </c>
      <c r="T40" s="87"/>
      <c r="AE40" s="1"/>
    </row>
    <row r="41" spans="2:31" s="4" customFormat="1" ht="18.75" hidden="1" x14ac:dyDescent="0.3">
      <c r="B41" s="222" t="s">
        <v>173</v>
      </c>
      <c r="C41" s="223"/>
      <c r="D41" s="223"/>
      <c r="E41" s="223"/>
      <c r="F41" s="223"/>
      <c r="G41" s="223"/>
      <c r="H41" s="223"/>
      <c r="I41" s="223"/>
      <c r="J41" s="223"/>
      <c r="K41" s="223">
        <v>1824653</v>
      </c>
      <c r="L41" s="223"/>
      <c r="M41" s="223"/>
      <c r="N41" s="224"/>
      <c r="O41" s="223">
        <v>2354005</v>
      </c>
      <c r="P41" s="224"/>
      <c r="Q41" s="224">
        <v>1</v>
      </c>
      <c r="R41" s="224">
        <v>0.2901110512519367</v>
      </c>
      <c r="S41" s="223">
        <v>529352</v>
      </c>
      <c r="T41" s="235"/>
      <c r="AE41" s="1"/>
    </row>
    <row r="42" spans="2:31" ht="18.75" hidden="1" x14ac:dyDescent="0.3">
      <c r="B42" s="222" t="s">
        <v>174</v>
      </c>
      <c r="C42" s="223"/>
      <c r="D42" s="223"/>
      <c r="E42" s="223"/>
      <c r="F42" s="223"/>
      <c r="G42" s="223"/>
      <c r="H42" s="223"/>
      <c r="I42" s="223"/>
      <c r="J42" s="223"/>
      <c r="K42" s="223">
        <v>603938</v>
      </c>
      <c r="L42" s="223"/>
      <c r="M42" s="223"/>
      <c r="N42" s="224">
        <v>1</v>
      </c>
      <c r="O42" s="223">
        <v>936181</v>
      </c>
      <c r="P42" s="224">
        <v>1</v>
      </c>
      <c r="Q42" s="224">
        <v>0.39769711619134201</v>
      </c>
      <c r="R42" s="224">
        <v>0.55012766211101138</v>
      </c>
      <c r="S42" s="223">
        <v>332243</v>
      </c>
      <c r="T42" s="235"/>
      <c r="AE42" s="1" t="s">
        <v>175</v>
      </c>
    </row>
    <row r="43" spans="2:31" ht="15.75" hidden="1" x14ac:dyDescent="0.25">
      <c r="B43" s="225" t="s">
        <v>100</v>
      </c>
      <c r="C43" s="226"/>
      <c r="D43" s="226"/>
      <c r="E43" s="226"/>
      <c r="F43" s="226"/>
      <c r="G43" s="226"/>
      <c r="H43" s="226"/>
      <c r="I43" s="226"/>
      <c r="J43" s="226"/>
      <c r="K43" s="226">
        <v>276550.36166633503</v>
      </c>
      <c r="L43" s="226"/>
      <c r="M43" s="226"/>
      <c r="N43" s="227">
        <v>0.45791184139155844</v>
      </c>
      <c r="O43" s="226">
        <v>430252.45635520399</v>
      </c>
      <c r="P43" s="227">
        <v>0.4595825554622493</v>
      </c>
      <c r="Q43" s="227">
        <v>0.18277465695918402</v>
      </c>
      <c r="R43" s="227">
        <v>0.55578337978930015</v>
      </c>
      <c r="S43" s="226">
        <v>153702.09468886897</v>
      </c>
      <c r="T43" s="236"/>
      <c r="AE43" s="1" t="s">
        <v>176</v>
      </c>
    </row>
    <row r="44" spans="2:31" s="4" customFormat="1" hidden="1" x14ac:dyDescent="0.25">
      <c r="B44" s="228" t="s">
        <v>103</v>
      </c>
      <c r="C44" s="229"/>
      <c r="D44" s="229"/>
      <c r="E44" s="229"/>
      <c r="F44" s="229"/>
      <c r="G44" s="229"/>
      <c r="H44" s="229"/>
      <c r="I44" s="229"/>
      <c r="J44" s="229"/>
      <c r="K44" s="229">
        <v>327387.63833385095</v>
      </c>
      <c r="L44" s="229"/>
      <c r="M44" s="229"/>
      <c r="N44" s="232">
        <v>0.54208815860874948</v>
      </c>
      <c r="O44" s="229">
        <v>505927.5436448183</v>
      </c>
      <c r="P44" s="232">
        <v>0.54041637636826456</v>
      </c>
      <c r="Q44" s="232">
        <v>0.21492203442423372</v>
      </c>
      <c r="R44" s="230">
        <v>0.54534711884540576</v>
      </c>
      <c r="S44" s="231">
        <v>178539.90531096736</v>
      </c>
      <c r="T44" s="238"/>
      <c r="AE44" s="1" t="s">
        <v>177</v>
      </c>
    </row>
    <row r="45" spans="2:31" s="4" customFormat="1" hidden="1" x14ac:dyDescent="0.25">
      <c r="B45" s="233" t="s">
        <v>178</v>
      </c>
      <c r="C45" s="29"/>
      <c r="D45" s="29"/>
      <c r="E45" s="29"/>
      <c r="F45" s="29"/>
      <c r="G45" s="29"/>
      <c r="H45" s="29"/>
      <c r="I45" s="29"/>
      <c r="J45" s="29"/>
      <c r="K45" s="29">
        <v>242109.12821622068</v>
      </c>
      <c r="L45" s="29"/>
      <c r="M45" s="29"/>
      <c r="N45" s="31">
        <v>0.4008840778626625</v>
      </c>
      <c r="O45" s="29">
        <v>391384.01224089495</v>
      </c>
      <c r="P45" s="31">
        <v>0.41806446855992052</v>
      </c>
      <c r="Q45" s="31">
        <v>0.16626303352834634</v>
      </c>
      <c r="R45" s="22">
        <v>0.61656033014732592</v>
      </c>
      <c r="S45" s="20">
        <v>149274.88402467428</v>
      </c>
      <c r="T45" s="20"/>
      <c r="AE45" s="1" t="s">
        <v>179</v>
      </c>
    </row>
    <row r="46" spans="2:31" s="4" customFormat="1" hidden="1" x14ac:dyDescent="0.25">
      <c r="B46" s="233" t="s">
        <v>180</v>
      </c>
      <c r="C46" s="29"/>
      <c r="D46" s="29"/>
      <c r="E46" s="29"/>
      <c r="F46" s="29"/>
      <c r="G46" s="29"/>
      <c r="H46" s="29"/>
      <c r="I46" s="29"/>
      <c r="J46" s="29"/>
      <c r="K46" s="29">
        <v>85278.510117630256</v>
      </c>
      <c r="L46" s="29"/>
      <c r="M46" s="29"/>
      <c r="N46" s="31">
        <v>0.14120408074608695</v>
      </c>
      <c r="O46" s="29">
        <v>114543.53140392336</v>
      </c>
      <c r="P46" s="31">
        <v>0.12235190780834407</v>
      </c>
      <c r="Q46" s="31">
        <v>4.8659000895887379E-2</v>
      </c>
      <c r="R46" s="22">
        <v>0.34316994100771625</v>
      </c>
      <c r="S46" s="20">
        <v>29265.021286293108</v>
      </c>
      <c r="T46" s="20"/>
      <c r="AE46" s="1" t="s">
        <v>181</v>
      </c>
    </row>
    <row r="47" spans="2:31" s="4" customFormat="1" ht="7.5" hidden="1" customHeight="1" x14ac:dyDescent="0.25">
      <c r="B47" s="234"/>
      <c r="C47" s="234"/>
      <c r="D47" s="234"/>
      <c r="E47" s="234"/>
      <c r="F47" s="234"/>
      <c r="G47" s="234"/>
      <c r="H47" s="234"/>
      <c r="I47" s="234"/>
      <c r="J47" s="234"/>
      <c r="K47" s="234"/>
      <c r="L47" s="234"/>
      <c r="M47" s="234"/>
      <c r="N47" s="234"/>
      <c r="O47" s="234"/>
      <c r="P47" s="234"/>
      <c r="Q47" s="234"/>
      <c r="R47" s="234"/>
      <c r="S47" s="234"/>
      <c r="AE47" s="1" t="s">
        <v>182</v>
      </c>
    </row>
    <row r="48" spans="2:31" s="4" customFormat="1" hidden="1" x14ac:dyDescent="0.25">
      <c r="B48" s="283" t="s">
        <v>183</v>
      </c>
      <c r="C48" s="283"/>
      <c r="D48" s="283"/>
      <c r="E48" s="283"/>
      <c r="F48" s="283"/>
      <c r="G48" s="283"/>
      <c r="H48" s="283"/>
      <c r="I48" s="283"/>
      <c r="J48" s="283"/>
      <c r="K48" s="283"/>
      <c r="L48" s="283"/>
      <c r="M48" s="283"/>
      <c r="N48" s="283"/>
      <c r="O48" s="283"/>
      <c r="P48" s="283"/>
      <c r="Q48" s="283"/>
      <c r="R48" s="283"/>
      <c r="S48" s="283"/>
      <c r="T48" s="48"/>
      <c r="AE48" s="1" t="s">
        <v>184</v>
      </c>
    </row>
    <row r="49" spans="3:31" s="4" customFormat="1" hidden="1" x14ac:dyDescent="0.25">
      <c r="AE49" s="1"/>
    </row>
    <row r="50" spans="3:31" hidden="1" x14ac:dyDescent="0.25">
      <c r="C50" s="122"/>
      <c r="D50" s="122"/>
      <c r="E50" s="122"/>
      <c r="F50" s="122"/>
      <c r="G50" s="122"/>
      <c r="H50" s="122"/>
      <c r="I50" s="122"/>
      <c r="J50" s="122"/>
      <c r="K50" s="122">
        <v>0.54208815860874948</v>
      </c>
      <c r="L50" s="122"/>
      <c r="M50" s="122"/>
    </row>
    <row r="51" spans="3:31" hidden="1" x14ac:dyDescent="0.25"/>
    <row r="52" spans="3:31" hidden="1" x14ac:dyDescent="0.25"/>
    <row r="53" spans="3:31" hidden="1" x14ac:dyDescent="0.25"/>
    <row r="54" spans="3:31" hidden="1" x14ac:dyDescent="0.25"/>
    <row r="55" spans="3:31" hidden="1" x14ac:dyDescent="0.25"/>
    <row r="56" spans="3:31" hidden="1" x14ac:dyDescent="0.25"/>
    <row r="57" spans="3:31" hidden="1" x14ac:dyDescent="0.25"/>
    <row r="58" spans="3:31" hidden="1" x14ac:dyDescent="0.25"/>
    <row r="59" spans="3:31" hidden="1" x14ac:dyDescent="0.25"/>
    <row r="60" spans="3:31" hidden="1" x14ac:dyDescent="0.25"/>
    <row r="61" spans="3:31" hidden="1" x14ac:dyDescent="0.25"/>
    <row r="62" spans="3:31" hidden="1" x14ac:dyDescent="0.25"/>
    <row r="63" spans="3:31" hidden="1" x14ac:dyDescent="0.25"/>
    <row r="64" spans="3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31" spans="1:31" s="4" customFormat="1" ht="25.5" customHeight="1" thickBot="1" x14ac:dyDescent="0.3">
      <c r="B131" s="62" t="s">
        <v>200</v>
      </c>
      <c r="C131" s="62"/>
      <c r="D131" s="62"/>
      <c r="E131" s="62"/>
      <c r="F131" s="62"/>
      <c r="G131" s="62"/>
      <c r="H131" s="62"/>
      <c r="I131" s="62"/>
      <c r="J131" s="62"/>
      <c r="K131" s="62"/>
      <c r="L131" s="62"/>
      <c r="M131" s="62"/>
      <c r="N131" s="62"/>
      <c r="O131" s="62"/>
      <c r="Z131" s="1"/>
    </row>
    <row r="132" spans="1:31" s="4" customFormat="1" ht="6" customHeight="1" x14ac:dyDescent="0.25">
      <c r="Z132" s="1"/>
    </row>
    <row r="133" spans="1:31" s="4" customFormat="1" ht="30" x14ac:dyDescent="0.25">
      <c r="C133" s="181">
        <v>2020</v>
      </c>
      <c r="D133" s="181">
        <v>2021</v>
      </c>
      <c r="E133" s="181">
        <v>2022</v>
      </c>
      <c r="F133" s="181">
        <v>2023</v>
      </c>
      <c r="G133" s="169" t="str">
        <f>CONCATENATE("var. ",RIGHT(F133,2),"/",RIGHT(E133,2))</f>
        <v>var. 23/22</v>
      </c>
      <c r="H133" s="169" t="str">
        <f>CONCATENATE("dif. ",RIGHT(F133,2),"/",RIGHT(E133,2))</f>
        <v>dif. 23/22</v>
      </c>
      <c r="I133" s="240" t="str">
        <f>CONCATENATE("%/s total Tenerife ",RIGHT(F133,4))</f>
        <v>%/s total Tenerife 2023</v>
      </c>
      <c r="J133" s="181">
        <v>2024</v>
      </c>
      <c r="K133" s="240" t="str">
        <f>CONCATENATE("%/s total Tenerife ",RIGHT(J133,4))</f>
        <v>%/s total Tenerife 2024</v>
      </c>
      <c r="L133" s="169" t="str">
        <f>CONCATENATE("var. ",RIGHT(J133,2),"/",RIGHT(F133,2))</f>
        <v>var. 24/23</v>
      </c>
      <c r="M133" s="169" t="str">
        <f>CONCATENATE("dif. ",RIGHT(J133,2),"/",RIGHT(F133,2))</f>
        <v>dif. 24/23</v>
      </c>
      <c r="N133" s="169" t="str">
        <f>CONCATENATE("var. ",RIGHT(J133,2),"/",RIGHT(D133,2))</f>
        <v>var. 24/21</v>
      </c>
      <c r="O133" s="169" t="str">
        <f>CONCATENATE("dif. ",RIGHT(J133,2),"/",RIGHT(D133,2))</f>
        <v>dif. 24/21</v>
      </c>
      <c r="Z133" s="1"/>
    </row>
    <row r="134" spans="1:31" ht="18.75" x14ac:dyDescent="0.3">
      <c r="A134" s="4"/>
      <c r="B134" s="222" t="s">
        <v>199</v>
      </c>
      <c r="C134" s="226">
        <v>28320</v>
      </c>
      <c r="D134" s="226">
        <v>66989</v>
      </c>
      <c r="E134" s="226">
        <v>97391</v>
      </c>
      <c r="F134" s="226">
        <v>92103</v>
      </c>
      <c r="G134" s="227">
        <f>F134/E134-1</f>
        <v>-5.4296598248298134E-2</v>
      </c>
      <c r="H134" s="226">
        <f>F134-E134</f>
        <v>-5288</v>
      </c>
      <c r="I134" s="227">
        <f>F134/F$134</f>
        <v>1</v>
      </c>
      <c r="J134" s="226">
        <v>106284</v>
      </c>
      <c r="K134" s="227">
        <f>J134/J$134</f>
        <v>1</v>
      </c>
      <c r="L134" s="227">
        <f>J134/F134-1</f>
        <v>0.15396892609361257</v>
      </c>
      <c r="M134" s="226">
        <f>J134-F134</f>
        <v>14181</v>
      </c>
      <c r="N134" s="227">
        <f>J134/D134-1</f>
        <v>0.58658884294436398</v>
      </c>
      <c r="O134" s="226">
        <f>J134-D134</f>
        <v>39295</v>
      </c>
      <c r="Q134" s="29"/>
      <c r="R134" s="79"/>
      <c r="Z134" s="1" t="s">
        <v>175</v>
      </c>
      <c r="AE134"/>
    </row>
    <row r="135" spans="1:31" s="4" customFormat="1" x14ac:dyDescent="0.25">
      <c r="B135" s="243" t="s">
        <v>192</v>
      </c>
      <c r="C135" s="244">
        <v>19477</v>
      </c>
      <c r="D135" s="244">
        <v>48803</v>
      </c>
      <c r="E135" s="244">
        <v>66206</v>
      </c>
      <c r="F135" s="244">
        <v>60189</v>
      </c>
      <c r="G135" s="248">
        <f>IFERROR(F135/E135-1,"-")</f>
        <v>-9.088300154064588E-2</v>
      </c>
      <c r="H135" s="244">
        <f t="shared" ref="H135:H138" si="14">F135-E135</f>
        <v>-6017</v>
      </c>
      <c r="I135" s="246">
        <f>F135/F$134</f>
        <v>0.65349662877430703</v>
      </c>
      <c r="J135" s="244">
        <v>72329</v>
      </c>
      <c r="K135" s="245">
        <f t="shared" ref="K135:K138" si="15">J135/J$134</f>
        <v>0.68052576116819086</v>
      </c>
      <c r="L135" s="246">
        <f t="shared" ref="L135:L138" si="16">J135/F135-1</f>
        <v>0.20169798468158628</v>
      </c>
      <c r="M135" s="247">
        <f t="shared" ref="M135:M138" si="17">J135-F135</f>
        <v>12140</v>
      </c>
      <c r="N135" s="245">
        <f t="shared" ref="N135:N138" si="18">J135/D135-1</f>
        <v>0.48206052906583619</v>
      </c>
      <c r="O135" s="244">
        <f t="shared" ref="O135:O138" si="19">J135-D135</f>
        <v>23526</v>
      </c>
      <c r="Q135" s="29"/>
      <c r="R135" s="79"/>
      <c r="Z135" s="1" t="s">
        <v>177</v>
      </c>
    </row>
    <row r="136" spans="1:31" s="4" customFormat="1" x14ac:dyDescent="0.25">
      <c r="B136" s="97" t="s">
        <v>62</v>
      </c>
      <c r="C136" s="250">
        <v>7696</v>
      </c>
      <c r="D136" s="250">
        <v>24218</v>
      </c>
      <c r="E136" s="250">
        <v>29828</v>
      </c>
      <c r="F136" s="250">
        <v>29979</v>
      </c>
      <c r="G136" s="254">
        <f t="shared" ref="G136:G138" si="20">IFERROR(F136/E136-1,"-")</f>
        <v>5.0623575164274737E-3</v>
      </c>
      <c r="H136" s="250">
        <f t="shared" si="14"/>
        <v>151</v>
      </c>
      <c r="I136" s="258">
        <f t="shared" ref="I136:I138" si="21">F136/F$134</f>
        <v>0.32549428357382498</v>
      </c>
      <c r="J136" s="250">
        <v>30308</v>
      </c>
      <c r="K136" s="256">
        <f t="shared" si="15"/>
        <v>0.28516051334161302</v>
      </c>
      <c r="L136" s="258">
        <f t="shared" si="16"/>
        <v>1.0974348710764303E-2</v>
      </c>
      <c r="M136" s="257">
        <f t="shared" si="17"/>
        <v>329</v>
      </c>
      <c r="N136" s="256">
        <f t="shared" si="18"/>
        <v>0.25146585184573467</v>
      </c>
      <c r="O136" s="250">
        <f t="shared" si="19"/>
        <v>6090</v>
      </c>
      <c r="Q136" s="29"/>
      <c r="R136" s="79"/>
      <c r="Z136" s="1"/>
    </row>
    <row r="137" spans="1:31" s="4" customFormat="1" x14ac:dyDescent="0.25">
      <c r="B137" s="97" t="s">
        <v>61</v>
      </c>
      <c r="C137" s="250">
        <v>11781</v>
      </c>
      <c r="D137" s="250">
        <v>24585</v>
      </c>
      <c r="E137" s="250">
        <v>36378</v>
      </c>
      <c r="F137" s="250">
        <v>30210</v>
      </c>
      <c r="G137" s="252">
        <f t="shared" si="20"/>
        <v>-0.16955302655451099</v>
      </c>
      <c r="H137" s="250">
        <f t="shared" si="14"/>
        <v>-6168</v>
      </c>
      <c r="I137" s="262">
        <f t="shared" si="21"/>
        <v>0.32800234520048205</v>
      </c>
      <c r="J137" s="250">
        <v>42021</v>
      </c>
      <c r="K137" s="256">
        <f t="shared" si="15"/>
        <v>0.39536524782657784</v>
      </c>
      <c r="L137" s="258">
        <f t="shared" si="16"/>
        <v>0.39096325719960268</v>
      </c>
      <c r="M137" s="257">
        <f t="shared" si="17"/>
        <v>11811</v>
      </c>
      <c r="N137" s="256">
        <f t="shared" si="18"/>
        <v>0.70921293471629032</v>
      </c>
      <c r="O137" s="250">
        <f t="shared" si="19"/>
        <v>17436</v>
      </c>
      <c r="Q137" s="29"/>
      <c r="R137" s="79"/>
      <c r="Z137" s="1"/>
    </row>
    <row r="138" spans="1:31" s="4" customFormat="1" x14ac:dyDescent="0.25">
      <c r="B138" s="243" t="s">
        <v>193</v>
      </c>
      <c r="C138" s="244">
        <v>8843</v>
      </c>
      <c r="D138" s="244">
        <v>18186</v>
      </c>
      <c r="E138" s="244">
        <v>31185</v>
      </c>
      <c r="F138" s="244">
        <v>31914</v>
      </c>
      <c r="G138" s="248">
        <f t="shared" si="20"/>
        <v>2.3376623376623273E-2</v>
      </c>
      <c r="H138" s="244">
        <f t="shared" si="14"/>
        <v>729</v>
      </c>
      <c r="I138" s="246">
        <f t="shared" si="21"/>
        <v>0.34650337122569297</v>
      </c>
      <c r="J138" s="244">
        <v>33955</v>
      </c>
      <c r="K138" s="245">
        <f t="shared" si="15"/>
        <v>0.31947423883180909</v>
      </c>
      <c r="L138" s="246">
        <f t="shared" si="16"/>
        <v>6.3953124020805996E-2</v>
      </c>
      <c r="M138" s="247">
        <f t="shared" si="17"/>
        <v>2041</v>
      </c>
      <c r="N138" s="245">
        <f t="shared" si="18"/>
        <v>0.8670955680193555</v>
      </c>
      <c r="O138" s="244">
        <f t="shared" si="19"/>
        <v>15769</v>
      </c>
      <c r="Q138" s="29"/>
      <c r="R138" s="79"/>
      <c r="Z138" s="1"/>
    </row>
    <row r="139" spans="1:31" s="4" customFormat="1" ht="7.5" customHeight="1" x14ac:dyDescent="0.25">
      <c r="B139" s="234"/>
      <c r="C139" s="234"/>
      <c r="D139" s="234"/>
      <c r="E139" s="234"/>
      <c r="F139" s="234"/>
      <c r="G139" s="234"/>
      <c r="H139" s="234"/>
      <c r="I139" s="234"/>
      <c r="J139" s="234"/>
      <c r="K139" s="234"/>
      <c r="L139" s="234"/>
      <c r="M139" s="234"/>
      <c r="N139" s="234"/>
      <c r="O139" s="234"/>
      <c r="Z139" s="1" t="s">
        <v>182</v>
      </c>
    </row>
    <row r="140" spans="1:31" s="4" customFormat="1" ht="32.25" customHeight="1" x14ac:dyDescent="0.25">
      <c r="B140" s="306" t="s">
        <v>196</v>
      </c>
      <c r="C140" s="306"/>
      <c r="D140" s="306"/>
      <c r="E140" s="306"/>
      <c r="F140" s="306"/>
      <c r="G140" s="306"/>
      <c r="H140" s="306"/>
      <c r="I140" s="306"/>
      <c r="J140" s="306"/>
      <c r="K140" s="306"/>
      <c r="L140" s="306"/>
      <c r="M140" s="306"/>
      <c r="N140" s="306"/>
      <c r="O140" s="306"/>
      <c r="Z140" s="1" t="s">
        <v>184</v>
      </c>
    </row>
    <row r="141" spans="1:31" x14ac:dyDescent="0.25">
      <c r="Z141" s="1"/>
      <c r="AE141"/>
    </row>
    <row r="142" spans="1:31" x14ac:dyDescent="0.25">
      <c r="Z142" s="1"/>
      <c r="AE142"/>
    </row>
  </sheetData>
  <mergeCells count="3">
    <mergeCell ref="B38:S38"/>
    <mergeCell ref="B48:S48"/>
    <mergeCell ref="B140:O14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21598D-B79E-40C0-A48E-E41B4BD2799C}">
  <sheetPr codeName="Hoja41">
    <tabColor theme="4" tint="0.39997558519241921"/>
  </sheetPr>
  <dimension ref="A1:AE14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13" width="14.7109375" customWidth="1"/>
    <col min="14" max="14" width="11.42578125" customWidth="1"/>
    <col min="15" max="15" width="14.7109375" customWidth="1"/>
    <col min="27" max="27" width="14" customWidth="1"/>
    <col min="31" max="31" width="11.42578125" style="1"/>
  </cols>
  <sheetData>
    <row r="1" spans="1:31" ht="30" customHeight="1" x14ac:dyDescent="0.25">
      <c r="B1" s="1" t="s">
        <v>201</v>
      </c>
      <c r="G1" s="221"/>
      <c r="H1" s="221"/>
      <c r="I1" s="221"/>
      <c r="K1" s="221"/>
    </row>
    <row r="3" spans="1:31" s="4" customFormat="1" ht="25.5" customHeight="1" thickBot="1" x14ac:dyDescent="0.3">
      <c r="B3" s="62" t="s">
        <v>27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45" x14ac:dyDescent="0.25">
      <c r="C5" s="239" t="s">
        <v>260</v>
      </c>
      <c r="D5" s="239" t="s">
        <v>261</v>
      </c>
      <c r="E5" s="239" t="s">
        <v>262</v>
      </c>
      <c r="F5" s="240" t="str">
        <f>CONCATENATE("%/s total Tenerife ",RIGHT(E5,4))</f>
        <v>%/s total Tenerife 2022</v>
      </c>
      <c r="G5" s="239" t="s">
        <v>263</v>
      </c>
      <c r="H5" s="240" t="str">
        <f>CONCATENATE("var. ",RIGHT(G5,2),"/",RIGHT(E5,2))</f>
        <v>var. 23/22</v>
      </c>
      <c r="I5" s="240" t="str">
        <f>CONCATENATE("dif. ",RIGHT(G5,2),"/",RIGHT(E5,2))</f>
        <v>dif. 23/22</v>
      </c>
      <c r="J5" s="240" t="str">
        <f>CONCATENATE("%/s total Tenerife ",RIGHT(G5,4))</f>
        <v>%/s total Tenerife 2023</v>
      </c>
      <c r="K5" s="239" t="s">
        <v>264</v>
      </c>
      <c r="L5" s="240" t="str">
        <f>CONCATENATE("var. ",RIGHT(K5,2),"/",RIGHT(G5,2))</f>
        <v>var. 24/23</v>
      </c>
      <c r="M5" s="240" t="str">
        <f>CONCATENATE("dif. ",RIGHT(K5,2),"/",RIGHT(G5,2))</f>
        <v>dif. 24/23</v>
      </c>
      <c r="N5" s="240" t="str">
        <f>CONCATENATE("%/s total Tenerife ",RIGHT(K5,4))</f>
        <v>%/s total Tenerife 2024</v>
      </c>
      <c r="O5" s="239" t="s">
        <v>265</v>
      </c>
      <c r="P5" s="240" t="str">
        <f>CONCATENATE("var. ",RIGHT(O5,2),"/",RIGHT(K5,2))</f>
        <v>var. 25/24</v>
      </c>
      <c r="Q5" s="240" t="str">
        <f>CONCATENATE("dif. ",RIGHT(O5,2),"/",RIGHT(K5,2))</f>
        <v>dif. 25/24</v>
      </c>
      <c r="R5" s="240" t="str">
        <f>CONCATENATE("var. ",RIGHT(O5,2),"/",RIGHT(C5,2))</f>
        <v>var. 25/20</v>
      </c>
      <c r="S5" s="240" t="str">
        <f>CONCATENATE("dif. ",RIGHT(O5,2),"/",RIGHT(C5,2))</f>
        <v>dif. 25/20</v>
      </c>
      <c r="T5" s="240" t="str">
        <f>CONCATENATE("%/s total Tenerife ",RIGHT(O5,4))</f>
        <v>%/s total Tenerife 2025</v>
      </c>
      <c r="AE5" s="1"/>
    </row>
    <row r="6" spans="1:31" ht="18.75" x14ac:dyDescent="0.3">
      <c r="A6" s="4"/>
      <c r="B6" s="222" t="s">
        <v>202</v>
      </c>
      <c r="C6" s="241">
        <v>56329</v>
      </c>
      <c r="D6" s="241">
        <v>19622</v>
      </c>
      <c r="E6" s="241">
        <v>41772</v>
      </c>
      <c r="F6" s="242">
        <f>E6/$E$6</f>
        <v>1</v>
      </c>
      <c r="G6" s="241">
        <v>60988</v>
      </c>
      <c r="H6" s="242">
        <f>G6/E6-1</f>
        <v>0.46002106674327292</v>
      </c>
      <c r="I6" s="241">
        <f>G6-E6</f>
        <v>19216</v>
      </c>
      <c r="J6" s="242">
        <f>G6/$G$6</f>
        <v>1</v>
      </c>
      <c r="K6" s="241">
        <v>53225</v>
      </c>
      <c r="L6" s="242">
        <f>K6/G6-1</f>
        <v>-0.12728733521348456</v>
      </c>
      <c r="M6" s="241">
        <f>K6-G6</f>
        <v>-7763</v>
      </c>
      <c r="N6" s="242">
        <f>K6/$K$6</f>
        <v>1</v>
      </c>
      <c r="O6" s="241">
        <v>55404</v>
      </c>
      <c r="P6" s="242">
        <f>O6/K6-1</f>
        <v>4.0939408172851133E-2</v>
      </c>
      <c r="Q6" s="241">
        <f>O6-K6</f>
        <v>2179</v>
      </c>
      <c r="R6" s="242">
        <f>IFERROR(O6/C6-1,"-")</f>
        <v>-1.6421381526389611E-2</v>
      </c>
      <c r="S6" s="241">
        <f>O6-C6</f>
        <v>-925</v>
      </c>
      <c r="T6" s="242">
        <f>O6/$O$6</f>
        <v>1</v>
      </c>
      <c r="V6" s="29"/>
      <c r="W6" s="79"/>
      <c r="AE6" s="1" t="s">
        <v>175</v>
      </c>
    </row>
    <row r="7" spans="1:31" s="4" customFormat="1" x14ac:dyDescent="0.25">
      <c r="B7" s="233" t="s">
        <v>44</v>
      </c>
      <c r="C7" s="250">
        <v>8778</v>
      </c>
      <c r="D7" s="250">
        <v>5945</v>
      </c>
      <c r="E7" s="250">
        <v>8963</v>
      </c>
      <c r="F7" s="256">
        <f t="shared" ref="F7:F16" si="0">E7/$E$6</f>
        <v>0.21456956813176289</v>
      </c>
      <c r="G7" s="250">
        <v>8728</v>
      </c>
      <c r="H7" s="258">
        <f>G7/E7-1</f>
        <v>-2.6218899921901184E-2</v>
      </c>
      <c r="I7" s="257">
        <f>G7-E7</f>
        <v>-235</v>
      </c>
      <c r="J7" s="256">
        <f>G7/$G$6</f>
        <v>0.1431101200236112</v>
      </c>
      <c r="K7" s="250">
        <v>7100</v>
      </c>
      <c r="L7" s="258">
        <f>K7/G7-1</f>
        <v>-0.18652612282309811</v>
      </c>
      <c r="M7" s="257">
        <f>K7-G7</f>
        <v>-1628</v>
      </c>
      <c r="N7" s="256">
        <f>K7/$K$6</f>
        <v>0.13339596054485675</v>
      </c>
      <c r="O7" s="250">
        <v>6983</v>
      </c>
      <c r="P7" s="258">
        <f>O7/K7-1</f>
        <v>-1.6478873239436642E-2</v>
      </c>
      <c r="Q7" s="257">
        <f>O7-K7</f>
        <v>-117</v>
      </c>
      <c r="R7" s="258">
        <f t="shared" ref="R7:R16" si="1">IFERROR(O7/C7-1,"-")</f>
        <v>-0.20448849396217816</v>
      </c>
      <c r="S7" s="257">
        <f t="shared" ref="S7:S16" si="2">O7-C7</f>
        <v>-1795</v>
      </c>
      <c r="T7" s="256">
        <f>O7/$O$6</f>
        <v>0.12603783120352322</v>
      </c>
      <c r="V7" s="29"/>
      <c r="W7" s="79"/>
      <c r="AE7" s="1" t="s">
        <v>177</v>
      </c>
    </row>
    <row r="8" spans="1:31" s="4" customFormat="1" x14ac:dyDescent="0.25">
      <c r="B8" s="233" t="s">
        <v>45</v>
      </c>
      <c r="C8" s="250">
        <v>5572</v>
      </c>
      <c r="D8" s="250">
        <v>1875</v>
      </c>
      <c r="E8" s="250">
        <v>4149</v>
      </c>
      <c r="F8" s="256">
        <f t="shared" si="0"/>
        <v>9.9324906636024127E-2</v>
      </c>
      <c r="G8" s="250">
        <v>5690</v>
      </c>
      <c r="H8" s="258">
        <f t="shared" ref="H8:H16" si="3">G8/E8-1</f>
        <v>0.37141479874668604</v>
      </c>
      <c r="I8" s="257">
        <f t="shared" ref="I8:I16" si="4">G8-E8</f>
        <v>1541</v>
      </c>
      <c r="J8" s="256">
        <f t="shared" ref="J8:J16" si="5">G8/$G$6</f>
        <v>9.3297042041057252E-2</v>
      </c>
      <c r="K8" s="250">
        <v>4403</v>
      </c>
      <c r="L8" s="258">
        <f t="shared" ref="L8:L16" si="6">K8/G8-1</f>
        <v>-0.22618629173989457</v>
      </c>
      <c r="M8" s="257">
        <f t="shared" ref="M8:M16" si="7">K8-G8</f>
        <v>-1287</v>
      </c>
      <c r="N8" s="256">
        <f t="shared" ref="N8:N16" si="8">K8/$K$6</f>
        <v>8.2724283701268206E-2</v>
      </c>
      <c r="O8" s="250">
        <v>5520</v>
      </c>
      <c r="P8" s="258">
        <f t="shared" ref="P8:P16" si="9">O8/K8-1</f>
        <v>0.25369066545537144</v>
      </c>
      <c r="Q8" s="257">
        <f t="shared" ref="Q8:Q16" si="10">O8-K8</f>
        <v>1117</v>
      </c>
      <c r="R8" s="258">
        <f t="shared" si="1"/>
        <v>-9.3323761665470295E-3</v>
      </c>
      <c r="S8" s="257">
        <f t="shared" si="2"/>
        <v>-52</v>
      </c>
      <c r="T8" s="256">
        <f t="shared" ref="T8:T16" si="11">O8/$O$6</f>
        <v>9.963179553822829E-2</v>
      </c>
      <c r="V8" s="29"/>
      <c r="W8" s="79"/>
      <c r="AE8" s="1"/>
    </row>
    <row r="9" spans="1:31" s="4" customFormat="1" x14ac:dyDescent="0.25">
      <c r="B9" s="233" t="s">
        <v>46</v>
      </c>
      <c r="C9" s="250">
        <v>425</v>
      </c>
      <c r="D9" s="250">
        <v>107</v>
      </c>
      <c r="E9" s="250">
        <v>161</v>
      </c>
      <c r="F9" s="251">
        <f t="shared" si="0"/>
        <v>3.8542564397203868E-3</v>
      </c>
      <c r="G9" s="250">
        <v>3478</v>
      </c>
      <c r="H9" s="262">
        <f t="shared" si="3"/>
        <v>20.602484472049689</v>
      </c>
      <c r="I9" s="253">
        <f t="shared" si="4"/>
        <v>3317</v>
      </c>
      <c r="J9" s="251">
        <f t="shared" si="5"/>
        <v>5.7027611989243783E-2</v>
      </c>
      <c r="K9" s="250">
        <v>596</v>
      </c>
      <c r="L9" s="258">
        <f t="shared" si="6"/>
        <v>-0.82863714778608399</v>
      </c>
      <c r="M9" s="257">
        <f t="shared" si="7"/>
        <v>-2882</v>
      </c>
      <c r="N9" s="256">
        <f t="shared" si="8"/>
        <v>1.1197745420385158E-2</v>
      </c>
      <c r="O9" s="250">
        <v>902</v>
      </c>
      <c r="P9" s="258">
        <f t="shared" si="9"/>
        <v>0.51342281879194629</v>
      </c>
      <c r="Q9" s="257">
        <f t="shared" si="10"/>
        <v>306</v>
      </c>
      <c r="R9" s="258">
        <f t="shared" si="1"/>
        <v>1.1223529411764708</v>
      </c>
      <c r="S9" s="257">
        <f t="shared" si="2"/>
        <v>477</v>
      </c>
      <c r="T9" s="256">
        <f t="shared" si="11"/>
        <v>1.6280412966572809E-2</v>
      </c>
      <c r="V9" s="29"/>
      <c r="W9" s="79"/>
      <c r="AE9" s="1"/>
    </row>
    <row r="10" spans="1:31" s="4" customFormat="1" x14ac:dyDescent="0.25">
      <c r="B10" s="233" t="s">
        <v>48</v>
      </c>
      <c r="C10" s="250">
        <v>19992</v>
      </c>
      <c r="D10" s="250">
        <v>2136</v>
      </c>
      <c r="E10" s="250">
        <v>12392</v>
      </c>
      <c r="F10" s="256">
        <f t="shared" si="0"/>
        <v>0.29665804845350952</v>
      </c>
      <c r="G10" s="250">
        <v>18745</v>
      </c>
      <c r="H10" s="258">
        <f t="shared" si="3"/>
        <v>0.51266946417043258</v>
      </c>
      <c r="I10" s="257">
        <f t="shared" si="4"/>
        <v>6353</v>
      </c>
      <c r="J10" s="256">
        <f t="shared" si="5"/>
        <v>0.30735554535318421</v>
      </c>
      <c r="K10" s="250">
        <v>17189</v>
      </c>
      <c r="L10" s="258">
        <f t="shared" si="6"/>
        <v>-8.3008802347292576E-2</v>
      </c>
      <c r="M10" s="257">
        <f t="shared" si="7"/>
        <v>-1556</v>
      </c>
      <c r="N10" s="256">
        <f t="shared" si="8"/>
        <v>0.32294974166275248</v>
      </c>
      <c r="O10" s="250">
        <v>18625</v>
      </c>
      <c r="P10" s="258">
        <f t="shared" si="9"/>
        <v>8.3541799988364751E-2</v>
      </c>
      <c r="Q10" s="257">
        <f t="shared" si="10"/>
        <v>1436</v>
      </c>
      <c r="R10" s="258">
        <f t="shared" si="1"/>
        <v>-6.8377350940376114E-2</v>
      </c>
      <c r="S10" s="257">
        <f t="shared" si="2"/>
        <v>-1367</v>
      </c>
      <c r="T10" s="256">
        <f>O10/$O$6</f>
        <v>0.33616706374990973</v>
      </c>
      <c r="V10" s="29"/>
      <c r="W10" s="79"/>
      <c r="AE10" s="1"/>
    </row>
    <row r="11" spans="1:31" s="4" customFormat="1" x14ac:dyDescent="0.25">
      <c r="B11" s="233" t="s">
        <v>50</v>
      </c>
      <c r="C11" s="250">
        <v>3097</v>
      </c>
      <c r="D11" s="250">
        <v>929</v>
      </c>
      <c r="E11" s="250">
        <v>1925</v>
      </c>
      <c r="F11" s="251">
        <f t="shared" si="0"/>
        <v>4.608350090970028E-2</v>
      </c>
      <c r="G11" s="250">
        <v>2578</v>
      </c>
      <c r="H11" s="262">
        <f t="shared" si="3"/>
        <v>0.33922077922077931</v>
      </c>
      <c r="I11" s="253">
        <f t="shared" si="4"/>
        <v>653</v>
      </c>
      <c r="J11" s="251">
        <f t="shared" si="5"/>
        <v>4.2270610611923658E-2</v>
      </c>
      <c r="K11" s="250">
        <v>2281</v>
      </c>
      <c r="L11" s="258">
        <f t="shared" si="6"/>
        <v>-0.11520558572536854</v>
      </c>
      <c r="M11" s="257">
        <f t="shared" si="7"/>
        <v>-297</v>
      </c>
      <c r="N11" s="256">
        <f t="shared" si="8"/>
        <v>4.2855800845467355E-2</v>
      </c>
      <c r="O11" s="250">
        <v>2599</v>
      </c>
      <c r="P11" s="258">
        <f t="shared" si="9"/>
        <v>0.13941253836036815</v>
      </c>
      <c r="Q11" s="257">
        <f t="shared" si="10"/>
        <v>318</v>
      </c>
      <c r="R11" s="258">
        <f t="shared" si="1"/>
        <v>-0.16080077494349365</v>
      </c>
      <c r="S11" s="257">
        <f t="shared" si="2"/>
        <v>-498</v>
      </c>
      <c r="T11" s="256">
        <f t="shared" si="11"/>
        <v>4.690997039924915E-2</v>
      </c>
      <c r="V11" s="29"/>
      <c r="W11" s="79"/>
      <c r="AE11" s="1"/>
    </row>
    <row r="12" spans="1:31" s="4" customFormat="1" x14ac:dyDescent="0.25">
      <c r="B12" s="233" t="s">
        <v>51</v>
      </c>
      <c r="C12" s="250">
        <v>9789</v>
      </c>
      <c r="D12" s="250">
        <v>2598</v>
      </c>
      <c r="E12" s="250">
        <v>6573</v>
      </c>
      <c r="F12" s="256">
        <f t="shared" si="0"/>
        <v>0.15735420856075841</v>
      </c>
      <c r="G12" s="250">
        <v>10452</v>
      </c>
      <c r="H12" s="258">
        <f t="shared" si="3"/>
        <v>0.59014148790506615</v>
      </c>
      <c r="I12" s="257">
        <f t="shared" si="4"/>
        <v>3879</v>
      </c>
      <c r="J12" s="256">
        <f t="shared" si="5"/>
        <v>0.17137797599527776</v>
      </c>
      <c r="K12" s="250">
        <v>11900</v>
      </c>
      <c r="L12" s="258">
        <f t="shared" si="6"/>
        <v>0.1385380788365862</v>
      </c>
      <c r="M12" s="257">
        <f t="shared" si="7"/>
        <v>1448</v>
      </c>
      <c r="N12" s="256">
        <f t="shared" si="8"/>
        <v>0.2235791451385627</v>
      </c>
      <c r="O12" s="250">
        <v>11916</v>
      </c>
      <c r="P12" s="258">
        <f t="shared" si="9"/>
        <v>1.3445378151260012E-3</v>
      </c>
      <c r="Q12" s="257">
        <f t="shared" si="10"/>
        <v>16</v>
      </c>
      <c r="R12" s="258">
        <f t="shared" si="1"/>
        <v>0.21728470732454785</v>
      </c>
      <c r="S12" s="257">
        <f t="shared" si="2"/>
        <v>2127</v>
      </c>
      <c r="T12" s="256">
        <f t="shared" si="11"/>
        <v>0.21507472384665366</v>
      </c>
      <c r="V12" s="29"/>
      <c r="W12" s="79"/>
      <c r="AE12" s="1"/>
    </row>
    <row r="13" spans="1:31" s="4" customFormat="1" x14ac:dyDescent="0.25">
      <c r="B13" s="233" t="s">
        <v>49</v>
      </c>
      <c r="C13" s="250">
        <v>3059</v>
      </c>
      <c r="D13" s="250">
        <v>582</v>
      </c>
      <c r="E13" s="250">
        <v>1773</v>
      </c>
      <c r="F13" s="251">
        <f t="shared" si="0"/>
        <v>4.2444699798908359E-2</v>
      </c>
      <c r="G13" s="250">
        <v>3042</v>
      </c>
      <c r="H13" s="262">
        <f t="shared" si="3"/>
        <v>0.71573604060913709</v>
      </c>
      <c r="I13" s="253">
        <f t="shared" si="4"/>
        <v>1269</v>
      </c>
      <c r="J13" s="251">
        <f t="shared" si="5"/>
        <v>4.9878664655342034E-2</v>
      </c>
      <c r="K13" s="250">
        <v>2177</v>
      </c>
      <c r="L13" s="258">
        <f t="shared" si="6"/>
        <v>-0.28435239973701509</v>
      </c>
      <c r="M13" s="257">
        <f t="shared" si="7"/>
        <v>-865</v>
      </c>
      <c r="N13" s="256">
        <f t="shared" si="8"/>
        <v>4.0901831845937063E-2</v>
      </c>
      <c r="O13" s="250">
        <v>2652</v>
      </c>
      <c r="P13" s="258">
        <f t="shared" si="9"/>
        <v>0.21819016995865881</v>
      </c>
      <c r="Q13" s="257">
        <f t="shared" si="10"/>
        <v>475</v>
      </c>
      <c r="R13" s="258">
        <f t="shared" si="1"/>
        <v>-0.13305001634521085</v>
      </c>
      <c r="S13" s="257">
        <f t="shared" si="2"/>
        <v>-407</v>
      </c>
      <c r="T13" s="256">
        <f t="shared" si="11"/>
        <v>4.7866580030322722E-2</v>
      </c>
      <c r="V13" s="29"/>
      <c r="W13" s="79"/>
      <c r="AE13" s="1"/>
    </row>
    <row r="14" spans="1:31" s="4" customFormat="1" x14ac:dyDescent="0.25">
      <c r="B14" s="233" t="s">
        <v>52</v>
      </c>
      <c r="C14" s="250">
        <v>827</v>
      </c>
      <c r="D14" s="250">
        <v>3353</v>
      </c>
      <c r="E14" s="250">
        <v>744</v>
      </c>
      <c r="F14" s="256">
        <f t="shared" si="0"/>
        <v>1.7810973858086755E-2</v>
      </c>
      <c r="G14" s="250">
        <v>1649</v>
      </c>
      <c r="H14" s="258">
        <f t="shared" si="3"/>
        <v>1.2163978494623655</v>
      </c>
      <c r="I14" s="257">
        <f t="shared" si="4"/>
        <v>905</v>
      </c>
      <c r="J14" s="256">
        <f t="shared" si="5"/>
        <v>2.7038105856889878E-2</v>
      </c>
      <c r="K14" s="250">
        <v>1032</v>
      </c>
      <c r="L14" s="258">
        <f t="shared" si="6"/>
        <v>-0.37416616130988478</v>
      </c>
      <c r="M14" s="257">
        <f t="shared" si="7"/>
        <v>-617</v>
      </c>
      <c r="N14" s="256">
        <f t="shared" si="8"/>
        <v>1.9389384687646782E-2</v>
      </c>
      <c r="O14" s="250">
        <v>851</v>
      </c>
      <c r="P14" s="258">
        <f t="shared" si="9"/>
        <v>-0.17538759689922478</v>
      </c>
      <c r="Q14" s="257">
        <f t="shared" si="10"/>
        <v>-181</v>
      </c>
      <c r="R14" s="258">
        <f t="shared" si="1"/>
        <v>2.9020556227327798E-2</v>
      </c>
      <c r="S14" s="257">
        <f t="shared" si="2"/>
        <v>24</v>
      </c>
      <c r="T14" s="256">
        <f t="shared" si="11"/>
        <v>1.5359901812143528E-2</v>
      </c>
      <c r="V14" s="29"/>
      <c r="W14" s="79"/>
      <c r="AE14" s="1"/>
    </row>
    <row r="15" spans="1:31" s="4" customFormat="1" x14ac:dyDescent="0.25">
      <c r="B15" s="233" t="s">
        <v>47</v>
      </c>
      <c r="C15" s="250">
        <v>2373</v>
      </c>
      <c r="D15" s="250">
        <v>570</v>
      </c>
      <c r="E15" s="250">
        <v>2005</v>
      </c>
      <c r="F15" s="251">
        <f t="shared" si="0"/>
        <v>4.7998659389064446E-2</v>
      </c>
      <c r="G15" s="250">
        <v>2787</v>
      </c>
      <c r="H15" s="262">
        <f t="shared" si="3"/>
        <v>0.39002493765586044</v>
      </c>
      <c r="I15" s="253">
        <f t="shared" si="4"/>
        <v>782</v>
      </c>
      <c r="J15" s="251">
        <f t="shared" si="5"/>
        <v>4.5697514265101331E-2</v>
      </c>
      <c r="K15" s="250">
        <v>2799</v>
      </c>
      <c r="L15" s="258">
        <f t="shared" si="6"/>
        <v>4.3057050592034685E-3</v>
      </c>
      <c r="M15" s="257">
        <f t="shared" si="7"/>
        <v>12</v>
      </c>
      <c r="N15" s="256">
        <f t="shared" si="8"/>
        <v>5.2588069516204788E-2</v>
      </c>
      <c r="O15" s="250">
        <v>2131</v>
      </c>
      <c r="P15" s="258">
        <f t="shared" si="9"/>
        <v>-0.23865666309396216</v>
      </c>
      <c r="Q15" s="257">
        <f t="shared" si="10"/>
        <v>-668</v>
      </c>
      <c r="R15" s="258">
        <f t="shared" si="1"/>
        <v>-0.1019806152549515</v>
      </c>
      <c r="S15" s="257">
        <f t="shared" si="2"/>
        <v>-242</v>
      </c>
      <c r="T15" s="256">
        <f t="shared" si="11"/>
        <v>3.8462926864486317E-2</v>
      </c>
      <c r="V15" s="29"/>
      <c r="W15" s="79"/>
      <c r="AE15" s="1"/>
    </row>
    <row r="16" spans="1:31" s="4" customFormat="1" x14ac:dyDescent="0.25">
      <c r="B16" s="233" t="s">
        <v>203</v>
      </c>
      <c r="C16" s="250">
        <f>C6-SUM(C7:C15)</f>
        <v>2417</v>
      </c>
      <c r="D16" s="250">
        <f>D6-SUM(D7:D15)</f>
        <v>1527</v>
      </c>
      <c r="E16" s="250">
        <f>E6-SUM(E7:E15)</f>
        <v>3087</v>
      </c>
      <c r="F16" s="256">
        <f t="shared" si="0"/>
        <v>7.3901177822464803E-2</v>
      </c>
      <c r="G16" s="250">
        <f>G6-SUM(G7:G15)</f>
        <v>3839</v>
      </c>
      <c r="H16" s="258">
        <f t="shared" si="3"/>
        <v>0.24360220278587619</v>
      </c>
      <c r="I16" s="257">
        <f t="shared" si="4"/>
        <v>752</v>
      </c>
      <c r="J16" s="256">
        <f t="shared" si="5"/>
        <v>6.2946809208368856E-2</v>
      </c>
      <c r="K16" s="250">
        <f>K6-SUM(K7:K15)</f>
        <v>3748</v>
      </c>
      <c r="L16" s="258">
        <f t="shared" si="6"/>
        <v>-2.3704089606668366E-2</v>
      </c>
      <c r="M16" s="257">
        <f t="shared" si="7"/>
        <v>-91</v>
      </c>
      <c r="N16" s="256">
        <f t="shared" si="8"/>
        <v>7.0418036636918743E-2</v>
      </c>
      <c r="O16" s="250">
        <f>O6-SUM(O7:O15)</f>
        <v>3225</v>
      </c>
      <c r="P16" s="258">
        <f t="shared" si="9"/>
        <v>-0.13954108858057634</v>
      </c>
      <c r="Q16" s="257">
        <f t="shared" si="10"/>
        <v>-523</v>
      </c>
      <c r="R16" s="258">
        <f t="shared" si="1"/>
        <v>0.33429871741828721</v>
      </c>
      <c r="S16" s="257">
        <f t="shared" si="2"/>
        <v>808</v>
      </c>
      <c r="T16" s="256">
        <f t="shared" si="11"/>
        <v>5.8208793588910547E-2</v>
      </c>
      <c r="V16" s="29"/>
      <c r="W16" s="79"/>
      <c r="AE16" s="1"/>
    </row>
    <row r="17" spans="2:31" s="4" customFormat="1" ht="7.5" customHeight="1" x14ac:dyDescent="0.25">
      <c r="B17" s="234"/>
      <c r="C17" s="234"/>
      <c r="D17" s="234"/>
      <c r="E17" s="234"/>
      <c r="F17" s="234"/>
      <c r="G17" s="234"/>
      <c r="H17" s="234"/>
      <c r="I17" s="234"/>
      <c r="J17" s="234"/>
      <c r="K17" s="234"/>
      <c r="L17" s="234"/>
      <c r="M17" s="234"/>
      <c r="N17" s="234"/>
      <c r="O17" s="234"/>
      <c r="P17" s="234"/>
      <c r="Q17" s="234"/>
      <c r="R17" s="234"/>
      <c r="S17" s="234"/>
      <c r="T17" s="234"/>
      <c r="AE17" s="1" t="s">
        <v>182</v>
      </c>
    </row>
    <row r="18" spans="2:31" s="4" customFormat="1" x14ac:dyDescent="0.25">
      <c r="B18" s="167" t="s">
        <v>183</v>
      </c>
      <c r="C18" s="167"/>
      <c r="D18" s="167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AE18" s="1" t="s">
        <v>184</v>
      </c>
    </row>
    <row r="19" spans="2:31" s="4" customFormat="1" x14ac:dyDescent="0.25">
      <c r="AE19" s="1"/>
    </row>
    <row r="42" spans="2:31" s="4" customFormat="1" ht="15.75" hidden="1" customHeight="1" thickBot="1" x14ac:dyDescent="0.3">
      <c r="B42" s="265" t="s">
        <v>185</v>
      </c>
      <c r="C42" s="265"/>
      <c r="D42" s="265"/>
      <c r="E42" s="265"/>
      <c r="F42" s="265"/>
      <c r="G42" s="265"/>
      <c r="H42" s="265"/>
      <c r="I42" s="265"/>
      <c r="J42" s="265"/>
      <c r="K42" s="265"/>
      <c r="L42" s="265"/>
      <c r="M42" s="265"/>
      <c r="N42" s="265"/>
      <c r="O42" s="265"/>
      <c r="P42" s="265"/>
      <c r="Q42" s="265"/>
      <c r="R42" s="265"/>
      <c r="S42" s="265"/>
      <c r="T42" s="83"/>
      <c r="AE42" s="1"/>
    </row>
    <row r="43" spans="2:31" s="4" customFormat="1" ht="6" hidden="1" customHeight="1" thickBot="1" x14ac:dyDescent="0.3">
      <c r="AE43" s="1"/>
    </row>
    <row r="44" spans="2:31" s="4" customFormat="1" ht="30" hidden="1" x14ac:dyDescent="0.25">
      <c r="C44" s="87"/>
      <c r="D44" s="87"/>
      <c r="E44" s="87"/>
      <c r="F44" s="87"/>
      <c r="G44" s="87"/>
      <c r="H44" s="87"/>
      <c r="I44" s="87"/>
      <c r="J44" s="87"/>
      <c r="K44" s="14">
        <v>2020</v>
      </c>
      <c r="L44" s="14"/>
      <c r="M44" s="14"/>
      <c r="N44" s="14" t="s">
        <v>186</v>
      </c>
      <c r="O44" s="14">
        <v>2021</v>
      </c>
      <c r="P44" s="14" t="s">
        <v>186</v>
      </c>
      <c r="Q44" s="14" t="s">
        <v>187</v>
      </c>
      <c r="R44" s="14" t="s">
        <v>188</v>
      </c>
      <c r="S44" s="14" t="s">
        <v>189</v>
      </c>
      <c r="T44" s="87"/>
      <c r="AE44" s="1"/>
    </row>
    <row r="45" spans="2:31" s="4" customFormat="1" ht="18.75" hidden="1" x14ac:dyDescent="0.3">
      <c r="B45" s="222" t="s">
        <v>173</v>
      </c>
      <c r="C45" s="223"/>
      <c r="D45" s="223"/>
      <c r="E45" s="223"/>
      <c r="F45" s="223"/>
      <c r="G45" s="223"/>
      <c r="H45" s="223"/>
      <c r="I45" s="223"/>
      <c r="J45" s="223"/>
      <c r="K45" s="223">
        <v>1824653</v>
      </c>
      <c r="L45" s="223"/>
      <c r="M45" s="223"/>
      <c r="N45" s="224"/>
      <c r="O45" s="223">
        <v>2354005</v>
      </c>
      <c r="P45" s="224"/>
      <c r="Q45" s="224">
        <v>1</v>
      </c>
      <c r="R45" s="224">
        <v>0.2901110512519367</v>
      </c>
      <c r="S45" s="223">
        <v>529352</v>
      </c>
      <c r="T45" s="235"/>
      <c r="AE45" s="1"/>
    </row>
    <row r="46" spans="2:31" ht="18.75" hidden="1" x14ac:dyDescent="0.3">
      <c r="B46" s="222" t="s">
        <v>174</v>
      </c>
      <c r="C46" s="223"/>
      <c r="D46" s="223"/>
      <c r="E46" s="223"/>
      <c r="F46" s="223"/>
      <c r="G46" s="223"/>
      <c r="H46" s="223"/>
      <c r="I46" s="223"/>
      <c r="J46" s="223"/>
      <c r="K46" s="223">
        <v>603938</v>
      </c>
      <c r="L46" s="223"/>
      <c r="M46" s="223"/>
      <c r="N46" s="224">
        <v>1</v>
      </c>
      <c r="O46" s="223">
        <v>936181</v>
      </c>
      <c r="P46" s="224">
        <v>1</v>
      </c>
      <c r="Q46" s="224">
        <v>0.39769711619134201</v>
      </c>
      <c r="R46" s="224">
        <v>0.55012766211101138</v>
      </c>
      <c r="S46" s="223">
        <v>332243</v>
      </c>
      <c r="T46" s="235"/>
      <c r="AE46" s="1" t="s">
        <v>175</v>
      </c>
    </row>
    <row r="47" spans="2:31" ht="15.75" hidden="1" x14ac:dyDescent="0.25">
      <c r="B47" s="225" t="s">
        <v>100</v>
      </c>
      <c r="C47" s="226"/>
      <c r="D47" s="226"/>
      <c r="E47" s="226"/>
      <c r="F47" s="226"/>
      <c r="G47" s="226"/>
      <c r="H47" s="226"/>
      <c r="I47" s="226"/>
      <c r="J47" s="226"/>
      <c r="K47" s="226">
        <v>276550.36166633503</v>
      </c>
      <c r="L47" s="226"/>
      <c r="M47" s="226"/>
      <c r="N47" s="227">
        <v>0.45791184139155844</v>
      </c>
      <c r="O47" s="226">
        <v>430252.45635520399</v>
      </c>
      <c r="P47" s="227">
        <v>0.4595825554622493</v>
      </c>
      <c r="Q47" s="227">
        <v>0.18277465695918402</v>
      </c>
      <c r="R47" s="227">
        <v>0.55578337978930015</v>
      </c>
      <c r="S47" s="226">
        <v>153702.09468886897</v>
      </c>
      <c r="T47" s="236"/>
      <c r="AE47" s="1" t="s">
        <v>176</v>
      </c>
    </row>
    <row r="48" spans="2:31" s="4" customFormat="1" hidden="1" x14ac:dyDescent="0.25">
      <c r="B48" s="228" t="s">
        <v>103</v>
      </c>
      <c r="C48" s="229"/>
      <c r="D48" s="229"/>
      <c r="E48" s="229"/>
      <c r="F48" s="229"/>
      <c r="G48" s="229"/>
      <c r="H48" s="229"/>
      <c r="I48" s="229"/>
      <c r="J48" s="229"/>
      <c r="K48" s="229">
        <v>327387.63833385095</v>
      </c>
      <c r="L48" s="229"/>
      <c r="M48" s="229"/>
      <c r="N48" s="232">
        <v>0.54208815860874948</v>
      </c>
      <c r="O48" s="229">
        <v>505927.5436448183</v>
      </c>
      <c r="P48" s="232">
        <v>0.54041637636826456</v>
      </c>
      <c r="Q48" s="232">
        <v>0.21492203442423372</v>
      </c>
      <c r="R48" s="230">
        <v>0.54534711884540576</v>
      </c>
      <c r="S48" s="231">
        <v>178539.90531096736</v>
      </c>
      <c r="T48" s="238"/>
      <c r="AE48" s="1" t="s">
        <v>177</v>
      </c>
    </row>
    <row r="49" spans="2:31" s="4" customFormat="1" hidden="1" x14ac:dyDescent="0.25">
      <c r="B49" s="233" t="s">
        <v>178</v>
      </c>
      <c r="C49" s="29"/>
      <c r="D49" s="29"/>
      <c r="E49" s="29"/>
      <c r="F49" s="29"/>
      <c r="G49" s="29"/>
      <c r="H49" s="29"/>
      <c r="I49" s="29"/>
      <c r="J49" s="29"/>
      <c r="K49" s="29">
        <v>242109.12821622068</v>
      </c>
      <c r="L49" s="29"/>
      <c r="M49" s="29"/>
      <c r="N49" s="31">
        <v>0.4008840778626625</v>
      </c>
      <c r="O49" s="29">
        <v>391384.01224089495</v>
      </c>
      <c r="P49" s="31">
        <v>0.41806446855992052</v>
      </c>
      <c r="Q49" s="31">
        <v>0.16626303352834634</v>
      </c>
      <c r="R49" s="22">
        <v>0.61656033014732592</v>
      </c>
      <c r="S49" s="20">
        <v>149274.88402467428</v>
      </c>
      <c r="T49" s="20"/>
      <c r="AE49" s="1" t="s">
        <v>179</v>
      </c>
    </row>
    <row r="50" spans="2:31" s="4" customFormat="1" hidden="1" x14ac:dyDescent="0.25">
      <c r="B50" s="233" t="s">
        <v>180</v>
      </c>
      <c r="C50" s="29"/>
      <c r="D50" s="29"/>
      <c r="E50" s="29"/>
      <c r="F50" s="29"/>
      <c r="G50" s="29"/>
      <c r="H50" s="29"/>
      <c r="I50" s="29"/>
      <c r="J50" s="29"/>
      <c r="K50" s="29">
        <v>85278.510117630256</v>
      </c>
      <c r="L50" s="29"/>
      <c r="M50" s="29"/>
      <c r="N50" s="31">
        <v>0.14120408074608695</v>
      </c>
      <c r="O50" s="29">
        <v>114543.53140392336</v>
      </c>
      <c r="P50" s="31">
        <v>0.12235190780834407</v>
      </c>
      <c r="Q50" s="31">
        <v>4.8659000895887379E-2</v>
      </c>
      <c r="R50" s="22">
        <v>0.34316994100771625</v>
      </c>
      <c r="S50" s="20">
        <v>29265.021286293108</v>
      </c>
      <c r="T50" s="20"/>
      <c r="AE50" s="1" t="s">
        <v>181</v>
      </c>
    </row>
    <row r="51" spans="2:31" s="4" customFormat="1" ht="7.5" hidden="1" customHeight="1" x14ac:dyDescent="0.25">
      <c r="B51" s="234"/>
      <c r="C51" s="234"/>
      <c r="D51" s="234"/>
      <c r="E51" s="234"/>
      <c r="F51" s="234"/>
      <c r="G51" s="234"/>
      <c r="H51" s="234"/>
      <c r="I51" s="234"/>
      <c r="J51" s="234"/>
      <c r="K51" s="234"/>
      <c r="L51" s="234"/>
      <c r="M51" s="234"/>
      <c r="N51" s="234"/>
      <c r="O51" s="234"/>
      <c r="P51" s="234"/>
      <c r="Q51" s="234"/>
      <c r="R51" s="234"/>
      <c r="S51" s="234"/>
      <c r="AE51" s="1" t="s">
        <v>182</v>
      </c>
    </row>
    <row r="52" spans="2:31" s="4" customFormat="1" hidden="1" x14ac:dyDescent="0.25">
      <c r="B52" s="283" t="s">
        <v>183</v>
      </c>
      <c r="C52" s="283"/>
      <c r="D52" s="283"/>
      <c r="E52" s="283"/>
      <c r="F52" s="283"/>
      <c r="G52" s="283"/>
      <c r="H52" s="283"/>
      <c r="I52" s="283"/>
      <c r="J52" s="283"/>
      <c r="K52" s="283"/>
      <c r="L52" s="283"/>
      <c r="M52" s="283"/>
      <c r="N52" s="283"/>
      <c r="O52" s="283"/>
      <c r="P52" s="283"/>
      <c r="Q52" s="283"/>
      <c r="R52" s="283"/>
      <c r="S52" s="283"/>
      <c r="T52" s="48"/>
      <c r="AE52" s="1" t="s">
        <v>184</v>
      </c>
    </row>
    <row r="53" spans="2:31" s="4" customFormat="1" hidden="1" x14ac:dyDescent="0.25">
      <c r="AE53" s="1"/>
    </row>
    <row r="54" spans="2:31" hidden="1" x14ac:dyDescent="0.25">
      <c r="C54" s="122"/>
      <c r="D54" s="122"/>
      <c r="E54" s="122"/>
      <c r="F54" s="122"/>
      <c r="G54" s="122"/>
      <c r="H54" s="122"/>
      <c r="I54" s="122"/>
      <c r="J54" s="122"/>
      <c r="K54" s="122">
        <v>0.54208815860874948</v>
      </c>
      <c r="L54" s="122"/>
      <c r="M54" s="122"/>
    </row>
    <row r="55" spans="2:31" hidden="1" x14ac:dyDescent="0.25"/>
    <row r="56" spans="2:31" hidden="1" x14ac:dyDescent="0.25"/>
    <row r="57" spans="2:31" hidden="1" x14ac:dyDescent="0.25"/>
    <row r="58" spans="2:31" hidden="1" x14ac:dyDescent="0.25"/>
    <row r="59" spans="2:31" hidden="1" x14ac:dyDescent="0.25"/>
    <row r="60" spans="2:31" hidden="1" x14ac:dyDescent="0.25"/>
    <row r="61" spans="2:31" hidden="1" x14ac:dyDescent="0.25"/>
    <row r="62" spans="2:31" hidden="1" x14ac:dyDescent="0.25"/>
    <row r="63" spans="2:31" hidden="1" x14ac:dyDescent="0.25"/>
    <row r="64" spans="2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33" spans="1:31" s="4" customFormat="1" ht="25.5" customHeight="1" thickBot="1" x14ac:dyDescent="0.3">
      <c r="B133" s="62" t="s">
        <v>27</v>
      </c>
      <c r="C133" s="62"/>
      <c r="D133" s="62"/>
      <c r="E133" s="62"/>
      <c r="F133" s="62"/>
      <c r="G133" s="62"/>
      <c r="H133" s="62"/>
      <c r="I133" s="62"/>
      <c r="J133" s="62"/>
      <c r="K133" s="62"/>
      <c r="L133" s="62"/>
      <c r="M133" s="62"/>
      <c r="N133" s="62"/>
      <c r="O133" s="62"/>
      <c r="Z133" s="1"/>
    </row>
    <row r="134" spans="1:31" s="4" customFormat="1" ht="6" customHeight="1" x14ac:dyDescent="0.25">
      <c r="Z134" s="1"/>
    </row>
    <row r="135" spans="1:31" s="4" customFormat="1" ht="30" x14ac:dyDescent="0.25">
      <c r="C135" s="181">
        <v>2020</v>
      </c>
      <c r="D135" s="181">
        <v>2021</v>
      </c>
      <c r="E135" s="181">
        <v>2022</v>
      </c>
      <c r="F135" s="181">
        <v>2023</v>
      </c>
      <c r="G135" s="169" t="str">
        <f>CONCATENATE("var. ",RIGHT(F135,2),"/",RIGHT(E135,2))</f>
        <v>var. 23/22</v>
      </c>
      <c r="H135" s="169" t="str">
        <f>CONCATENATE("dif. ",RIGHT(F135,2),"/",RIGHT(E135,2))</f>
        <v>dif. 23/22</v>
      </c>
      <c r="I135" s="169" t="str">
        <f>CONCATENATE("%/s total Península ",RIGHT(F135,4))</f>
        <v>%/s total Península 2023</v>
      </c>
      <c r="J135" s="181">
        <v>2024</v>
      </c>
      <c r="K135" s="169" t="str">
        <f>CONCATENATE("%/s total España ",RIGHT(J135,4))</f>
        <v>%/s total España 2024</v>
      </c>
      <c r="L135" s="169" t="str">
        <f>CONCATENATE("var. ",RIGHT(J135,2),"/",RIGHT(F135,2))</f>
        <v>var. 24/23</v>
      </c>
      <c r="M135" s="169" t="str">
        <f>CONCATENATE("dif. ",RIGHT(J135,2),"/",RIGHT(F135,2))</f>
        <v>dif. 24/23</v>
      </c>
      <c r="N135" s="169" t="str">
        <f>CONCATENATE("var. ",RIGHT(J135,2),"/",RIGHT(C135,2))</f>
        <v>var. 24/20</v>
      </c>
      <c r="O135" s="169" t="str">
        <f>CONCATENATE("dif. ",RIGHT(J135,2),"/",RIGHT(C135,2))</f>
        <v>dif. 24/20</v>
      </c>
      <c r="Z135" s="1"/>
    </row>
    <row r="136" spans="1:31" ht="18.75" x14ac:dyDescent="0.3">
      <c r="A136" s="4"/>
      <c r="B136" s="222" t="s">
        <v>202</v>
      </c>
      <c r="C136" s="226">
        <v>456683</v>
      </c>
      <c r="D136" s="226">
        <v>800301</v>
      </c>
      <c r="E136" s="226">
        <v>1016781</v>
      </c>
      <c r="F136" s="226">
        <v>1041269</v>
      </c>
      <c r="G136" s="227">
        <f>F136/E136-1</f>
        <v>2.4083848931087504E-2</v>
      </c>
      <c r="H136" s="226">
        <f>F136-E136</f>
        <v>24488</v>
      </c>
      <c r="I136" s="227">
        <f>F136/F$136</f>
        <v>1</v>
      </c>
      <c r="J136" s="226">
        <v>1058434</v>
      </c>
      <c r="K136" s="227">
        <f>H136/H$136</f>
        <v>1</v>
      </c>
      <c r="L136" s="227">
        <f>J136/F136-1</f>
        <v>1.6484693196474609E-2</v>
      </c>
      <c r="M136" s="226">
        <f>J136-F136</f>
        <v>17165</v>
      </c>
      <c r="N136" s="227">
        <f>J136/C136-1</f>
        <v>1.3176557918731375</v>
      </c>
      <c r="O136" s="226">
        <f>J136-C136</f>
        <v>601751</v>
      </c>
      <c r="Q136" s="29"/>
      <c r="R136" s="79"/>
      <c r="Z136" s="1" t="s">
        <v>175</v>
      </c>
      <c r="AE136"/>
    </row>
    <row r="137" spans="1:31" s="4" customFormat="1" x14ac:dyDescent="0.25">
      <c r="B137" s="233" t="s">
        <v>44</v>
      </c>
      <c r="C137" s="250">
        <v>117997</v>
      </c>
      <c r="D137" s="250">
        <v>247584</v>
      </c>
      <c r="E137" s="250">
        <v>207208</v>
      </c>
      <c r="F137" s="250">
        <v>181512</v>
      </c>
      <c r="G137" s="256">
        <f t="shared" ref="G137:G146" si="12">F137/E137-1</f>
        <v>-0.12401065595922933</v>
      </c>
      <c r="H137" s="263">
        <f t="shared" ref="H137:H146" si="13">F137-E137</f>
        <v>-25696</v>
      </c>
      <c r="I137" s="258">
        <f t="shared" ref="I137:K146" si="14">F137/F$136</f>
        <v>0.17431806766551197</v>
      </c>
      <c r="J137" s="250">
        <v>161819</v>
      </c>
      <c r="K137" s="258">
        <f t="shared" si="14"/>
        <v>-1.049330284220843</v>
      </c>
      <c r="L137" s="258">
        <f t="shared" ref="L137:L146" si="15">J137/F137-1</f>
        <v>-0.10849420423994005</v>
      </c>
      <c r="M137" s="257">
        <f t="shared" ref="M137:M146" si="16">J137-F137</f>
        <v>-19693</v>
      </c>
      <c r="N137" s="256">
        <f t="shared" ref="N137:N146" si="17">J137/C137-1</f>
        <v>0.37138232327940535</v>
      </c>
      <c r="O137" s="250">
        <f t="shared" ref="O137:O146" si="18">J137-C137</f>
        <v>43822</v>
      </c>
      <c r="Q137" s="29"/>
      <c r="R137" s="79"/>
      <c r="Z137" s="1" t="s">
        <v>177</v>
      </c>
    </row>
    <row r="138" spans="1:31" s="4" customFormat="1" x14ac:dyDescent="0.25">
      <c r="B138" s="233" t="s">
        <v>45</v>
      </c>
      <c r="C138" s="250">
        <v>51760</v>
      </c>
      <c r="D138" s="250">
        <v>83468</v>
      </c>
      <c r="E138" s="250">
        <v>123951</v>
      </c>
      <c r="F138" s="250">
        <v>118966</v>
      </c>
      <c r="G138" s="256">
        <f t="shared" si="12"/>
        <v>-4.0217505304515511E-2</v>
      </c>
      <c r="H138" s="263">
        <f t="shared" si="13"/>
        <v>-4985</v>
      </c>
      <c r="I138" s="258">
        <f t="shared" si="14"/>
        <v>0.1142509764527706</v>
      </c>
      <c r="J138" s="250">
        <v>114660</v>
      </c>
      <c r="K138" s="258">
        <f t="shared" si="14"/>
        <v>-0.20356909506697157</v>
      </c>
      <c r="L138" s="258">
        <f t="shared" si="15"/>
        <v>-3.6195215439705497E-2</v>
      </c>
      <c r="M138" s="257">
        <f t="shared" si="16"/>
        <v>-4306</v>
      </c>
      <c r="N138" s="256">
        <f t="shared" si="17"/>
        <v>1.2152241112828439</v>
      </c>
      <c r="O138" s="250">
        <f t="shared" si="18"/>
        <v>62900</v>
      </c>
      <c r="Q138" s="29"/>
      <c r="R138" s="79"/>
      <c r="Z138" s="1"/>
    </row>
    <row r="139" spans="1:31" s="4" customFormat="1" x14ac:dyDescent="0.25">
      <c r="B139" s="233" t="s">
        <v>46</v>
      </c>
      <c r="C139" s="250">
        <v>2339</v>
      </c>
      <c r="D139" s="250">
        <v>4950</v>
      </c>
      <c r="E139" s="250">
        <v>6762</v>
      </c>
      <c r="F139" s="250">
        <v>20250</v>
      </c>
      <c r="G139" s="256">
        <f t="shared" si="12"/>
        <v>1.9946761313220942</v>
      </c>
      <c r="H139" s="263">
        <f t="shared" si="13"/>
        <v>13488</v>
      </c>
      <c r="I139" s="258">
        <f t="shared" si="14"/>
        <v>1.9447424248681178E-2</v>
      </c>
      <c r="J139" s="250">
        <v>11054</v>
      </c>
      <c r="K139" s="262">
        <f t="shared" si="14"/>
        <v>0.55080039202874875</v>
      </c>
      <c r="L139" s="258">
        <f t="shared" si="15"/>
        <v>-0.45412345679012345</v>
      </c>
      <c r="M139" s="257">
        <f t="shared" si="16"/>
        <v>-9196</v>
      </c>
      <c r="N139" s="256">
        <f t="shared" si="17"/>
        <v>3.725951261222745</v>
      </c>
      <c r="O139" s="250">
        <f t="shared" si="18"/>
        <v>8715</v>
      </c>
      <c r="Q139" s="29"/>
      <c r="R139" s="79"/>
      <c r="Z139" s="1"/>
    </row>
    <row r="140" spans="1:31" s="4" customFormat="1" x14ac:dyDescent="0.25">
      <c r="B140" s="233" t="s">
        <v>48</v>
      </c>
      <c r="C140" s="250">
        <v>103133</v>
      </c>
      <c r="D140" s="250">
        <v>181693</v>
      </c>
      <c r="E140" s="250">
        <v>342343</v>
      </c>
      <c r="F140" s="250">
        <v>341923</v>
      </c>
      <c r="G140" s="256">
        <f t="shared" si="12"/>
        <v>-1.2268397484394011E-3</v>
      </c>
      <c r="H140" s="263">
        <f t="shared" si="13"/>
        <v>-420</v>
      </c>
      <c r="I140" s="258">
        <f t="shared" si="14"/>
        <v>0.32837143908058342</v>
      </c>
      <c r="J140" s="250">
        <v>382237</v>
      </c>
      <c r="K140" s="258">
        <f t="shared" si="14"/>
        <v>-1.7151257758902319E-2</v>
      </c>
      <c r="L140" s="258">
        <f t="shared" si="15"/>
        <v>0.1179037385610211</v>
      </c>
      <c r="M140" s="257">
        <f t="shared" si="16"/>
        <v>40314</v>
      </c>
      <c r="N140" s="256">
        <f t="shared" si="17"/>
        <v>2.7062530906693301</v>
      </c>
      <c r="O140" s="250">
        <f t="shared" si="18"/>
        <v>279104</v>
      </c>
      <c r="Q140" s="29"/>
      <c r="R140" s="79"/>
      <c r="Z140" s="1"/>
    </row>
    <row r="141" spans="1:31" s="4" customFormat="1" x14ac:dyDescent="0.25">
      <c r="B141" s="233" t="s">
        <v>50</v>
      </c>
      <c r="C141" s="250">
        <v>30584</v>
      </c>
      <c r="D141" s="250">
        <v>44398</v>
      </c>
      <c r="E141" s="250">
        <v>48630</v>
      </c>
      <c r="F141" s="250">
        <v>55684</v>
      </c>
      <c r="G141" s="256">
        <f t="shared" si="12"/>
        <v>0.14505449311124829</v>
      </c>
      <c r="H141" s="263">
        <f t="shared" si="13"/>
        <v>7054</v>
      </c>
      <c r="I141" s="258">
        <f t="shared" si="14"/>
        <v>5.3477055400669757E-2</v>
      </c>
      <c r="J141" s="250">
        <v>49807</v>
      </c>
      <c r="K141" s="262">
        <f t="shared" si="14"/>
        <v>0.28805945769356417</v>
      </c>
      <c r="L141" s="258">
        <f t="shared" si="15"/>
        <v>-0.10554198692622652</v>
      </c>
      <c r="M141" s="257">
        <f t="shared" si="16"/>
        <v>-5877</v>
      </c>
      <c r="N141" s="256">
        <f t="shared" si="17"/>
        <v>0.62853125817420863</v>
      </c>
      <c r="O141" s="250">
        <f t="shared" si="18"/>
        <v>19223</v>
      </c>
      <c r="Q141" s="29"/>
      <c r="R141" s="79"/>
      <c r="Z141" s="1"/>
    </row>
    <row r="142" spans="1:31" s="4" customFormat="1" x14ac:dyDescent="0.25">
      <c r="B142" s="233" t="s">
        <v>51</v>
      </c>
      <c r="C142" s="250">
        <v>61571</v>
      </c>
      <c r="D142" s="250">
        <v>104557</v>
      </c>
      <c r="E142" s="250">
        <v>134886</v>
      </c>
      <c r="F142" s="250">
        <v>146430</v>
      </c>
      <c r="G142" s="256">
        <f t="shared" si="12"/>
        <v>8.5583381522174262E-2</v>
      </c>
      <c r="H142" s="263">
        <f t="shared" si="13"/>
        <v>11544</v>
      </c>
      <c r="I142" s="258">
        <f t="shared" si="14"/>
        <v>0.14062648556713012</v>
      </c>
      <c r="J142" s="250">
        <v>156566</v>
      </c>
      <c r="K142" s="258">
        <f t="shared" si="14"/>
        <v>0.47141457040182949</v>
      </c>
      <c r="L142" s="258">
        <f t="shared" si="15"/>
        <v>6.9220788089872309E-2</v>
      </c>
      <c r="M142" s="257">
        <f t="shared" si="16"/>
        <v>10136</v>
      </c>
      <c r="N142" s="256">
        <f t="shared" si="17"/>
        <v>1.5428529664939665</v>
      </c>
      <c r="O142" s="250">
        <f t="shared" si="18"/>
        <v>94995</v>
      </c>
      <c r="Q142" s="29"/>
      <c r="R142" s="79"/>
      <c r="Z142" s="1"/>
    </row>
    <row r="143" spans="1:31" s="4" customFormat="1" x14ac:dyDescent="0.25">
      <c r="B143" s="233" t="s">
        <v>49</v>
      </c>
      <c r="C143" s="250">
        <v>16023</v>
      </c>
      <c r="D143" s="250">
        <v>21732</v>
      </c>
      <c r="E143" s="250">
        <v>33809</v>
      </c>
      <c r="F143" s="250">
        <v>37722</v>
      </c>
      <c r="G143" s="256">
        <f t="shared" si="12"/>
        <v>0.11573841284864983</v>
      </c>
      <c r="H143" s="263">
        <f t="shared" si="13"/>
        <v>3913</v>
      </c>
      <c r="I143" s="258">
        <f t="shared" si="14"/>
        <v>3.6226950000432162E-2</v>
      </c>
      <c r="J143" s="250">
        <v>35821</v>
      </c>
      <c r="K143" s="262">
        <f t="shared" si="14"/>
        <v>0.15979255145377327</v>
      </c>
      <c r="L143" s="258">
        <f t="shared" si="15"/>
        <v>-5.0394994963151474E-2</v>
      </c>
      <c r="M143" s="257">
        <f t="shared" si="16"/>
        <v>-1901</v>
      </c>
      <c r="N143" s="256">
        <f t="shared" si="17"/>
        <v>1.2355988266866378</v>
      </c>
      <c r="O143" s="250">
        <f t="shared" si="18"/>
        <v>19798</v>
      </c>
      <c r="Q143" s="29"/>
      <c r="R143" s="79"/>
      <c r="Z143" s="1"/>
    </row>
    <row r="144" spans="1:31" s="4" customFormat="1" x14ac:dyDescent="0.25">
      <c r="B144" s="233" t="s">
        <v>52</v>
      </c>
      <c r="C144" s="250">
        <v>26839</v>
      </c>
      <c r="D144" s="250">
        <v>45216</v>
      </c>
      <c r="E144" s="250">
        <v>29061</v>
      </c>
      <c r="F144" s="250">
        <v>32018</v>
      </c>
      <c r="G144" s="256">
        <f t="shared" si="12"/>
        <v>0.10175148824885594</v>
      </c>
      <c r="H144" s="263">
        <f t="shared" si="13"/>
        <v>2957</v>
      </c>
      <c r="I144" s="258">
        <f t="shared" si="14"/>
        <v>3.0749018745396241E-2</v>
      </c>
      <c r="J144" s="250">
        <v>29188</v>
      </c>
      <c r="K144" s="258">
        <f t="shared" si="14"/>
        <v>0.12075302188827181</v>
      </c>
      <c r="L144" s="258">
        <f t="shared" si="15"/>
        <v>-8.838778187269658E-2</v>
      </c>
      <c r="M144" s="257">
        <f t="shared" si="16"/>
        <v>-2830</v>
      </c>
      <c r="N144" s="256">
        <f t="shared" si="17"/>
        <v>8.752188978724984E-2</v>
      </c>
      <c r="O144" s="250">
        <f t="shared" si="18"/>
        <v>2349</v>
      </c>
      <c r="Q144" s="29"/>
      <c r="R144" s="79"/>
      <c r="Z144" s="1"/>
    </row>
    <row r="145" spans="2:31" s="4" customFormat="1" x14ac:dyDescent="0.25">
      <c r="B145" s="233" t="s">
        <v>47</v>
      </c>
      <c r="C145" s="250">
        <v>24273</v>
      </c>
      <c r="D145" s="250">
        <v>26311</v>
      </c>
      <c r="E145" s="250">
        <v>32375</v>
      </c>
      <c r="F145" s="250">
        <v>47068</v>
      </c>
      <c r="G145" s="256">
        <f t="shared" si="12"/>
        <v>0.45383783783783782</v>
      </c>
      <c r="H145" s="263">
        <f t="shared" si="13"/>
        <v>14693</v>
      </c>
      <c r="I145" s="258">
        <f t="shared" si="14"/>
        <v>4.5202536520342007E-2</v>
      </c>
      <c r="J145" s="250">
        <v>61312</v>
      </c>
      <c r="K145" s="262">
        <f t="shared" si="14"/>
        <v>0.60000816726559947</v>
      </c>
      <c r="L145" s="258">
        <f t="shared" si="15"/>
        <v>0.30262598793235318</v>
      </c>
      <c r="M145" s="257">
        <f t="shared" si="16"/>
        <v>14244</v>
      </c>
      <c r="N145" s="256">
        <f t="shared" si="17"/>
        <v>1.5259341655337204</v>
      </c>
      <c r="O145" s="250">
        <f t="shared" si="18"/>
        <v>37039</v>
      </c>
      <c r="Q145" s="29"/>
      <c r="R145" s="79"/>
      <c r="Z145" s="1"/>
    </row>
    <row r="146" spans="2:31" s="4" customFormat="1" x14ac:dyDescent="0.25">
      <c r="B146" s="233" t="s">
        <v>203</v>
      </c>
      <c r="C146" s="250">
        <f>C136-SUM(C137:C145)</f>
        <v>22164</v>
      </c>
      <c r="D146" s="250">
        <f>D136-SUM(D137:D145)</f>
        <v>40392</v>
      </c>
      <c r="E146" s="250">
        <f>E136-SUM(E137:E145)</f>
        <v>57756</v>
      </c>
      <c r="F146" s="250">
        <f>F136-SUM(F137:F145)</f>
        <v>59696</v>
      </c>
      <c r="G146" s="256">
        <f t="shared" si="12"/>
        <v>3.3589583766188813E-2</v>
      </c>
      <c r="H146" s="263">
        <f t="shared" si="13"/>
        <v>1940</v>
      </c>
      <c r="I146" s="258">
        <f t="shared" si="14"/>
        <v>5.7330046318482542E-2</v>
      </c>
      <c r="J146" s="250">
        <f>J136-SUM(J137:J145)</f>
        <v>55970</v>
      </c>
      <c r="K146" s="258">
        <f t="shared" si="14"/>
        <v>7.9222476314929763E-2</v>
      </c>
      <c r="L146" s="258">
        <f t="shared" si="15"/>
        <v>-6.2416242294291102E-2</v>
      </c>
      <c r="M146" s="257">
        <f t="shared" si="16"/>
        <v>-3726</v>
      </c>
      <c r="N146" s="256">
        <f t="shared" si="17"/>
        <v>1.5252661974372859</v>
      </c>
      <c r="O146" s="250">
        <f t="shared" si="18"/>
        <v>33806</v>
      </c>
      <c r="Q146" s="29"/>
      <c r="R146" s="79"/>
      <c r="Z146" s="1"/>
    </row>
    <row r="147" spans="2:31" s="4" customFormat="1" ht="7.5" customHeight="1" x14ac:dyDescent="0.25">
      <c r="B147" s="234"/>
      <c r="C147" s="234"/>
      <c r="D147" s="234"/>
      <c r="E147" s="234"/>
      <c r="F147" s="234"/>
      <c r="G147" s="234"/>
      <c r="H147" s="234"/>
      <c r="I147" s="234"/>
      <c r="J147" s="234"/>
      <c r="K147" s="234"/>
      <c r="L147" s="234"/>
      <c r="M147" s="234"/>
      <c r="N147" s="234"/>
      <c r="O147" s="234"/>
      <c r="Z147" s="1" t="s">
        <v>182</v>
      </c>
    </row>
    <row r="148" spans="2:31" s="4" customFormat="1" x14ac:dyDescent="0.25">
      <c r="B148" s="167" t="s">
        <v>183</v>
      </c>
      <c r="C148" s="167"/>
      <c r="D148" s="167"/>
      <c r="E148" s="167"/>
      <c r="F148" s="167"/>
      <c r="G148" s="167"/>
      <c r="H148" s="167"/>
      <c r="I148" s="167"/>
      <c r="J148" s="167"/>
      <c r="K148" s="167"/>
      <c r="L148" s="167"/>
      <c r="M148" s="167"/>
      <c r="N148" s="167"/>
      <c r="O148" s="167"/>
      <c r="Z148" s="1" t="s">
        <v>184</v>
      </c>
    </row>
    <row r="149" spans="2:31" x14ac:dyDescent="0.25">
      <c r="Z149" s="1"/>
      <c r="AE149"/>
    </row>
  </sheetData>
  <mergeCells count="2">
    <mergeCell ref="B42:S42"/>
    <mergeCell ref="B52:S5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23FEEC-D485-4ADD-8E9E-814DA61D298F}">
  <sheetPr codeName="Hoja42">
    <tabColor theme="4" tint="0.39997558519241921"/>
  </sheetPr>
  <dimension ref="A1:AE14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13" width="14.7109375" customWidth="1"/>
    <col min="14" max="14" width="11.42578125" customWidth="1"/>
    <col min="15" max="15" width="14.7109375" customWidth="1"/>
    <col min="27" max="27" width="14" customWidth="1"/>
    <col min="31" max="31" width="11.42578125" style="1"/>
  </cols>
  <sheetData>
    <row r="1" spans="1:31" ht="30" customHeight="1" x14ac:dyDescent="0.25">
      <c r="B1" s="1" t="s">
        <v>204</v>
      </c>
      <c r="G1" s="221"/>
      <c r="H1" s="221"/>
      <c r="I1" s="221"/>
      <c r="K1" s="221"/>
    </row>
    <row r="3" spans="1:31" s="4" customFormat="1" ht="25.5" customHeight="1" thickBot="1" x14ac:dyDescent="0.3">
      <c r="B3" s="62" t="s">
        <v>28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45" x14ac:dyDescent="0.25">
      <c r="C5" s="239" t="s">
        <v>260</v>
      </c>
      <c r="D5" s="239" t="s">
        <v>261</v>
      </c>
      <c r="E5" s="239" t="s">
        <v>262</v>
      </c>
      <c r="F5" s="240" t="str">
        <f>CONCATENATE("%/s total Tenerife ",RIGHT(E5,4))</f>
        <v>%/s total Tenerife 2022</v>
      </c>
      <c r="G5" s="239" t="s">
        <v>263</v>
      </c>
      <c r="H5" s="240" t="str">
        <f>CONCATENATE("var. ",RIGHT(G5,2),"/",RIGHT(E5,2))</f>
        <v>var. 23/22</v>
      </c>
      <c r="I5" s="240" t="str">
        <f>CONCATENATE("dif. ",RIGHT(G5,2),"/",RIGHT(E5,2))</f>
        <v>dif. 23/22</v>
      </c>
      <c r="J5" s="240" t="str">
        <f>CONCATENATE("%/s total Tenerife ",RIGHT(G5,4))</f>
        <v>%/s total Tenerife 2023</v>
      </c>
      <c r="K5" s="239" t="s">
        <v>264</v>
      </c>
      <c r="L5" s="240" t="str">
        <f>CONCATENATE("var. ",RIGHT(K5,2),"/",RIGHT(G5,2))</f>
        <v>var. 24/23</v>
      </c>
      <c r="M5" s="240" t="str">
        <f>CONCATENATE("dif. ",RIGHT(K5,2),"/",RIGHT(G5,2))</f>
        <v>dif. 24/23</v>
      </c>
      <c r="N5" s="240" t="str">
        <f>CONCATENATE("%/s total Tenerife ",RIGHT(K5,4))</f>
        <v>%/s total Tenerife 2024</v>
      </c>
      <c r="O5" s="239" t="s">
        <v>265</v>
      </c>
      <c r="P5" s="240" t="str">
        <f>CONCATENATE("var. ",RIGHT(O5,2),"/",RIGHT(K5,2))</f>
        <v>var. 25/24</v>
      </c>
      <c r="Q5" s="240" t="str">
        <f>CONCATENATE("dif. ",RIGHT(O5,2),"/",RIGHT(K5,2))</f>
        <v>dif. 25/24</v>
      </c>
      <c r="R5" s="240" t="str">
        <f>CONCATENATE("var. ",RIGHT(O5,2),"/",RIGHT(C5,2))</f>
        <v>var. 25/20</v>
      </c>
      <c r="S5" s="240" t="str">
        <f>CONCATENATE("dif. ",RIGHT(O5,2),"/",RIGHT(C5,2))</f>
        <v>dif. 25/20</v>
      </c>
      <c r="T5" s="240" t="str">
        <f>CONCATENATE("%/s total Tenerife ",RIGHT(O5,4))</f>
        <v>%/s total Tenerife 2025</v>
      </c>
      <c r="AE5" s="1"/>
    </row>
    <row r="6" spans="1:31" ht="18.75" x14ac:dyDescent="0.3">
      <c r="A6" s="4"/>
      <c r="B6" s="222" t="s">
        <v>202</v>
      </c>
      <c r="C6" s="241">
        <v>37438</v>
      </c>
      <c r="D6" s="241">
        <v>5573</v>
      </c>
      <c r="E6" s="241">
        <v>24740</v>
      </c>
      <c r="F6" s="242">
        <f>E6/$E$6</f>
        <v>1</v>
      </c>
      <c r="G6" s="241">
        <v>36662</v>
      </c>
      <c r="H6" s="242">
        <f>G6/E6-1</f>
        <v>0.48189167340339534</v>
      </c>
      <c r="I6" s="241">
        <f>G6-E6</f>
        <v>11922</v>
      </c>
      <c r="J6" s="242">
        <f>G6/$G$6</f>
        <v>1</v>
      </c>
      <c r="K6" s="241">
        <v>34486</v>
      </c>
      <c r="L6" s="242">
        <f>K6/G6-1</f>
        <v>-5.9353008564726473E-2</v>
      </c>
      <c r="M6" s="241">
        <f>K6-G6</f>
        <v>-2176</v>
      </c>
      <c r="N6" s="242">
        <f>K6/$K$6</f>
        <v>1</v>
      </c>
      <c r="O6" s="241">
        <v>37471</v>
      </c>
      <c r="P6" s="242">
        <f>O6/K6-1</f>
        <v>8.6556863654816407E-2</v>
      </c>
      <c r="Q6" s="241">
        <f>O6-K6</f>
        <v>2985</v>
      </c>
      <c r="R6" s="242">
        <f>IFERROR(O6/C6-1,"-")</f>
        <v>8.8145734280686838E-4</v>
      </c>
      <c r="S6" s="241">
        <f>O6-C6</f>
        <v>33</v>
      </c>
      <c r="T6" s="242">
        <f>O6/$O$6</f>
        <v>1</v>
      </c>
      <c r="V6" s="29"/>
      <c r="W6" s="79"/>
      <c r="AE6" s="1" t="s">
        <v>175</v>
      </c>
    </row>
    <row r="7" spans="1:31" s="4" customFormat="1" x14ac:dyDescent="0.25">
      <c r="B7" s="233" t="s">
        <v>44</v>
      </c>
      <c r="C7" s="250">
        <v>4741</v>
      </c>
      <c r="D7" s="250">
        <v>1662</v>
      </c>
      <c r="E7" s="250">
        <v>4732</v>
      </c>
      <c r="F7" s="256">
        <f t="shared" ref="F7:F16" si="0">E7/$E$6</f>
        <v>0.19126919967663703</v>
      </c>
      <c r="G7" s="250">
        <v>4914</v>
      </c>
      <c r="H7" s="258">
        <f>G7/E7-1</f>
        <v>3.8461538461538547E-2</v>
      </c>
      <c r="I7" s="257">
        <f>G7-E7</f>
        <v>182</v>
      </c>
      <c r="J7" s="256">
        <f>G7/$G$6</f>
        <v>0.13403524084883531</v>
      </c>
      <c r="K7" s="250">
        <v>4997</v>
      </c>
      <c r="L7" s="258">
        <f>K7/G7-1</f>
        <v>1.6890516890516905E-2</v>
      </c>
      <c r="M7" s="257">
        <f>K7-G7</f>
        <v>83</v>
      </c>
      <c r="N7" s="256">
        <f>K7/$K$6</f>
        <v>0.14489937945833092</v>
      </c>
      <c r="O7" s="250">
        <v>4289</v>
      </c>
      <c r="P7" s="258">
        <f>O7/K7-1</f>
        <v>-0.14168501100660391</v>
      </c>
      <c r="Q7" s="257">
        <f>O7-K7</f>
        <v>-708</v>
      </c>
      <c r="R7" s="258">
        <f t="shared" ref="R7:R16" si="1">IFERROR(O7/C7-1,"-")</f>
        <v>-9.5338536173802946E-2</v>
      </c>
      <c r="S7" s="257">
        <f t="shared" ref="S7:S16" si="2">O7-C7</f>
        <v>-452</v>
      </c>
      <c r="T7" s="256">
        <f>O7/$O$6</f>
        <v>0.11446185049771823</v>
      </c>
      <c r="V7" s="29"/>
      <c r="W7" s="79"/>
      <c r="AE7" s="1" t="s">
        <v>177</v>
      </c>
    </row>
    <row r="8" spans="1:31" s="4" customFormat="1" x14ac:dyDescent="0.25">
      <c r="B8" s="233" t="s">
        <v>45</v>
      </c>
      <c r="C8" s="250">
        <v>3650</v>
      </c>
      <c r="D8" s="250">
        <v>295</v>
      </c>
      <c r="E8" s="250">
        <v>2603</v>
      </c>
      <c r="F8" s="256">
        <f t="shared" si="0"/>
        <v>0.10521422797089733</v>
      </c>
      <c r="G8" s="250">
        <v>4265</v>
      </c>
      <c r="H8" s="258">
        <f t="shared" ref="H8:H16" si="3">G8/E8-1</f>
        <v>0.63849404533230891</v>
      </c>
      <c r="I8" s="257">
        <f t="shared" ref="I8:I16" si="4">G8-E8</f>
        <v>1662</v>
      </c>
      <c r="J8" s="256">
        <f t="shared" ref="J8:J16" si="5">G8/$G$6</f>
        <v>0.11633298783481534</v>
      </c>
      <c r="K8" s="250">
        <v>3219</v>
      </c>
      <c r="L8" s="258">
        <f t="shared" ref="L8:L16" si="6">K8/G8-1</f>
        <v>-0.24525205158264951</v>
      </c>
      <c r="M8" s="257">
        <f t="shared" ref="M8:M16" si="7">K8-G8</f>
        <v>-1046</v>
      </c>
      <c r="N8" s="256">
        <f t="shared" ref="N8:N16" si="8">K8/$K$6</f>
        <v>9.334222583077191E-2</v>
      </c>
      <c r="O8" s="250">
        <v>3737</v>
      </c>
      <c r="P8" s="258">
        <f t="shared" ref="P8:P16" si="9">O8/K8-1</f>
        <v>0.16091954022988508</v>
      </c>
      <c r="Q8" s="257">
        <f t="shared" ref="Q8:Q16" si="10">O8-K8</f>
        <v>518</v>
      </c>
      <c r="R8" s="258">
        <f t="shared" si="1"/>
        <v>2.3835616438356189E-2</v>
      </c>
      <c r="S8" s="257">
        <f t="shared" si="2"/>
        <v>87</v>
      </c>
      <c r="T8" s="256">
        <f t="shared" ref="T8:T16" si="11">O8/$O$6</f>
        <v>9.9730458221024262E-2</v>
      </c>
      <c r="V8" s="29"/>
      <c r="W8" s="79"/>
      <c r="AE8" s="1"/>
    </row>
    <row r="9" spans="1:31" s="4" customFormat="1" x14ac:dyDescent="0.25">
      <c r="B9" s="233" t="s">
        <v>46</v>
      </c>
      <c r="C9" s="250">
        <v>217</v>
      </c>
      <c r="D9" s="250">
        <v>62</v>
      </c>
      <c r="E9" s="250">
        <v>125</v>
      </c>
      <c r="F9" s="251">
        <f t="shared" si="0"/>
        <v>5.0525464834276475E-3</v>
      </c>
      <c r="G9" s="250">
        <v>741</v>
      </c>
      <c r="H9" s="262">
        <f t="shared" si="3"/>
        <v>4.9279999999999999</v>
      </c>
      <c r="I9" s="253">
        <f t="shared" si="4"/>
        <v>616</v>
      </c>
      <c r="J9" s="251">
        <f t="shared" si="5"/>
        <v>2.0211663302602149E-2</v>
      </c>
      <c r="K9" s="250">
        <v>317</v>
      </c>
      <c r="L9" s="258">
        <f t="shared" si="6"/>
        <v>-0.57219973009446701</v>
      </c>
      <c r="M9" s="257">
        <f t="shared" si="7"/>
        <v>-424</v>
      </c>
      <c r="N9" s="256">
        <f t="shared" si="8"/>
        <v>9.1921359392217131E-3</v>
      </c>
      <c r="O9" s="250">
        <v>505</v>
      </c>
      <c r="P9" s="258">
        <f t="shared" si="9"/>
        <v>0.59305993690851744</v>
      </c>
      <c r="Q9" s="257">
        <f t="shared" si="10"/>
        <v>188</v>
      </c>
      <c r="R9" s="258">
        <f t="shared" si="1"/>
        <v>1.3271889400921659</v>
      </c>
      <c r="S9" s="257">
        <f t="shared" si="2"/>
        <v>288</v>
      </c>
      <c r="T9" s="256">
        <f t="shared" si="11"/>
        <v>1.3477088948787063E-2</v>
      </c>
      <c r="V9" s="29"/>
      <c r="W9" s="79"/>
      <c r="AE9" s="1"/>
    </row>
    <row r="10" spans="1:31" s="4" customFormat="1" x14ac:dyDescent="0.25">
      <c r="B10" s="233" t="s">
        <v>48</v>
      </c>
      <c r="C10" s="250">
        <v>16449</v>
      </c>
      <c r="D10" s="250">
        <v>1035</v>
      </c>
      <c r="E10" s="250">
        <v>9244</v>
      </c>
      <c r="F10" s="256">
        <f t="shared" si="0"/>
        <v>0.37364591754244136</v>
      </c>
      <c r="G10" s="250">
        <v>15131</v>
      </c>
      <c r="H10" s="258">
        <f t="shared" si="3"/>
        <v>0.63684552141929895</v>
      </c>
      <c r="I10" s="257">
        <f t="shared" si="4"/>
        <v>5887</v>
      </c>
      <c r="J10" s="256">
        <f t="shared" si="5"/>
        <v>0.41271616387540233</v>
      </c>
      <c r="K10" s="250">
        <v>13891</v>
      </c>
      <c r="L10" s="258">
        <f t="shared" si="6"/>
        <v>-8.1950961602009098E-2</v>
      </c>
      <c r="M10" s="257">
        <f t="shared" si="7"/>
        <v>-1240</v>
      </c>
      <c r="N10" s="256">
        <f t="shared" si="8"/>
        <v>0.40280113669315082</v>
      </c>
      <c r="O10" s="250">
        <v>14812</v>
      </c>
      <c r="P10" s="258">
        <f t="shared" si="9"/>
        <v>6.6301922107839584E-2</v>
      </c>
      <c r="Q10" s="257">
        <f t="shared" si="10"/>
        <v>921</v>
      </c>
      <c r="R10" s="258">
        <f t="shared" si="1"/>
        <v>-9.9519727643017863E-2</v>
      </c>
      <c r="S10" s="257">
        <f t="shared" si="2"/>
        <v>-1637</v>
      </c>
      <c r="T10" s="256">
        <f>O10/$O$6</f>
        <v>0.39529235942462171</v>
      </c>
      <c r="V10" s="29"/>
      <c r="W10" s="79"/>
      <c r="AE10" s="1"/>
    </row>
    <row r="11" spans="1:31" s="4" customFormat="1" x14ac:dyDescent="0.25">
      <c r="B11" s="233" t="s">
        <v>50</v>
      </c>
      <c r="C11" s="250">
        <v>2712</v>
      </c>
      <c r="D11" s="250">
        <v>87</v>
      </c>
      <c r="E11" s="250">
        <v>1030</v>
      </c>
      <c r="F11" s="251">
        <f t="shared" si="0"/>
        <v>4.1632983023443815E-2</v>
      </c>
      <c r="G11" s="250">
        <v>2122</v>
      </c>
      <c r="H11" s="262">
        <f t="shared" si="3"/>
        <v>1.0601941747572816</v>
      </c>
      <c r="I11" s="253">
        <f t="shared" si="4"/>
        <v>1092</v>
      </c>
      <c r="J11" s="251">
        <f t="shared" si="5"/>
        <v>5.7880093830123831E-2</v>
      </c>
      <c r="K11" s="250">
        <v>1745</v>
      </c>
      <c r="L11" s="258">
        <f t="shared" si="6"/>
        <v>-0.1776625824693685</v>
      </c>
      <c r="M11" s="257">
        <f t="shared" si="7"/>
        <v>-377</v>
      </c>
      <c r="N11" s="256">
        <f t="shared" si="8"/>
        <v>5.060024357710375E-2</v>
      </c>
      <c r="O11" s="250">
        <v>1965</v>
      </c>
      <c r="P11" s="258">
        <f t="shared" si="9"/>
        <v>0.12607449856733521</v>
      </c>
      <c r="Q11" s="257">
        <f t="shared" si="10"/>
        <v>220</v>
      </c>
      <c r="R11" s="258">
        <f t="shared" si="1"/>
        <v>-0.27544247787610621</v>
      </c>
      <c r="S11" s="257">
        <f t="shared" si="2"/>
        <v>-747</v>
      </c>
      <c r="T11" s="256">
        <f t="shared" si="11"/>
        <v>5.2440554028448667E-2</v>
      </c>
      <c r="V11" s="29"/>
      <c r="W11" s="79"/>
      <c r="AE11" s="1"/>
    </row>
    <row r="12" spans="1:31" s="4" customFormat="1" x14ac:dyDescent="0.25">
      <c r="B12" s="233" t="s">
        <v>51</v>
      </c>
      <c r="C12" s="250">
        <v>4747</v>
      </c>
      <c r="D12" s="250">
        <v>1412</v>
      </c>
      <c r="E12" s="250">
        <v>3917</v>
      </c>
      <c r="F12" s="256">
        <f t="shared" si="0"/>
        <v>0.15832659660468876</v>
      </c>
      <c r="G12" s="250">
        <v>5450</v>
      </c>
      <c r="H12" s="258">
        <f t="shared" si="3"/>
        <v>0.39137094715343368</v>
      </c>
      <c r="I12" s="257">
        <f t="shared" si="4"/>
        <v>1533</v>
      </c>
      <c r="J12" s="256">
        <f t="shared" si="5"/>
        <v>0.14865528339970541</v>
      </c>
      <c r="K12" s="250">
        <v>6504</v>
      </c>
      <c r="L12" s="258">
        <f t="shared" si="6"/>
        <v>0.19339449541284415</v>
      </c>
      <c r="M12" s="257">
        <f t="shared" si="7"/>
        <v>1054</v>
      </c>
      <c r="N12" s="256">
        <f t="shared" si="8"/>
        <v>0.18859827176245433</v>
      </c>
      <c r="O12" s="250">
        <v>7025</v>
      </c>
      <c r="P12" s="258">
        <f t="shared" si="9"/>
        <v>8.0104551045510508E-2</v>
      </c>
      <c r="Q12" s="257">
        <f t="shared" si="10"/>
        <v>521</v>
      </c>
      <c r="R12" s="258">
        <f t="shared" si="1"/>
        <v>0.47988203075626701</v>
      </c>
      <c r="S12" s="257">
        <f t="shared" si="2"/>
        <v>2278</v>
      </c>
      <c r="T12" s="256">
        <f t="shared" si="11"/>
        <v>0.18747831656481012</v>
      </c>
      <c r="V12" s="29"/>
      <c r="W12" s="79"/>
      <c r="AE12" s="1"/>
    </row>
    <row r="13" spans="1:31" s="4" customFormat="1" x14ac:dyDescent="0.25">
      <c r="B13" s="233" t="s">
        <v>49</v>
      </c>
      <c r="C13" s="250">
        <v>1208</v>
      </c>
      <c r="D13" s="250">
        <v>303</v>
      </c>
      <c r="E13" s="250">
        <v>1039</v>
      </c>
      <c r="F13" s="251">
        <f t="shared" si="0"/>
        <v>4.1996766370250606E-2</v>
      </c>
      <c r="G13" s="250">
        <v>1557</v>
      </c>
      <c r="H13" s="262">
        <f t="shared" si="3"/>
        <v>0.49855630413859475</v>
      </c>
      <c r="I13" s="253">
        <f t="shared" si="4"/>
        <v>518</v>
      </c>
      <c r="J13" s="251">
        <f t="shared" si="5"/>
        <v>4.2469041514374556E-2</v>
      </c>
      <c r="K13" s="250">
        <v>1445</v>
      </c>
      <c r="L13" s="258">
        <f t="shared" si="6"/>
        <v>-7.1933204881181712E-2</v>
      </c>
      <c r="M13" s="257">
        <f t="shared" si="7"/>
        <v>-112</v>
      </c>
      <c r="N13" s="256">
        <f t="shared" si="8"/>
        <v>4.1901061300237775E-2</v>
      </c>
      <c r="O13" s="250">
        <v>1752</v>
      </c>
      <c r="P13" s="258">
        <f t="shared" si="9"/>
        <v>0.21245674740484422</v>
      </c>
      <c r="Q13" s="257">
        <f t="shared" si="10"/>
        <v>307</v>
      </c>
      <c r="R13" s="258">
        <f t="shared" si="1"/>
        <v>0.45033112582781465</v>
      </c>
      <c r="S13" s="257">
        <f t="shared" si="2"/>
        <v>544</v>
      </c>
      <c r="T13" s="256">
        <f t="shared" si="11"/>
        <v>4.6756158095593928E-2</v>
      </c>
      <c r="V13" s="29"/>
      <c r="W13" s="79"/>
      <c r="AE13" s="1"/>
    </row>
    <row r="14" spans="1:31" s="4" customFormat="1" x14ac:dyDescent="0.25">
      <c r="B14" s="233" t="s">
        <v>52</v>
      </c>
      <c r="C14" s="250">
        <v>332</v>
      </c>
      <c r="D14" s="250">
        <v>460</v>
      </c>
      <c r="E14" s="250">
        <v>515</v>
      </c>
      <c r="F14" s="256">
        <f t="shared" si="0"/>
        <v>2.0816491511721907E-2</v>
      </c>
      <c r="G14" s="250">
        <v>722</v>
      </c>
      <c r="H14" s="258">
        <f t="shared" si="3"/>
        <v>0.40194174757281553</v>
      </c>
      <c r="I14" s="257">
        <f t="shared" si="4"/>
        <v>207</v>
      </c>
      <c r="J14" s="256">
        <f t="shared" si="5"/>
        <v>1.9693415525612351E-2</v>
      </c>
      <c r="K14" s="250">
        <v>461</v>
      </c>
      <c r="L14" s="258">
        <f t="shared" si="6"/>
        <v>-0.36149584487534625</v>
      </c>
      <c r="M14" s="257">
        <f t="shared" si="7"/>
        <v>-261</v>
      </c>
      <c r="N14" s="256">
        <f t="shared" si="8"/>
        <v>1.3367743432117381E-2</v>
      </c>
      <c r="O14" s="250">
        <v>603</v>
      </c>
      <c r="P14" s="258">
        <f t="shared" si="9"/>
        <v>0.30802603036876364</v>
      </c>
      <c r="Q14" s="257">
        <f t="shared" si="10"/>
        <v>142</v>
      </c>
      <c r="R14" s="258">
        <f t="shared" si="1"/>
        <v>0.81626506024096379</v>
      </c>
      <c r="S14" s="257">
        <f t="shared" si="2"/>
        <v>271</v>
      </c>
      <c r="T14" s="256">
        <f t="shared" si="11"/>
        <v>1.6092444823997226E-2</v>
      </c>
      <c r="V14" s="29"/>
      <c r="W14" s="79"/>
      <c r="AE14" s="1"/>
    </row>
    <row r="15" spans="1:31" s="4" customFormat="1" x14ac:dyDescent="0.25">
      <c r="B15" s="233" t="s">
        <v>47</v>
      </c>
      <c r="C15" s="250">
        <v>1583</v>
      </c>
      <c r="D15" s="250">
        <v>8</v>
      </c>
      <c r="E15" s="250">
        <v>796</v>
      </c>
      <c r="F15" s="251">
        <f t="shared" si="0"/>
        <v>3.217461600646726E-2</v>
      </c>
      <c r="G15" s="250">
        <v>548</v>
      </c>
      <c r="H15" s="262">
        <f t="shared" si="3"/>
        <v>-0.31155778894472363</v>
      </c>
      <c r="I15" s="253">
        <f t="shared" si="4"/>
        <v>-248</v>
      </c>
      <c r="J15" s="251">
        <f t="shared" si="5"/>
        <v>1.4947356936337352E-2</v>
      </c>
      <c r="K15" s="250">
        <v>962</v>
      </c>
      <c r="L15" s="258">
        <f t="shared" si="6"/>
        <v>0.75547445255474455</v>
      </c>
      <c r="M15" s="257">
        <f t="shared" si="7"/>
        <v>414</v>
      </c>
      <c r="N15" s="256">
        <f t="shared" si="8"/>
        <v>2.7895377834483558E-2</v>
      </c>
      <c r="O15" s="250">
        <v>1724</v>
      </c>
      <c r="P15" s="258">
        <f t="shared" si="9"/>
        <v>0.79209979209979209</v>
      </c>
      <c r="Q15" s="257">
        <f t="shared" si="10"/>
        <v>762</v>
      </c>
      <c r="R15" s="258">
        <f t="shared" si="1"/>
        <v>8.9071383449147223E-2</v>
      </c>
      <c r="S15" s="257">
        <f t="shared" si="2"/>
        <v>141</v>
      </c>
      <c r="T15" s="256">
        <f t="shared" si="11"/>
        <v>4.6008913559819592E-2</v>
      </c>
      <c r="V15" s="29"/>
      <c r="W15" s="79"/>
      <c r="AE15" s="1"/>
    </row>
    <row r="16" spans="1:31" s="4" customFormat="1" x14ac:dyDescent="0.25">
      <c r="B16" s="233" t="s">
        <v>203</v>
      </c>
      <c r="C16" s="250">
        <f>C6-SUM(C7:C15)</f>
        <v>1799</v>
      </c>
      <c r="D16" s="250">
        <f>D6-SUM(D7:D15)</f>
        <v>249</v>
      </c>
      <c r="E16" s="250">
        <f>E6-SUM(E7:E15)</f>
        <v>739</v>
      </c>
      <c r="F16" s="256">
        <f t="shared" si="0"/>
        <v>2.9870654810024252E-2</v>
      </c>
      <c r="G16" s="250">
        <f>G6-SUM(G7:G15)</f>
        <v>1212</v>
      </c>
      <c r="H16" s="258">
        <f t="shared" si="3"/>
        <v>0.64005412719891752</v>
      </c>
      <c r="I16" s="257">
        <f t="shared" si="4"/>
        <v>473</v>
      </c>
      <c r="J16" s="256">
        <f t="shared" si="5"/>
        <v>3.305875293219137E-2</v>
      </c>
      <c r="K16" s="250">
        <f>K6-SUM(K7:K15)</f>
        <v>945</v>
      </c>
      <c r="L16" s="258">
        <f t="shared" si="6"/>
        <v>-0.22029702970297027</v>
      </c>
      <c r="M16" s="257">
        <f t="shared" si="7"/>
        <v>-267</v>
      </c>
      <c r="N16" s="256">
        <f t="shared" si="8"/>
        <v>2.7402424172127821E-2</v>
      </c>
      <c r="O16" s="250">
        <f>O6-SUM(O7:O15)</f>
        <v>1059</v>
      </c>
      <c r="P16" s="258">
        <f t="shared" si="9"/>
        <v>0.12063492063492065</v>
      </c>
      <c r="Q16" s="257">
        <f t="shared" si="10"/>
        <v>114</v>
      </c>
      <c r="R16" s="258">
        <f t="shared" si="1"/>
        <v>-0.41133963312951638</v>
      </c>
      <c r="S16" s="257">
        <f t="shared" si="2"/>
        <v>-740</v>
      </c>
      <c r="T16" s="256">
        <f t="shared" si="11"/>
        <v>2.8261855835179206E-2</v>
      </c>
      <c r="V16" s="29"/>
      <c r="W16" s="79"/>
      <c r="AE16" s="1"/>
    </row>
    <row r="17" spans="2:31" s="4" customFormat="1" ht="7.5" customHeight="1" x14ac:dyDescent="0.25">
      <c r="B17" s="234"/>
      <c r="C17" s="234"/>
      <c r="D17" s="234"/>
      <c r="E17" s="234"/>
      <c r="F17" s="234"/>
      <c r="G17" s="234"/>
      <c r="H17" s="234"/>
      <c r="I17" s="234"/>
      <c r="J17" s="234"/>
      <c r="K17" s="234"/>
      <c r="L17" s="234"/>
      <c r="M17" s="234"/>
      <c r="N17" s="234"/>
      <c r="O17" s="234"/>
      <c r="P17" s="234"/>
      <c r="Q17" s="234"/>
      <c r="R17" s="234"/>
      <c r="S17" s="234"/>
      <c r="T17" s="234"/>
      <c r="AE17" s="1" t="s">
        <v>182</v>
      </c>
    </row>
    <row r="18" spans="2:31" s="4" customFormat="1" x14ac:dyDescent="0.25">
      <c r="B18" s="167" t="s">
        <v>183</v>
      </c>
      <c r="C18" s="167"/>
      <c r="D18" s="167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AE18" s="1" t="s">
        <v>184</v>
      </c>
    </row>
    <row r="19" spans="2:31" s="4" customFormat="1" x14ac:dyDescent="0.25">
      <c r="AE19" s="1"/>
    </row>
    <row r="42" spans="2:31" s="4" customFormat="1" ht="15.75" hidden="1" customHeight="1" thickBot="1" x14ac:dyDescent="0.3">
      <c r="B42" s="265" t="s">
        <v>185</v>
      </c>
      <c r="C42" s="265"/>
      <c r="D42" s="265"/>
      <c r="E42" s="265"/>
      <c r="F42" s="265"/>
      <c r="G42" s="265"/>
      <c r="H42" s="265"/>
      <c r="I42" s="265"/>
      <c r="J42" s="265"/>
      <c r="K42" s="265"/>
      <c r="L42" s="265"/>
      <c r="M42" s="265"/>
      <c r="N42" s="265"/>
      <c r="O42" s="265"/>
      <c r="P42" s="265"/>
      <c r="Q42" s="265"/>
      <c r="R42" s="265"/>
      <c r="S42" s="265"/>
      <c r="T42" s="83"/>
      <c r="AE42" s="1"/>
    </row>
    <row r="43" spans="2:31" s="4" customFormat="1" ht="6" hidden="1" customHeight="1" thickBot="1" x14ac:dyDescent="0.3">
      <c r="AE43" s="1"/>
    </row>
    <row r="44" spans="2:31" s="4" customFormat="1" ht="30" hidden="1" x14ac:dyDescent="0.25">
      <c r="C44" s="87"/>
      <c r="D44" s="87"/>
      <c r="E44" s="87"/>
      <c r="F44" s="87"/>
      <c r="G44" s="87"/>
      <c r="H44" s="87"/>
      <c r="I44" s="87"/>
      <c r="J44" s="87"/>
      <c r="K44" s="14">
        <v>2020</v>
      </c>
      <c r="L44" s="14"/>
      <c r="M44" s="14"/>
      <c r="N44" s="14" t="s">
        <v>186</v>
      </c>
      <c r="O44" s="14">
        <v>2021</v>
      </c>
      <c r="P44" s="14" t="s">
        <v>186</v>
      </c>
      <c r="Q44" s="14" t="s">
        <v>187</v>
      </c>
      <c r="R44" s="14" t="s">
        <v>188</v>
      </c>
      <c r="S44" s="14" t="s">
        <v>189</v>
      </c>
      <c r="T44" s="87"/>
      <c r="AE44" s="1"/>
    </row>
    <row r="45" spans="2:31" s="4" customFormat="1" ht="18.75" hidden="1" x14ac:dyDescent="0.3">
      <c r="B45" s="222" t="s">
        <v>173</v>
      </c>
      <c r="C45" s="223"/>
      <c r="D45" s="223"/>
      <c r="E45" s="223"/>
      <c r="F45" s="223"/>
      <c r="G45" s="223"/>
      <c r="H45" s="223"/>
      <c r="I45" s="223"/>
      <c r="J45" s="223"/>
      <c r="K45" s="223">
        <v>1824653</v>
      </c>
      <c r="L45" s="223"/>
      <c r="M45" s="223"/>
      <c r="N45" s="224"/>
      <c r="O45" s="223">
        <v>2354005</v>
      </c>
      <c r="P45" s="224"/>
      <c r="Q45" s="224">
        <v>1</v>
      </c>
      <c r="R45" s="224">
        <v>0.2901110512519367</v>
      </c>
      <c r="S45" s="223">
        <v>529352</v>
      </c>
      <c r="T45" s="235"/>
      <c r="AE45" s="1"/>
    </row>
    <row r="46" spans="2:31" ht="18.75" hidden="1" x14ac:dyDescent="0.3">
      <c r="B46" s="222" t="s">
        <v>174</v>
      </c>
      <c r="C46" s="223"/>
      <c r="D46" s="223"/>
      <c r="E46" s="223"/>
      <c r="F46" s="223"/>
      <c r="G46" s="223"/>
      <c r="H46" s="223"/>
      <c r="I46" s="223"/>
      <c r="J46" s="223"/>
      <c r="K46" s="223">
        <v>603938</v>
      </c>
      <c r="L46" s="223"/>
      <c r="M46" s="223"/>
      <c r="N46" s="224">
        <v>1</v>
      </c>
      <c r="O46" s="223">
        <v>936181</v>
      </c>
      <c r="P46" s="224">
        <v>1</v>
      </c>
      <c r="Q46" s="224">
        <v>0.39769711619134201</v>
      </c>
      <c r="R46" s="224">
        <v>0.55012766211101138</v>
      </c>
      <c r="S46" s="223">
        <v>332243</v>
      </c>
      <c r="T46" s="235"/>
      <c r="AE46" s="1" t="s">
        <v>175</v>
      </c>
    </row>
    <row r="47" spans="2:31" ht="15.75" hidden="1" x14ac:dyDescent="0.25">
      <c r="B47" s="225" t="s">
        <v>100</v>
      </c>
      <c r="C47" s="226"/>
      <c r="D47" s="226"/>
      <c r="E47" s="226"/>
      <c r="F47" s="226"/>
      <c r="G47" s="226"/>
      <c r="H47" s="226"/>
      <c r="I47" s="226"/>
      <c r="J47" s="226"/>
      <c r="K47" s="226">
        <v>276550.36166633503</v>
      </c>
      <c r="L47" s="226"/>
      <c r="M47" s="226"/>
      <c r="N47" s="227">
        <v>0.45791184139155844</v>
      </c>
      <c r="O47" s="226">
        <v>430252.45635520399</v>
      </c>
      <c r="P47" s="227">
        <v>0.4595825554622493</v>
      </c>
      <c r="Q47" s="227">
        <v>0.18277465695918402</v>
      </c>
      <c r="R47" s="227">
        <v>0.55578337978930015</v>
      </c>
      <c r="S47" s="226">
        <v>153702.09468886897</v>
      </c>
      <c r="T47" s="236"/>
      <c r="AE47" s="1" t="s">
        <v>176</v>
      </c>
    </row>
    <row r="48" spans="2:31" s="4" customFormat="1" hidden="1" x14ac:dyDescent="0.25">
      <c r="B48" s="228" t="s">
        <v>103</v>
      </c>
      <c r="C48" s="229"/>
      <c r="D48" s="229"/>
      <c r="E48" s="229"/>
      <c r="F48" s="229"/>
      <c r="G48" s="229"/>
      <c r="H48" s="229"/>
      <c r="I48" s="229"/>
      <c r="J48" s="229"/>
      <c r="K48" s="229">
        <v>327387.63833385095</v>
      </c>
      <c r="L48" s="229"/>
      <c r="M48" s="229"/>
      <c r="N48" s="232">
        <v>0.54208815860874948</v>
      </c>
      <c r="O48" s="229">
        <v>505927.5436448183</v>
      </c>
      <c r="P48" s="232">
        <v>0.54041637636826456</v>
      </c>
      <c r="Q48" s="232">
        <v>0.21492203442423372</v>
      </c>
      <c r="R48" s="230">
        <v>0.54534711884540576</v>
      </c>
      <c r="S48" s="231">
        <v>178539.90531096736</v>
      </c>
      <c r="T48" s="238"/>
      <c r="AE48" s="1" t="s">
        <v>177</v>
      </c>
    </row>
    <row r="49" spans="2:31" s="4" customFormat="1" hidden="1" x14ac:dyDescent="0.25">
      <c r="B49" s="233" t="s">
        <v>178</v>
      </c>
      <c r="C49" s="29"/>
      <c r="D49" s="29"/>
      <c r="E49" s="29"/>
      <c r="F49" s="29"/>
      <c r="G49" s="29"/>
      <c r="H49" s="29"/>
      <c r="I49" s="29"/>
      <c r="J49" s="29"/>
      <c r="K49" s="29">
        <v>242109.12821622068</v>
      </c>
      <c r="L49" s="29"/>
      <c r="M49" s="29"/>
      <c r="N49" s="31">
        <v>0.4008840778626625</v>
      </c>
      <c r="O49" s="29">
        <v>391384.01224089495</v>
      </c>
      <c r="P49" s="31">
        <v>0.41806446855992052</v>
      </c>
      <c r="Q49" s="31">
        <v>0.16626303352834634</v>
      </c>
      <c r="R49" s="22">
        <v>0.61656033014732592</v>
      </c>
      <c r="S49" s="20">
        <v>149274.88402467428</v>
      </c>
      <c r="T49" s="20"/>
      <c r="AE49" s="1" t="s">
        <v>179</v>
      </c>
    </row>
    <row r="50" spans="2:31" s="4" customFormat="1" hidden="1" x14ac:dyDescent="0.25">
      <c r="B50" s="233" t="s">
        <v>180</v>
      </c>
      <c r="C50" s="29"/>
      <c r="D50" s="29"/>
      <c r="E50" s="29"/>
      <c r="F50" s="29"/>
      <c r="G50" s="29"/>
      <c r="H50" s="29"/>
      <c r="I50" s="29"/>
      <c r="J50" s="29"/>
      <c r="K50" s="29">
        <v>85278.510117630256</v>
      </c>
      <c r="L50" s="29"/>
      <c r="M50" s="29"/>
      <c r="N50" s="31">
        <v>0.14120408074608695</v>
      </c>
      <c r="O50" s="29">
        <v>114543.53140392336</v>
      </c>
      <c r="P50" s="31">
        <v>0.12235190780834407</v>
      </c>
      <c r="Q50" s="31">
        <v>4.8659000895887379E-2</v>
      </c>
      <c r="R50" s="22">
        <v>0.34316994100771625</v>
      </c>
      <c r="S50" s="20">
        <v>29265.021286293108</v>
      </c>
      <c r="T50" s="20"/>
      <c r="AE50" s="1" t="s">
        <v>181</v>
      </c>
    </row>
    <row r="51" spans="2:31" s="4" customFormat="1" ht="7.5" hidden="1" customHeight="1" x14ac:dyDescent="0.25">
      <c r="B51" s="234"/>
      <c r="C51" s="234"/>
      <c r="D51" s="234"/>
      <c r="E51" s="234"/>
      <c r="F51" s="234"/>
      <c r="G51" s="234"/>
      <c r="H51" s="234"/>
      <c r="I51" s="234"/>
      <c r="J51" s="234"/>
      <c r="K51" s="234"/>
      <c r="L51" s="234"/>
      <c r="M51" s="234"/>
      <c r="N51" s="234"/>
      <c r="O51" s="234"/>
      <c r="P51" s="234"/>
      <c r="Q51" s="234"/>
      <c r="R51" s="234"/>
      <c r="S51" s="234"/>
      <c r="AE51" s="1" t="s">
        <v>182</v>
      </c>
    </row>
    <row r="52" spans="2:31" s="4" customFormat="1" hidden="1" x14ac:dyDescent="0.25">
      <c r="B52" s="283" t="s">
        <v>183</v>
      </c>
      <c r="C52" s="283"/>
      <c r="D52" s="283"/>
      <c r="E52" s="283"/>
      <c r="F52" s="283"/>
      <c r="G52" s="283"/>
      <c r="H52" s="283"/>
      <c r="I52" s="283"/>
      <c r="J52" s="283"/>
      <c r="K52" s="283"/>
      <c r="L52" s="283"/>
      <c r="M52" s="283"/>
      <c r="N52" s="283"/>
      <c r="O52" s="283"/>
      <c r="P52" s="283"/>
      <c r="Q52" s="283"/>
      <c r="R52" s="283"/>
      <c r="S52" s="283"/>
      <c r="T52" s="48"/>
      <c r="AE52" s="1" t="s">
        <v>184</v>
      </c>
    </row>
    <row r="53" spans="2:31" s="4" customFormat="1" hidden="1" x14ac:dyDescent="0.25">
      <c r="AE53" s="1"/>
    </row>
    <row r="54" spans="2:31" hidden="1" x14ac:dyDescent="0.25">
      <c r="C54" s="122"/>
      <c r="D54" s="122"/>
      <c r="E54" s="122"/>
      <c r="F54" s="122"/>
      <c r="G54" s="122"/>
      <c r="H54" s="122"/>
      <c r="I54" s="122"/>
      <c r="J54" s="122"/>
      <c r="K54" s="122">
        <v>0.54208815860874948</v>
      </c>
      <c r="L54" s="122"/>
      <c r="M54" s="122"/>
    </row>
    <row r="55" spans="2:31" hidden="1" x14ac:dyDescent="0.25"/>
    <row r="56" spans="2:31" hidden="1" x14ac:dyDescent="0.25"/>
    <row r="57" spans="2:31" hidden="1" x14ac:dyDescent="0.25"/>
    <row r="58" spans="2:31" hidden="1" x14ac:dyDescent="0.25"/>
    <row r="59" spans="2:31" hidden="1" x14ac:dyDescent="0.25"/>
    <row r="60" spans="2:31" hidden="1" x14ac:dyDescent="0.25"/>
    <row r="61" spans="2:31" hidden="1" x14ac:dyDescent="0.25"/>
    <row r="62" spans="2:31" hidden="1" x14ac:dyDescent="0.25"/>
    <row r="63" spans="2:31" hidden="1" x14ac:dyDescent="0.25"/>
    <row r="64" spans="2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33" spans="1:31" s="4" customFormat="1" ht="25.5" customHeight="1" thickBot="1" x14ac:dyDescent="0.3">
      <c r="B133" s="62" t="s">
        <v>28</v>
      </c>
      <c r="C133" s="62"/>
      <c r="D133" s="62"/>
      <c r="E133" s="62"/>
      <c r="F133" s="62"/>
      <c r="G133" s="62"/>
      <c r="H133" s="62"/>
      <c r="I133" s="62"/>
      <c r="J133" s="62"/>
      <c r="K133" s="62"/>
      <c r="L133" s="62"/>
      <c r="M133" s="62"/>
      <c r="N133" s="62"/>
      <c r="O133" s="62"/>
      <c r="Z133" s="1"/>
    </row>
    <row r="134" spans="1:31" s="4" customFormat="1" ht="6" customHeight="1" x14ac:dyDescent="0.25">
      <c r="Z134" s="1"/>
    </row>
    <row r="135" spans="1:31" s="4" customFormat="1" ht="30" x14ac:dyDescent="0.25">
      <c r="C135" s="181">
        <v>2020</v>
      </c>
      <c r="D135" s="181">
        <v>2021</v>
      </c>
      <c r="E135" s="181">
        <v>2022</v>
      </c>
      <c r="F135" s="181">
        <v>2023</v>
      </c>
      <c r="G135" s="169" t="str">
        <f>CONCATENATE("var. ",RIGHT(F135,2),"/",RIGHT(E135,2))</f>
        <v>var. 23/22</v>
      </c>
      <c r="H135" s="169" t="str">
        <f>CONCATENATE("dif. ",RIGHT(F135,2),"/",RIGHT(E135,2))</f>
        <v>dif. 23/22</v>
      </c>
      <c r="I135" s="169" t="str">
        <f>CONCATENATE("%/s total Península ",RIGHT(F135,4))</f>
        <v>%/s total Península 2023</v>
      </c>
      <c r="J135" s="181">
        <v>2024</v>
      </c>
      <c r="K135" s="169" t="str">
        <f>CONCATENATE("%/s total España ",RIGHT(J135,4))</f>
        <v>%/s total España 2024</v>
      </c>
      <c r="L135" s="169" t="str">
        <f>CONCATENATE("var. ",RIGHT(J135,2),"/",RIGHT(F135,2))</f>
        <v>var. 24/23</v>
      </c>
      <c r="M135" s="169" t="str">
        <f>CONCATENATE("dif. ",RIGHT(J135,2),"/",RIGHT(F135,2))</f>
        <v>dif. 24/23</v>
      </c>
      <c r="N135" s="169" t="str">
        <f>CONCATENATE("var. ",RIGHT(J135,2),"/",RIGHT(C135,2))</f>
        <v>var. 24/20</v>
      </c>
      <c r="O135" s="169" t="str">
        <f>CONCATENATE("dif. ",RIGHT(J135,2),"/",RIGHT(C135,2))</f>
        <v>dif. 24/20</v>
      </c>
      <c r="Z135" s="1"/>
    </row>
    <row r="136" spans="1:31" ht="18.75" x14ac:dyDescent="0.3">
      <c r="A136" s="4"/>
      <c r="B136" s="222" t="s">
        <v>202</v>
      </c>
      <c r="C136" s="226">
        <v>248294</v>
      </c>
      <c r="D136" s="226">
        <v>384253</v>
      </c>
      <c r="E136" s="226">
        <v>593573</v>
      </c>
      <c r="F136" s="226">
        <v>612478</v>
      </c>
      <c r="G136" s="227">
        <f>F136/E136-1</f>
        <v>3.1849494501939857E-2</v>
      </c>
      <c r="H136" s="226">
        <f>F136-E136</f>
        <v>18905</v>
      </c>
      <c r="I136" s="227">
        <f>F136/F$136</f>
        <v>1</v>
      </c>
      <c r="J136" s="226">
        <v>636461</v>
      </c>
      <c r="K136" s="227">
        <f>H136/H$136</f>
        <v>1</v>
      </c>
      <c r="L136" s="227">
        <f>J136/F136-1</f>
        <v>3.915732483452472E-2</v>
      </c>
      <c r="M136" s="226">
        <f>J136-F136</f>
        <v>23983</v>
      </c>
      <c r="N136" s="227">
        <f>J136/C136-1</f>
        <v>1.5633362062715972</v>
      </c>
      <c r="O136" s="226">
        <f>J136-C136</f>
        <v>388167</v>
      </c>
      <c r="Q136" s="29"/>
      <c r="R136" s="79"/>
      <c r="Z136" s="1" t="s">
        <v>175</v>
      </c>
      <c r="AE136"/>
    </row>
    <row r="137" spans="1:31" s="4" customFormat="1" x14ac:dyDescent="0.25">
      <c r="B137" s="233" t="s">
        <v>44</v>
      </c>
      <c r="C137" s="250">
        <v>49521</v>
      </c>
      <c r="D137" s="250">
        <v>120918</v>
      </c>
      <c r="E137" s="250">
        <v>120397</v>
      </c>
      <c r="F137" s="250">
        <v>106138</v>
      </c>
      <c r="G137" s="256">
        <f t="shared" ref="G137:G146" si="12">F137/E137-1</f>
        <v>-0.11843318355108512</v>
      </c>
      <c r="H137" s="263">
        <f t="shared" ref="H137:H146" si="13">F137-E137</f>
        <v>-14259</v>
      </c>
      <c r="I137" s="258">
        <f t="shared" ref="I137:K146" si="14">F137/F$136</f>
        <v>0.17329275500507774</v>
      </c>
      <c r="J137" s="250">
        <v>101169</v>
      </c>
      <c r="K137" s="258">
        <f t="shared" si="14"/>
        <v>-0.75424490875429784</v>
      </c>
      <c r="L137" s="258">
        <f t="shared" ref="L137:L146" si="15">J137/F137-1</f>
        <v>-4.6816408826245048E-2</v>
      </c>
      <c r="M137" s="257">
        <f t="shared" ref="M137:M146" si="16">J137-F137</f>
        <v>-4969</v>
      </c>
      <c r="N137" s="256">
        <f t="shared" ref="N137:N145" si="17">J137/C137-1</f>
        <v>1.0429514751317623</v>
      </c>
      <c r="O137" s="250">
        <f t="shared" ref="O137:O146" si="18">J137-C137</f>
        <v>51648</v>
      </c>
      <c r="Q137" s="29"/>
      <c r="R137" s="79"/>
      <c r="Z137" s="1" t="s">
        <v>177</v>
      </c>
    </row>
    <row r="138" spans="1:31" s="4" customFormat="1" x14ac:dyDescent="0.25">
      <c r="B138" s="233" t="s">
        <v>45</v>
      </c>
      <c r="C138" s="250">
        <v>26848</v>
      </c>
      <c r="D138" s="250">
        <v>39986</v>
      </c>
      <c r="E138" s="250">
        <v>75857</v>
      </c>
      <c r="F138" s="250">
        <v>67064</v>
      </c>
      <c r="G138" s="256">
        <f t="shared" si="12"/>
        <v>-0.1159154725338466</v>
      </c>
      <c r="H138" s="263">
        <f t="shared" si="13"/>
        <v>-8793</v>
      </c>
      <c r="I138" s="258">
        <f t="shared" si="14"/>
        <v>0.10949617782189727</v>
      </c>
      <c r="J138" s="250">
        <v>64415</v>
      </c>
      <c r="K138" s="258">
        <f t="shared" si="14"/>
        <v>-0.4651150489288548</v>
      </c>
      <c r="L138" s="258">
        <f t="shared" si="15"/>
        <v>-3.9499582488369267E-2</v>
      </c>
      <c r="M138" s="257">
        <f t="shared" si="16"/>
        <v>-2649</v>
      </c>
      <c r="N138" s="256">
        <f t="shared" si="17"/>
        <v>1.3992476162097733</v>
      </c>
      <c r="O138" s="250">
        <f t="shared" si="18"/>
        <v>37567</v>
      </c>
      <c r="Q138" s="29"/>
      <c r="R138" s="79"/>
      <c r="Z138" s="1"/>
    </row>
    <row r="139" spans="1:31" s="4" customFormat="1" x14ac:dyDescent="0.25">
      <c r="B139" s="233" t="s">
        <v>46</v>
      </c>
      <c r="C139" s="250">
        <v>681</v>
      </c>
      <c r="D139" s="250">
        <v>2535</v>
      </c>
      <c r="E139" s="250">
        <v>3247</v>
      </c>
      <c r="F139" s="250">
        <v>5439</v>
      </c>
      <c r="G139" s="256">
        <f t="shared" si="12"/>
        <v>0.67508469356328926</v>
      </c>
      <c r="H139" s="264">
        <f t="shared" si="13"/>
        <v>2192</v>
      </c>
      <c r="I139" s="262">
        <f t="shared" si="14"/>
        <v>8.8803189665587982E-3</v>
      </c>
      <c r="J139" s="250">
        <v>3803</v>
      </c>
      <c r="K139" s="262">
        <f t="shared" si="14"/>
        <v>0.11594816186194129</v>
      </c>
      <c r="L139" s="258">
        <f t="shared" si="15"/>
        <v>-0.30079058650487223</v>
      </c>
      <c r="M139" s="257">
        <f t="shared" si="16"/>
        <v>-1636</v>
      </c>
      <c r="N139" s="256">
        <f t="shared" si="17"/>
        <v>4.5844346549192361</v>
      </c>
      <c r="O139" s="250">
        <f t="shared" si="18"/>
        <v>3122</v>
      </c>
      <c r="Q139" s="29"/>
      <c r="R139" s="79"/>
      <c r="Z139" s="1"/>
    </row>
    <row r="140" spans="1:31" s="4" customFormat="1" x14ac:dyDescent="0.25">
      <c r="B140" s="233" t="s">
        <v>48</v>
      </c>
      <c r="C140" s="250">
        <v>74813</v>
      </c>
      <c r="D140" s="250">
        <v>114704</v>
      </c>
      <c r="E140" s="250">
        <v>244952</v>
      </c>
      <c r="F140" s="250">
        <v>249820</v>
      </c>
      <c r="G140" s="256">
        <f t="shared" si="12"/>
        <v>1.987328129592747E-2</v>
      </c>
      <c r="H140" s="263">
        <f t="shared" si="13"/>
        <v>4868</v>
      </c>
      <c r="I140" s="258">
        <f t="shared" si="14"/>
        <v>0.40788403828382408</v>
      </c>
      <c r="J140" s="250">
        <v>275953</v>
      </c>
      <c r="K140" s="258">
        <f t="shared" si="14"/>
        <v>0.25749801639777836</v>
      </c>
      <c r="L140" s="258">
        <f t="shared" si="15"/>
        <v>0.1046073172684332</v>
      </c>
      <c r="M140" s="257">
        <f t="shared" si="16"/>
        <v>26133</v>
      </c>
      <c r="N140" s="256">
        <f t="shared" si="17"/>
        <v>2.6885701682862604</v>
      </c>
      <c r="O140" s="250">
        <f t="shared" si="18"/>
        <v>201140</v>
      </c>
      <c r="Q140" s="29"/>
      <c r="R140" s="79"/>
      <c r="Z140" s="1"/>
    </row>
    <row r="141" spans="1:31" s="4" customFormat="1" x14ac:dyDescent="0.25">
      <c r="B141" s="233" t="s">
        <v>50</v>
      </c>
      <c r="C141" s="250">
        <v>25621</v>
      </c>
      <c r="D141" s="250">
        <v>20278</v>
      </c>
      <c r="E141" s="250">
        <v>32271</v>
      </c>
      <c r="F141" s="250">
        <v>36164</v>
      </c>
      <c r="G141" s="256">
        <f t="shared" si="12"/>
        <v>0.12063462551516846</v>
      </c>
      <c r="H141" s="264">
        <f t="shared" si="13"/>
        <v>3893</v>
      </c>
      <c r="I141" s="262">
        <f t="shared" si="14"/>
        <v>5.9045386119991251E-2</v>
      </c>
      <c r="J141" s="250">
        <v>33708</v>
      </c>
      <c r="K141" s="262">
        <f t="shared" si="14"/>
        <v>0.20592435863528166</v>
      </c>
      <c r="L141" s="258">
        <f t="shared" si="15"/>
        <v>-6.791284149983412E-2</v>
      </c>
      <c r="M141" s="257">
        <f t="shared" si="16"/>
        <v>-2456</v>
      </c>
      <c r="N141" s="256">
        <f t="shared" si="17"/>
        <v>0.31563951446079397</v>
      </c>
      <c r="O141" s="250">
        <f t="shared" si="18"/>
        <v>8087</v>
      </c>
      <c r="Q141" s="29"/>
      <c r="R141" s="79"/>
      <c r="Z141" s="1"/>
    </row>
    <row r="142" spans="1:31" s="4" customFormat="1" x14ac:dyDescent="0.25">
      <c r="B142" s="233" t="s">
        <v>51</v>
      </c>
      <c r="C142" s="250">
        <v>33780</v>
      </c>
      <c r="D142" s="250">
        <v>51310</v>
      </c>
      <c r="E142" s="250">
        <v>65021</v>
      </c>
      <c r="F142" s="250">
        <v>80309</v>
      </c>
      <c r="G142" s="256">
        <f t="shared" si="12"/>
        <v>0.23512403684963323</v>
      </c>
      <c r="H142" s="263">
        <f t="shared" si="13"/>
        <v>15288</v>
      </c>
      <c r="I142" s="258">
        <f t="shared" si="14"/>
        <v>0.1311214443620832</v>
      </c>
      <c r="J142" s="250">
        <v>80773</v>
      </c>
      <c r="K142" s="258">
        <f t="shared" si="14"/>
        <v>0.80867495371594811</v>
      </c>
      <c r="L142" s="258">
        <f t="shared" si="15"/>
        <v>5.7776836967213807E-3</v>
      </c>
      <c r="M142" s="257">
        <f t="shared" si="16"/>
        <v>464</v>
      </c>
      <c r="N142" s="256">
        <f t="shared" si="17"/>
        <v>1.3911486086441682</v>
      </c>
      <c r="O142" s="250">
        <f t="shared" si="18"/>
        <v>46993</v>
      </c>
      <c r="Q142" s="29"/>
      <c r="R142" s="79"/>
      <c r="Z142" s="1"/>
    </row>
    <row r="143" spans="1:31" s="4" customFormat="1" x14ac:dyDescent="0.25">
      <c r="B143" s="233" t="s">
        <v>49</v>
      </c>
      <c r="C143" s="250">
        <v>7339</v>
      </c>
      <c r="D143" s="250">
        <v>10731</v>
      </c>
      <c r="E143" s="250">
        <v>17520</v>
      </c>
      <c r="F143" s="250">
        <v>25698</v>
      </c>
      <c r="G143" s="256">
        <f t="shared" si="12"/>
        <v>0.46678082191780823</v>
      </c>
      <c r="H143" s="264">
        <f t="shared" si="13"/>
        <v>8178</v>
      </c>
      <c r="I143" s="262">
        <f t="shared" si="14"/>
        <v>4.1957425409565728E-2</v>
      </c>
      <c r="J143" s="250">
        <v>23944</v>
      </c>
      <c r="K143" s="262">
        <f t="shared" si="14"/>
        <v>0.43258397249404917</v>
      </c>
      <c r="L143" s="258">
        <f t="shared" si="15"/>
        <v>-6.8254338859055186E-2</v>
      </c>
      <c r="M143" s="257">
        <f t="shared" si="16"/>
        <v>-1754</v>
      </c>
      <c r="N143" s="256">
        <f t="shared" si="17"/>
        <v>2.2625698324022347</v>
      </c>
      <c r="O143" s="250">
        <f t="shared" si="18"/>
        <v>16605</v>
      </c>
      <c r="Q143" s="29"/>
      <c r="R143" s="79"/>
      <c r="Z143" s="1"/>
    </row>
    <row r="144" spans="1:31" s="4" customFormat="1" x14ac:dyDescent="0.25">
      <c r="B144" s="233" t="s">
        <v>52</v>
      </c>
      <c r="C144" s="250">
        <v>6781</v>
      </c>
      <c r="D144" s="250">
        <v>11021</v>
      </c>
      <c r="E144" s="250">
        <v>9118</v>
      </c>
      <c r="F144" s="250">
        <v>11280</v>
      </c>
      <c r="G144" s="256">
        <f t="shared" si="12"/>
        <v>0.23711340206185572</v>
      </c>
      <c r="H144" s="263">
        <f t="shared" si="13"/>
        <v>2162</v>
      </c>
      <c r="I144" s="258">
        <f t="shared" si="14"/>
        <v>1.8416988038754044E-2</v>
      </c>
      <c r="J144" s="250">
        <v>10812</v>
      </c>
      <c r="K144" s="258">
        <f t="shared" si="14"/>
        <v>0.1143612800846337</v>
      </c>
      <c r="L144" s="258">
        <f t="shared" si="15"/>
        <v>-4.1489361702127692E-2</v>
      </c>
      <c r="M144" s="257">
        <f t="shared" si="16"/>
        <v>-468</v>
      </c>
      <c r="N144" s="256">
        <f t="shared" si="17"/>
        <v>0.59445509511871397</v>
      </c>
      <c r="O144" s="250">
        <f t="shared" si="18"/>
        <v>4031</v>
      </c>
      <c r="Q144" s="29"/>
      <c r="R144" s="79"/>
      <c r="Z144" s="1"/>
    </row>
    <row r="145" spans="2:31" s="4" customFormat="1" x14ac:dyDescent="0.25">
      <c r="B145" s="233" t="s">
        <v>47</v>
      </c>
      <c r="C145" s="250">
        <v>15343</v>
      </c>
      <c r="D145" s="250">
        <v>4744</v>
      </c>
      <c r="E145" s="250">
        <v>9037</v>
      </c>
      <c r="F145" s="250">
        <v>15069</v>
      </c>
      <c r="G145" s="256">
        <f t="shared" si="12"/>
        <v>0.66747814540223516</v>
      </c>
      <c r="H145" s="264">
        <f t="shared" si="13"/>
        <v>6032</v>
      </c>
      <c r="I145" s="262">
        <f t="shared" si="14"/>
        <v>2.4603332691133396E-2</v>
      </c>
      <c r="J145" s="250">
        <v>23750</v>
      </c>
      <c r="K145" s="262">
        <f t="shared" si="14"/>
        <v>0.31906902935731291</v>
      </c>
      <c r="L145" s="258">
        <f t="shared" si="15"/>
        <v>0.57608334992368437</v>
      </c>
      <c r="M145" s="257">
        <f t="shared" si="16"/>
        <v>8681</v>
      </c>
      <c r="N145" s="256">
        <f t="shared" si="17"/>
        <v>0.54793717004497156</v>
      </c>
      <c r="O145" s="250">
        <f t="shared" si="18"/>
        <v>8407</v>
      </c>
      <c r="Q145" s="29"/>
      <c r="R145" s="79"/>
      <c r="Z145" s="1"/>
    </row>
    <row r="146" spans="2:31" s="4" customFormat="1" x14ac:dyDescent="0.25">
      <c r="B146" s="233" t="s">
        <v>203</v>
      </c>
      <c r="C146" s="250">
        <f>C136-SUM(C137:C145)</f>
        <v>7567</v>
      </c>
      <c r="D146" s="250">
        <f>D136-SUM(D137:D145)</f>
        <v>8026</v>
      </c>
      <c r="E146" s="250">
        <f>E136-SUM(E137:E145)</f>
        <v>16153</v>
      </c>
      <c r="F146" s="250">
        <f>F136-SUM(F137:F145)</f>
        <v>15497</v>
      </c>
      <c r="G146" s="256">
        <f t="shared" si="12"/>
        <v>-4.0611651086485456E-2</v>
      </c>
      <c r="H146" s="263">
        <f t="shared" si="13"/>
        <v>-656</v>
      </c>
      <c r="I146" s="258">
        <f t="shared" si="14"/>
        <v>2.5302133301114488E-2</v>
      </c>
      <c r="J146" s="250">
        <f>J136-SUM(J137:J145)</f>
        <v>18134</v>
      </c>
      <c r="K146" s="258">
        <f t="shared" si="14"/>
        <v>-3.4699814863792644E-2</v>
      </c>
      <c r="L146" s="258">
        <f t="shared" si="15"/>
        <v>0.17016196683229001</v>
      </c>
      <c r="M146" s="257">
        <f t="shared" si="16"/>
        <v>2637</v>
      </c>
      <c r="N146" s="256">
        <f>J146/C146-1</f>
        <v>1.3964583058015068</v>
      </c>
      <c r="O146" s="250">
        <f t="shared" si="18"/>
        <v>10567</v>
      </c>
      <c r="Q146" s="29"/>
      <c r="R146" s="79"/>
      <c r="Z146" s="1"/>
    </row>
    <row r="147" spans="2:31" s="4" customFormat="1" ht="7.5" customHeight="1" x14ac:dyDescent="0.25">
      <c r="B147" s="234"/>
      <c r="C147" s="234"/>
      <c r="D147" s="234"/>
      <c r="E147" s="234"/>
      <c r="F147" s="234"/>
      <c r="G147" s="234"/>
      <c r="H147" s="234"/>
      <c r="I147" s="234"/>
      <c r="J147" s="234"/>
      <c r="K147" s="234"/>
      <c r="L147" s="234"/>
      <c r="M147" s="234"/>
      <c r="N147" s="234"/>
      <c r="O147" s="234"/>
      <c r="Z147" s="1" t="s">
        <v>182</v>
      </c>
    </row>
    <row r="148" spans="2:31" s="4" customFormat="1" x14ac:dyDescent="0.25">
      <c r="B148" s="167" t="s">
        <v>183</v>
      </c>
      <c r="C148" s="167"/>
      <c r="D148" s="167"/>
      <c r="E148" s="167"/>
      <c r="F148" s="167"/>
      <c r="G148" s="167"/>
      <c r="H148" s="167"/>
      <c r="I148" s="167"/>
      <c r="J148" s="167"/>
      <c r="K148" s="167"/>
      <c r="L148" s="167"/>
      <c r="M148" s="167"/>
      <c r="N148" s="167"/>
      <c r="O148" s="167"/>
      <c r="Z148" s="1" t="s">
        <v>184</v>
      </c>
    </row>
    <row r="149" spans="2:31" x14ac:dyDescent="0.25">
      <c r="Z149" s="1"/>
      <c r="AE149"/>
    </row>
  </sheetData>
  <mergeCells count="2">
    <mergeCell ref="B42:S42"/>
    <mergeCell ref="B52:S5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68A5C1-C161-402C-93BA-E922783A56FD}">
  <sheetPr codeName="Hoja4">
    <tabColor rgb="FF336600"/>
  </sheetPr>
  <dimension ref="A3:A23"/>
  <sheetViews>
    <sheetView showGridLines="0" workbookViewId="0"/>
  </sheetViews>
  <sheetFormatPr baseColWidth="10" defaultRowHeight="15" x14ac:dyDescent="0.25"/>
  <sheetData>
    <row r="3" ht="15" customHeight="1" x14ac:dyDescent="0.25"/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</sheetData>
  <pageMargins left="0.7" right="0.7" top="0.75" bottom="0.75" header="0.3" footer="0.3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BCBAF7-856E-42D9-A509-345469099C01}">
  <sheetPr codeName="Hoja43">
    <tabColor theme="4" tint="0.39997558519241921"/>
  </sheetPr>
  <dimension ref="A1:AE14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13" width="14.7109375" customWidth="1"/>
    <col min="14" max="14" width="11.42578125" customWidth="1"/>
    <col min="15" max="15" width="14.7109375" customWidth="1"/>
    <col min="27" max="27" width="14" customWidth="1"/>
    <col min="31" max="31" width="11.42578125" style="1"/>
  </cols>
  <sheetData>
    <row r="1" spans="1:31" ht="30" customHeight="1" x14ac:dyDescent="0.25">
      <c r="B1" s="1" t="s">
        <v>205</v>
      </c>
      <c r="G1" s="221"/>
      <c r="H1" s="221"/>
      <c r="I1" s="221"/>
      <c r="K1" s="221"/>
    </row>
    <row r="3" spans="1:31" s="4" customFormat="1" ht="25.5" customHeight="1" thickBot="1" x14ac:dyDescent="0.3">
      <c r="B3" s="62" t="s">
        <v>29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45" x14ac:dyDescent="0.25">
      <c r="C5" s="239" t="s">
        <v>260</v>
      </c>
      <c r="D5" s="239" t="s">
        <v>261</v>
      </c>
      <c r="E5" s="239" t="s">
        <v>262</v>
      </c>
      <c r="F5" s="240" t="str">
        <f>CONCATENATE("%/s total Tenerife ",RIGHT(E5,4))</f>
        <v>%/s total Tenerife 2022</v>
      </c>
      <c r="G5" s="239" t="s">
        <v>263</v>
      </c>
      <c r="H5" s="240" t="str">
        <f>CONCATENATE("var. ",RIGHT(G5,2),"/",RIGHT(E5,2))</f>
        <v>var. 23/22</v>
      </c>
      <c r="I5" s="240" t="str">
        <f>CONCATENATE("dif. ",RIGHT(G5,2),"/",RIGHT(E5,2))</f>
        <v>dif. 23/22</v>
      </c>
      <c r="J5" s="240" t="str">
        <f>CONCATENATE("%/s total Tenerife ",RIGHT(G5,4))</f>
        <v>%/s total Tenerife 2023</v>
      </c>
      <c r="K5" s="239" t="s">
        <v>264</v>
      </c>
      <c r="L5" s="240" t="str">
        <f>CONCATENATE("var. ",RIGHT(K5,2),"/",RIGHT(G5,2))</f>
        <v>var. 24/23</v>
      </c>
      <c r="M5" s="240" t="str">
        <f>CONCATENATE("dif. ",RIGHT(K5,2),"/",RIGHT(G5,2))</f>
        <v>dif. 24/23</v>
      </c>
      <c r="N5" s="240" t="str">
        <f>CONCATENATE("%/s total Tenerife ",RIGHT(K5,4))</f>
        <v>%/s total Tenerife 2024</v>
      </c>
      <c r="O5" s="239" t="s">
        <v>265</v>
      </c>
      <c r="P5" s="240" t="str">
        <f>CONCATENATE("var. ",RIGHT(O5,2),"/",RIGHT(K5,2))</f>
        <v>var. 25/24</v>
      </c>
      <c r="Q5" s="240" t="str">
        <f>CONCATENATE("dif. ",RIGHT(O5,2),"/",RIGHT(K5,2))</f>
        <v>dif. 25/24</v>
      </c>
      <c r="R5" s="240" t="str">
        <f>CONCATENATE("var. ",RIGHT(O5,2),"/",RIGHT(C5,2))</f>
        <v>var. 25/20</v>
      </c>
      <c r="S5" s="240" t="str">
        <f>CONCATENATE("dif. ",RIGHT(O5,2),"/",RIGHT(C5,2))</f>
        <v>dif. 25/20</v>
      </c>
      <c r="T5" s="240" t="str">
        <f>CONCATENATE("%/s total Tenerife ",RIGHT(O5,4))</f>
        <v>%/s total Tenerife 2025</v>
      </c>
      <c r="AE5" s="1"/>
    </row>
    <row r="6" spans="1:31" ht="18.75" x14ac:dyDescent="0.3">
      <c r="A6" s="4"/>
      <c r="B6" s="222" t="s">
        <v>202</v>
      </c>
      <c r="C6" s="241">
        <v>18891</v>
      </c>
      <c r="D6" s="241">
        <v>14049</v>
      </c>
      <c r="E6" s="241">
        <v>17032</v>
      </c>
      <c r="F6" s="242">
        <f>E6/$E$6</f>
        <v>1</v>
      </c>
      <c r="G6" s="241">
        <v>24326</v>
      </c>
      <c r="H6" s="242">
        <f>G6/E6-1</f>
        <v>0.42825270079849687</v>
      </c>
      <c r="I6" s="241">
        <f>G6-E6</f>
        <v>7294</v>
      </c>
      <c r="J6" s="242">
        <f>G6/$G$6</f>
        <v>1</v>
      </c>
      <c r="K6" s="241">
        <v>18739</v>
      </c>
      <c r="L6" s="242">
        <f>K6/G6-1</f>
        <v>-0.22967195593192469</v>
      </c>
      <c r="M6" s="241">
        <f>K6-G6</f>
        <v>-5587</v>
      </c>
      <c r="N6" s="242">
        <f>K6/$K$6</f>
        <v>1</v>
      </c>
      <c r="O6" s="241">
        <v>17933</v>
      </c>
      <c r="P6" s="242">
        <f>O6/K6-1</f>
        <v>-4.3011900314851359E-2</v>
      </c>
      <c r="Q6" s="241">
        <f>O6-K6</f>
        <v>-806</v>
      </c>
      <c r="R6" s="242">
        <f>IFERROR(O6/C6-1,"-")</f>
        <v>-5.0711979249377981E-2</v>
      </c>
      <c r="S6" s="241">
        <f>O6-C6</f>
        <v>-958</v>
      </c>
      <c r="T6" s="242">
        <f>O6/$O$6</f>
        <v>1</v>
      </c>
      <c r="V6" s="29"/>
      <c r="W6" s="79"/>
      <c r="AE6" s="1" t="s">
        <v>175</v>
      </c>
    </row>
    <row r="7" spans="1:31" s="4" customFormat="1" x14ac:dyDescent="0.25">
      <c r="B7" s="233" t="s">
        <v>44</v>
      </c>
      <c r="C7" s="250">
        <v>4037</v>
      </c>
      <c r="D7" s="250">
        <v>4283</v>
      </c>
      <c r="E7" s="250">
        <v>4231</v>
      </c>
      <c r="F7" s="256">
        <f t="shared" ref="F7:F16" si="0">E7/$E$6</f>
        <v>0.24841474870831376</v>
      </c>
      <c r="G7" s="250">
        <v>3814</v>
      </c>
      <c r="H7" s="258">
        <f>G7/E7-1</f>
        <v>-9.8558260458520452E-2</v>
      </c>
      <c r="I7" s="257">
        <f>G7-E7</f>
        <v>-417</v>
      </c>
      <c r="J7" s="256">
        <f>G7/$G$6</f>
        <v>0.15678697689714707</v>
      </c>
      <c r="K7" s="250">
        <v>2103</v>
      </c>
      <c r="L7" s="258">
        <f>K7/G7-1</f>
        <v>-0.44861038280020971</v>
      </c>
      <c r="M7" s="257">
        <f>K7-G7</f>
        <v>-1711</v>
      </c>
      <c r="N7" s="256">
        <f>K7/$K$6</f>
        <v>0.11222583915897326</v>
      </c>
      <c r="O7" s="250">
        <v>2694</v>
      </c>
      <c r="P7" s="258">
        <f>O7/K7-1</f>
        <v>0.2810271041369472</v>
      </c>
      <c r="Q7" s="257">
        <f>O7-K7</f>
        <v>591</v>
      </c>
      <c r="R7" s="258">
        <f t="shared" ref="R7:R16" si="1">IFERROR(O7/C7-1,"-")</f>
        <v>-0.33267277681446616</v>
      </c>
      <c r="S7" s="257">
        <f t="shared" ref="S7:S16" si="2">O7-C7</f>
        <v>-1343</v>
      </c>
      <c r="T7" s="256">
        <f>O7/$O$6</f>
        <v>0.15022584062900798</v>
      </c>
      <c r="V7" s="29"/>
      <c r="W7" s="79"/>
      <c r="AE7" s="1" t="s">
        <v>177</v>
      </c>
    </row>
    <row r="8" spans="1:31" s="4" customFormat="1" x14ac:dyDescent="0.25">
      <c r="B8" s="233" t="s">
        <v>45</v>
      </c>
      <c r="C8" s="250">
        <v>1922</v>
      </c>
      <c r="D8" s="250">
        <v>1580</v>
      </c>
      <c r="E8" s="250">
        <v>1546</v>
      </c>
      <c r="F8" s="256">
        <f t="shared" si="0"/>
        <v>9.0770314701737909E-2</v>
      </c>
      <c r="G8" s="250">
        <v>1425</v>
      </c>
      <c r="H8" s="258">
        <f t="shared" ref="H8:H16" si="3">G8/E8-1</f>
        <v>-7.826649417852527E-2</v>
      </c>
      <c r="I8" s="257">
        <f t="shared" ref="I8:I16" si="4">G8-E8</f>
        <v>-121</v>
      </c>
      <c r="J8" s="256">
        <f t="shared" ref="J8:J16" si="5">G8/$G$6</f>
        <v>5.8579297870591136E-2</v>
      </c>
      <c r="K8" s="250">
        <v>1184</v>
      </c>
      <c r="L8" s="258">
        <f t="shared" ref="L8:L16" si="6">K8/G8-1</f>
        <v>-0.1691228070175439</v>
      </c>
      <c r="M8" s="257">
        <f t="shared" ref="M8:M16" si="7">K8-G8</f>
        <v>-241</v>
      </c>
      <c r="N8" s="256">
        <f t="shared" ref="N8:N16" si="8">K8/$K$6</f>
        <v>6.3183734457548435E-2</v>
      </c>
      <c r="O8" s="250">
        <v>1783</v>
      </c>
      <c r="P8" s="258">
        <f t="shared" ref="P8:P16" si="9">O8/K8-1</f>
        <v>0.50591216216216206</v>
      </c>
      <c r="Q8" s="257">
        <f t="shared" ref="Q8:Q16" si="10">O8-K8</f>
        <v>599</v>
      </c>
      <c r="R8" s="258">
        <f t="shared" si="1"/>
        <v>-7.2320499479708644E-2</v>
      </c>
      <c r="S8" s="257">
        <f t="shared" si="2"/>
        <v>-139</v>
      </c>
      <c r="T8" s="256">
        <f t="shared" ref="T8:T16" si="11">O8/$O$6</f>
        <v>9.9425639881782185E-2</v>
      </c>
      <c r="V8" s="29"/>
      <c r="W8" s="79"/>
      <c r="AE8" s="1"/>
    </row>
    <row r="9" spans="1:31" s="4" customFormat="1" x14ac:dyDescent="0.25">
      <c r="B9" s="233" t="s">
        <v>46</v>
      </c>
      <c r="C9" s="250">
        <v>208</v>
      </c>
      <c r="D9" s="250">
        <v>45</v>
      </c>
      <c r="E9" s="250">
        <v>36</v>
      </c>
      <c r="F9" s="251">
        <f t="shared" si="0"/>
        <v>2.1136683889149835E-3</v>
      </c>
      <c r="G9" s="250">
        <v>2737</v>
      </c>
      <c r="H9" s="262">
        <f t="shared" si="3"/>
        <v>75.027777777777771</v>
      </c>
      <c r="I9" s="253">
        <f t="shared" si="4"/>
        <v>2701</v>
      </c>
      <c r="J9" s="251">
        <f t="shared" si="5"/>
        <v>0.11251336019074241</v>
      </c>
      <c r="K9" s="250">
        <v>279</v>
      </c>
      <c r="L9" s="258">
        <f t="shared" si="6"/>
        <v>-0.8980635732553891</v>
      </c>
      <c r="M9" s="257">
        <f t="shared" si="7"/>
        <v>-2458</v>
      </c>
      <c r="N9" s="256">
        <f t="shared" si="8"/>
        <v>1.4888734724371631E-2</v>
      </c>
      <c r="O9" s="250">
        <v>397</v>
      </c>
      <c r="P9" s="258">
        <f t="shared" si="9"/>
        <v>0.42293906810035842</v>
      </c>
      <c r="Q9" s="257">
        <f t="shared" si="10"/>
        <v>118</v>
      </c>
      <c r="R9" s="258">
        <f t="shared" si="1"/>
        <v>0.90865384615384626</v>
      </c>
      <c r="S9" s="257">
        <f t="shared" si="2"/>
        <v>189</v>
      </c>
      <c r="T9" s="256">
        <f t="shared" si="11"/>
        <v>2.2137957954608822E-2</v>
      </c>
      <c r="V9" s="29"/>
      <c r="W9" s="79"/>
      <c r="AE9" s="1"/>
    </row>
    <row r="10" spans="1:31" s="4" customFormat="1" x14ac:dyDescent="0.25">
      <c r="B10" s="233" t="s">
        <v>48</v>
      </c>
      <c r="C10" s="250">
        <v>3543</v>
      </c>
      <c r="D10" s="250">
        <v>1101</v>
      </c>
      <c r="E10" s="250">
        <v>3148</v>
      </c>
      <c r="F10" s="256">
        <f t="shared" si="0"/>
        <v>0.18482855800845469</v>
      </c>
      <c r="G10" s="250">
        <v>3614</v>
      </c>
      <c r="H10" s="258">
        <f t="shared" si="3"/>
        <v>0.14803049555273184</v>
      </c>
      <c r="I10" s="257">
        <f t="shared" si="4"/>
        <v>466</v>
      </c>
      <c r="J10" s="256">
        <f t="shared" si="5"/>
        <v>0.14856532105566062</v>
      </c>
      <c r="K10" s="250">
        <v>3298</v>
      </c>
      <c r="L10" s="258">
        <f t="shared" si="6"/>
        <v>-8.7437742114001127E-2</v>
      </c>
      <c r="M10" s="257">
        <f t="shared" si="7"/>
        <v>-316</v>
      </c>
      <c r="N10" s="256">
        <f t="shared" si="8"/>
        <v>0.1759965846630023</v>
      </c>
      <c r="O10" s="250">
        <v>3813</v>
      </c>
      <c r="P10" s="258">
        <f t="shared" si="9"/>
        <v>0.15615524560339589</v>
      </c>
      <c r="Q10" s="257">
        <f t="shared" si="10"/>
        <v>515</v>
      </c>
      <c r="R10" s="258">
        <f t="shared" si="1"/>
        <v>7.6206604572396364E-2</v>
      </c>
      <c r="S10" s="257">
        <f t="shared" si="2"/>
        <v>270</v>
      </c>
      <c r="T10" s="256">
        <f>O10/$O$6</f>
        <v>0.21262476997713711</v>
      </c>
      <c r="V10" s="29"/>
      <c r="W10" s="79"/>
      <c r="AE10" s="1"/>
    </row>
    <row r="11" spans="1:31" s="4" customFormat="1" x14ac:dyDescent="0.25">
      <c r="B11" s="233" t="s">
        <v>50</v>
      </c>
      <c r="C11" s="250">
        <v>385</v>
      </c>
      <c r="D11" s="250">
        <v>842</v>
      </c>
      <c r="E11" s="250">
        <v>895</v>
      </c>
      <c r="F11" s="251">
        <f t="shared" si="0"/>
        <v>5.2548144668858619E-2</v>
      </c>
      <c r="G11" s="250">
        <v>456</v>
      </c>
      <c r="H11" s="262">
        <f t="shared" si="3"/>
        <v>-0.49050279329608937</v>
      </c>
      <c r="I11" s="253">
        <f t="shared" si="4"/>
        <v>-439</v>
      </c>
      <c r="J11" s="251">
        <f t="shared" si="5"/>
        <v>1.8745375318589164E-2</v>
      </c>
      <c r="K11" s="250">
        <v>536</v>
      </c>
      <c r="L11" s="258">
        <f t="shared" si="6"/>
        <v>0.17543859649122817</v>
      </c>
      <c r="M11" s="257">
        <f t="shared" si="7"/>
        <v>80</v>
      </c>
      <c r="N11" s="256">
        <f t="shared" si="8"/>
        <v>2.8603447355782057E-2</v>
      </c>
      <c r="O11" s="250">
        <v>634</v>
      </c>
      <c r="P11" s="258">
        <f t="shared" si="9"/>
        <v>0.18283582089552231</v>
      </c>
      <c r="Q11" s="257">
        <f t="shared" si="10"/>
        <v>98</v>
      </c>
      <c r="R11" s="258">
        <f t="shared" si="1"/>
        <v>0.64675324675324686</v>
      </c>
      <c r="S11" s="257">
        <f t="shared" si="2"/>
        <v>249</v>
      </c>
      <c r="T11" s="256">
        <f t="shared" si="11"/>
        <v>3.5353816985445825E-2</v>
      </c>
      <c r="V11" s="29"/>
      <c r="W11" s="79"/>
      <c r="AE11" s="1"/>
    </row>
    <row r="12" spans="1:31" s="4" customFormat="1" x14ac:dyDescent="0.25">
      <c r="B12" s="233" t="s">
        <v>51</v>
      </c>
      <c r="C12" s="250">
        <v>5042</v>
      </c>
      <c r="D12" s="250">
        <v>1186</v>
      </c>
      <c r="E12" s="250">
        <v>2656</v>
      </c>
      <c r="F12" s="256">
        <f t="shared" si="0"/>
        <v>0.15594175669328322</v>
      </c>
      <c r="G12" s="250">
        <v>5002</v>
      </c>
      <c r="H12" s="258">
        <f t="shared" si="3"/>
        <v>0.88328313253012047</v>
      </c>
      <c r="I12" s="257">
        <f t="shared" si="4"/>
        <v>2346</v>
      </c>
      <c r="J12" s="256">
        <f t="shared" si="5"/>
        <v>0.20562361259557674</v>
      </c>
      <c r="K12" s="250">
        <v>5396</v>
      </c>
      <c r="L12" s="258">
        <f t="shared" si="6"/>
        <v>7.8768492602958817E-2</v>
      </c>
      <c r="M12" s="257">
        <f t="shared" si="7"/>
        <v>394</v>
      </c>
      <c r="N12" s="256">
        <f t="shared" si="8"/>
        <v>0.28795560061902981</v>
      </c>
      <c r="O12" s="250">
        <v>4891</v>
      </c>
      <c r="P12" s="258">
        <f t="shared" si="9"/>
        <v>-9.3587842846552971E-2</v>
      </c>
      <c r="Q12" s="257">
        <f t="shared" si="10"/>
        <v>-505</v>
      </c>
      <c r="R12" s="258">
        <f t="shared" si="1"/>
        <v>-2.994843316144391E-2</v>
      </c>
      <c r="S12" s="257">
        <f t="shared" si="2"/>
        <v>-151</v>
      </c>
      <c r="T12" s="256">
        <f t="shared" si="11"/>
        <v>0.27273741147604974</v>
      </c>
      <c r="V12" s="29"/>
      <c r="W12" s="79"/>
      <c r="AE12" s="1"/>
    </row>
    <row r="13" spans="1:31" s="4" customFormat="1" x14ac:dyDescent="0.25">
      <c r="B13" s="233" t="s">
        <v>49</v>
      </c>
      <c r="C13" s="250">
        <v>1851</v>
      </c>
      <c r="D13" s="250">
        <v>279</v>
      </c>
      <c r="E13" s="250">
        <v>734</v>
      </c>
      <c r="F13" s="251">
        <f t="shared" si="0"/>
        <v>4.3095349929544384E-2</v>
      </c>
      <c r="G13" s="250">
        <v>1485</v>
      </c>
      <c r="H13" s="262">
        <f t="shared" si="3"/>
        <v>1.0231607629427795</v>
      </c>
      <c r="I13" s="253">
        <f t="shared" si="4"/>
        <v>751</v>
      </c>
      <c r="J13" s="251">
        <f t="shared" si="5"/>
        <v>6.1045794623037081E-2</v>
      </c>
      <c r="K13" s="250">
        <v>732</v>
      </c>
      <c r="L13" s="258">
        <f t="shared" si="6"/>
        <v>-0.50707070707070701</v>
      </c>
      <c r="M13" s="257">
        <f t="shared" si="7"/>
        <v>-753</v>
      </c>
      <c r="N13" s="256">
        <f t="shared" si="8"/>
        <v>3.9062916911254603E-2</v>
      </c>
      <c r="O13" s="250">
        <v>900</v>
      </c>
      <c r="P13" s="258">
        <f t="shared" si="9"/>
        <v>0.22950819672131151</v>
      </c>
      <c r="Q13" s="257">
        <f t="shared" si="10"/>
        <v>168</v>
      </c>
      <c r="R13" s="258">
        <f t="shared" si="1"/>
        <v>-0.51377633711507298</v>
      </c>
      <c r="S13" s="257">
        <f t="shared" si="2"/>
        <v>-951</v>
      </c>
      <c r="T13" s="256">
        <f t="shared" si="11"/>
        <v>5.0186806446216474E-2</v>
      </c>
      <c r="V13" s="29"/>
      <c r="W13" s="79"/>
      <c r="AE13" s="1"/>
    </row>
    <row r="14" spans="1:31" s="4" customFormat="1" x14ac:dyDescent="0.25">
      <c r="B14" s="233" t="s">
        <v>52</v>
      </c>
      <c r="C14" s="250">
        <v>495</v>
      </c>
      <c r="D14" s="250">
        <v>2893</v>
      </c>
      <c r="E14" s="250">
        <v>229</v>
      </c>
      <c r="F14" s="256">
        <f t="shared" si="0"/>
        <v>1.3445279473931423E-2</v>
      </c>
      <c r="G14" s="250">
        <v>927</v>
      </c>
      <c r="H14" s="258">
        <f t="shared" si="3"/>
        <v>3.0480349344978164</v>
      </c>
      <c r="I14" s="257">
        <f t="shared" si="4"/>
        <v>698</v>
      </c>
      <c r="J14" s="256">
        <f t="shared" si="5"/>
        <v>3.8107374825289815E-2</v>
      </c>
      <c r="K14" s="250">
        <v>571</v>
      </c>
      <c r="L14" s="258">
        <f t="shared" si="6"/>
        <v>-0.38403451995685001</v>
      </c>
      <c r="M14" s="257">
        <f t="shared" si="7"/>
        <v>-356</v>
      </c>
      <c r="N14" s="256">
        <f t="shared" si="8"/>
        <v>3.0471209776402157E-2</v>
      </c>
      <c r="O14" s="250">
        <v>248</v>
      </c>
      <c r="P14" s="258">
        <f t="shared" si="9"/>
        <v>-0.56567425569176888</v>
      </c>
      <c r="Q14" s="257">
        <f t="shared" si="10"/>
        <v>-323</v>
      </c>
      <c r="R14" s="258">
        <f t="shared" si="1"/>
        <v>-0.49898989898989898</v>
      </c>
      <c r="S14" s="257">
        <f t="shared" si="2"/>
        <v>-247</v>
      </c>
      <c r="T14" s="256">
        <f t="shared" si="11"/>
        <v>1.3829253331846317E-2</v>
      </c>
      <c r="V14" s="29"/>
      <c r="W14" s="79"/>
      <c r="AE14" s="1"/>
    </row>
    <row r="15" spans="1:31" s="4" customFormat="1" x14ac:dyDescent="0.25">
      <c r="B15" s="233" t="s">
        <v>47</v>
      </c>
      <c r="C15" s="250">
        <v>790</v>
      </c>
      <c r="D15" s="250">
        <v>562</v>
      </c>
      <c r="E15" s="250">
        <v>1209</v>
      </c>
      <c r="F15" s="251">
        <f t="shared" si="0"/>
        <v>7.0984030061061534E-2</v>
      </c>
      <c r="G15" s="250">
        <v>2239</v>
      </c>
      <c r="H15" s="262">
        <f t="shared" si="3"/>
        <v>0.85194375516956167</v>
      </c>
      <c r="I15" s="253">
        <f t="shared" si="4"/>
        <v>1030</v>
      </c>
      <c r="J15" s="251">
        <f t="shared" si="5"/>
        <v>9.2041437145441093E-2</v>
      </c>
      <c r="K15" s="250">
        <v>1837</v>
      </c>
      <c r="L15" s="258">
        <f t="shared" si="6"/>
        <v>-0.17954443948191157</v>
      </c>
      <c r="M15" s="257">
        <f t="shared" si="7"/>
        <v>-402</v>
      </c>
      <c r="N15" s="256">
        <f t="shared" si="8"/>
        <v>9.8030844762260524E-2</v>
      </c>
      <c r="O15" s="250">
        <v>407</v>
      </c>
      <c r="P15" s="258">
        <f t="shared" si="9"/>
        <v>-0.77844311377245512</v>
      </c>
      <c r="Q15" s="257">
        <f t="shared" si="10"/>
        <v>-1430</v>
      </c>
      <c r="R15" s="258">
        <f t="shared" si="1"/>
        <v>-0.48481012658227851</v>
      </c>
      <c r="S15" s="257">
        <f t="shared" si="2"/>
        <v>-383</v>
      </c>
      <c r="T15" s="256">
        <f t="shared" si="11"/>
        <v>2.2695589137344561E-2</v>
      </c>
      <c r="V15" s="29"/>
      <c r="W15" s="79"/>
      <c r="AE15" s="1"/>
    </row>
    <row r="16" spans="1:31" s="4" customFormat="1" x14ac:dyDescent="0.25">
      <c r="B16" s="233" t="s">
        <v>203</v>
      </c>
      <c r="C16" s="250">
        <f>C6-SUM(C7:C15)</f>
        <v>618</v>
      </c>
      <c r="D16" s="250">
        <f>D6-SUM(D7:D15)</f>
        <v>1278</v>
      </c>
      <c r="E16" s="250">
        <f>E6-SUM(E7:E15)</f>
        <v>2348</v>
      </c>
      <c r="F16" s="256">
        <f t="shared" si="0"/>
        <v>0.13785814936589949</v>
      </c>
      <c r="G16" s="250">
        <f>G6-SUM(G7:G15)</f>
        <v>2627</v>
      </c>
      <c r="H16" s="258">
        <f t="shared" si="3"/>
        <v>0.118824531516184</v>
      </c>
      <c r="I16" s="257">
        <f t="shared" si="4"/>
        <v>279</v>
      </c>
      <c r="J16" s="256">
        <f t="shared" si="5"/>
        <v>0.10799144947792486</v>
      </c>
      <c r="K16" s="250">
        <f>K6-SUM(K7:K15)</f>
        <v>2803</v>
      </c>
      <c r="L16" s="258">
        <f t="shared" si="6"/>
        <v>6.6996574038827639E-2</v>
      </c>
      <c r="M16" s="257">
        <f t="shared" si="7"/>
        <v>176</v>
      </c>
      <c r="N16" s="256">
        <f t="shared" si="8"/>
        <v>0.1495810875713752</v>
      </c>
      <c r="O16" s="250">
        <f>O6-SUM(O7:O15)</f>
        <v>2166</v>
      </c>
      <c r="P16" s="258">
        <f t="shared" si="9"/>
        <v>-0.22725651088119869</v>
      </c>
      <c r="Q16" s="257">
        <f t="shared" si="10"/>
        <v>-637</v>
      </c>
      <c r="R16" s="258">
        <f t="shared" si="1"/>
        <v>2.5048543689320391</v>
      </c>
      <c r="S16" s="257">
        <f t="shared" si="2"/>
        <v>1548</v>
      </c>
      <c r="T16" s="256">
        <f t="shared" si="11"/>
        <v>0.12078291418056097</v>
      </c>
      <c r="V16" s="29"/>
      <c r="W16" s="79"/>
      <c r="AE16" s="1"/>
    </row>
    <row r="17" spans="2:31" s="4" customFormat="1" ht="7.5" customHeight="1" x14ac:dyDescent="0.25">
      <c r="B17" s="234"/>
      <c r="C17" s="234"/>
      <c r="D17" s="234"/>
      <c r="E17" s="234"/>
      <c r="F17" s="234"/>
      <c r="G17" s="234"/>
      <c r="H17" s="234"/>
      <c r="I17" s="234"/>
      <c r="J17" s="234"/>
      <c r="K17" s="234"/>
      <c r="L17" s="234"/>
      <c r="M17" s="234"/>
      <c r="N17" s="234"/>
      <c r="O17" s="234"/>
      <c r="P17" s="234"/>
      <c r="Q17" s="234"/>
      <c r="R17" s="234"/>
      <c r="S17" s="234"/>
      <c r="T17" s="234"/>
      <c r="AE17" s="1" t="s">
        <v>182</v>
      </c>
    </row>
    <row r="18" spans="2:31" s="4" customFormat="1" x14ac:dyDescent="0.25">
      <c r="B18" s="167" t="s">
        <v>183</v>
      </c>
      <c r="C18" s="167"/>
      <c r="D18" s="167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AE18" s="1" t="s">
        <v>184</v>
      </c>
    </row>
    <row r="19" spans="2:31" s="4" customFormat="1" x14ac:dyDescent="0.25">
      <c r="AE19" s="1"/>
    </row>
    <row r="42" spans="2:31" s="4" customFormat="1" ht="15.75" hidden="1" customHeight="1" thickBot="1" x14ac:dyDescent="0.3">
      <c r="B42" s="265" t="s">
        <v>185</v>
      </c>
      <c r="C42" s="265"/>
      <c r="D42" s="265"/>
      <c r="E42" s="265"/>
      <c r="F42" s="265"/>
      <c r="G42" s="265"/>
      <c r="H42" s="265"/>
      <c r="I42" s="265"/>
      <c r="J42" s="265"/>
      <c r="K42" s="265"/>
      <c r="L42" s="265"/>
      <c r="M42" s="265"/>
      <c r="N42" s="265"/>
      <c r="O42" s="265"/>
      <c r="P42" s="265"/>
      <c r="Q42" s="265"/>
      <c r="R42" s="265"/>
      <c r="S42" s="265"/>
      <c r="T42" s="83"/>
      <c r="AE42" s="1"/>
    </row>
    <row r="43" spans="2:31" s="4" customFormat="1" ht="6" hidden="1" customHeight="1" thickBot="1" x14ac:dyDescent="0.3">
      <c r="AE43" s="1"/>
    </row>
    <row r="44" spans="2:31" s="4" customFormat="1" ht="30" hidden="1" x14ac:dyDescent="0.25">
      <c r="C44" s="87"/>
      <c r="D44" s="87"/>
      <c r="E44" s="87"/>
      <c r="F44" s="87"/>
      <c r="G44" s="87"/>
      <c r="H44" s="87"/>
      <c r="I44" s="87"/>
      <c r="J44" s="87"/>
      <c r="K44" s="14">
        <v>2020</v>
      </c>
      <c r="L44" s="14"/>
      <c r="M44" s="14"/>
      <c r="N44" s="14" t="s">
        <v>186</v>
      </c>
      <c r="O44" s="14">
        <v>2021</v>
      </c>
      <c r="P44" s="14" t="s">
        <v>186</v>
      </c>
      <c r="Q44" s="14" t="s">
        <v>187</v>
      </c>
      <c r="R44" s="14" t="s">
        <v>188</v>
      </c>
      <c r="S44" s="14" t="s">
        <v>189</v>
      </c>
      <c r="T44" s="87"/>
      <c r="AE44" s="1"/>
    </row>
    <row r="45" spans="2:31" s="4" customFormat="1" ht="18.75" hidden="1" x14ac:dyDescent="0.3">
      <c r="B45" s="222" t="s">
        <v>173</v>
      </c>
      <c r="C45" s="223"/>
      <c r="D45" s="223"/>
      <c r="E45" s="223"/>
      <c r="F45" s="223"/>
      <c r="G45" s="223"/>
      <c r="H45" s="223"/>
      <c r="I45" s="223"/>
      <c r="J45" s="223"/>
      <c r="K45" s="223">
        <v>1824653</v>
      </c>
      <c r="L45" s="223"/>
      <c r="M45" s="223"/>
      <c r="N45" s="224"/>
      <c r="O45" s="223">
        <v>2354005</v>
      </c>
      <c r="P45" s="224"/>
      <c r="Q45" s="224">
        <v>1</v>
      </c>
      <c r="R45" s="224">
        <v>0.2901110512519367</v>
      </c>
      <c r="S45" s="223">
        <v>529352</v>
      </c>
      <c r="T45" s="235"/>
      <c r="AE45" s="1"/>
    </row>
    <row r="46" spans="2:31" ht="18.75" hidden="1" x14ac:dyDescent="0.3">
      <c r="B46" s="222" t="s">
        <v>174</v>
      </c>
      <c r="C46" s="223"/>
      <c r="D46" s="223"/>
      <c r="E46" s="223"/>
      <c r="F46" s="223"/>
      <c r="G46" s="223"/>
      <c r="H46" s="223"/>
      <c r="I46" s="223"/>
      <c r="J46" s="223"/>
      <c r="K46" s="223">
        <v>603938</v>
      </c>
      <c r="L46" s="223"/>
      <c r="M46" s="223"/>
      <c r="N46" s="224">
        <v>1</v>
      </c>
      <c r="O46" s="223">
        <v>936181</v>
      </c>
      <c r="P46" s="224">
        <v>1</v>
      </c>
      <c r="Q46" s="224">
        <v>0.39769711619134201</v>
      </c>
      <c r="R46" s="224">
        <v>0.55012766211101138</v>
      </c>
      <c r="S46" s="223">
        <v>332243</v>
      </c>
      <c r="T46" s="235"/>
      <c r="AE46" s="1" t="s">
        <v>175</v>
      </c>
    </row>
    <row r="47" spans="2:31" ht="15.75" hidden="1" x14ac:dyDescent="0.25">
      <c r="B47" s="225" t="s">
        <v>100</v>
      </c>
      <c r="C47" s="226"/>
      <c r="D47" s="226"/>
      <c r="E47" s="226"/>
      <c r="F47" s="226"/>
      <c r="G47" s="226"/>
      <c r="H47" s="226"/>
      <c r="I47" s="226"/>
      <c r="J47" s="226"/>
      <c r="K47" s="226">
        <v>276550.36166633503</v>
      </c>
      <c r="L47" s="226"/>
      <c r="M47" s="226"/>
      <c r="N47" s="227">
        <v>0.45791184139155844</v>
      </c>
      <c r="O47" s="226">
        <v>430252.45635520399</v>
      </c>
      <c r="P47" s="227">
        <v>0.4595825554622493</v>
      </c>
      <c r="Q47" s="227">
        <v>0.18277465695918402</v>
      </c>
      <c r="R47" s="227">
        <v>0.55578337978930015</v>
      </c>
      <c r="S47" s="226">
        <v>153702.09468886897</v>
      </c>
      <c r="T47" s="236"/>
      <c r="AE47" s="1" t="s">
        <v>176</v>
      </c>
    </row>
    <row r="48" spans="2:31" s="4" customFormat="1" hidden="1" x14ac:dyDescent="0.25">
      <c r="B48" s="228" t="s">
        <v>103</v>
      </c>
      <c r="C48" s="229"/>
      <c r="D48" s="229"/>
      <c r="E48" s="229"/>
      <c r="F48" s="229"/>
      <c r="G48" s="229"/>
      <c r="H48" s="229"/>
      <c r="I48" s="229"/>
      <c r="J48" s="229"/>
      <c r="K48" s="229">
        <v>327387.63833385095</v>
      </c>
      <c r="L48" s="229"/>
      <c r="M48" s="229"/>
      <c r="N48" s="232">
        <v>0.54208815860874948</v>
      </c>
      <c r="O48" s="229">
        <v>505927.5436448183</v>
      </c>
      <c r="P48" s="232">
        <v>0.54041637636826456</v>
      </c>
      <c r="Q48" s="232">
        <v>0.21492203442423372</v>
      </c>
      <c r="R48" s="230">
        <v>0.54534711884540576</v>
      </c>
      <c r="S48" s="231">
        <v>178539.90531096736</v>
      </c>
      <c r="T48" s="238"/>
      <c r="AE48" s="1" t="s">
        <v>177</v>
      </c>
    </row>
    <row r="49" spans="2:31" s="4" customFormat="1" hidden="1" x14ac:dyDescent="0.25">
      <c r="B49" s="233" t="s">
        <v>178</v>
      </c>
      <c r="C49" s="29"/>
      <c r="D49" s="29"/>
      <c r="E49" s="29"/>
      <c r="F49" s="29"/>
      <c r="G49" s="29"/>
      <c r="H49" s="29"/>
      <c r="I49" s="29"/>
      <c r="J49" s="29"/>
      <c r="K49" s="29">
        <v>242109.12821622068</v>
      </c>
      <c r="L49" s="29"/>
      <c r="M49" s="29"/>
      <c r="N49" s="31">
        <v>0.4008840778626625</v>
      </c>
      <c r="O49" s="29">
        <v>391384.01224089495</v>
      </c>
      <c r="P49" s="31">
        <v>0.41806446855992052</v>
      </c>
      <c r="Q49" s="31">
        <v>0.16626303352834634</v>
      </c>
      <c r="R49" s="22">
        <v>0.61656033014732592</v>
      </c>
      <c r="S49" s="20">
        <v>149274.88402467428</v>
      </c>
      <c r="T49" s="20"/>
      <c r="AE49" s="1" t="s">
        <v>179</v>
      </c>
    </row>
    <row r="50" spans="2:31" s="4" customFormat="1" hidden="1" x14ac:dyDescent="0.25">
      <c r="B50" s="233" t="s">
        <v>180</v>
      </c>
      <c r="C50" s="29"/>
      <c r="D50" s="29"/>
      <c r="E50" s="29"/>
      <c r="F50" s="29"/>
      <c r="G50" s="29"/>
      <c r="H50" s="29"/>
      <c r="I50" s="29"/>
      <c r="J50" s="29"/>
      <c r="K50" s="29">
        <v>85278.510117630256</v>
      </c>
      <c r="L50" s="29"/>
      <c r="M50" s="29"/>
      <c r="N50" s="31">
        <v>0.14120408074608695</v>
      </c>
      <c r="O50" s="29">
        <v>114543.53140392336</v>
      </c>
      <c r="P50" s="31">
        <v>0.12235190780834407</v>
      </c>
      <c r="Q50" s="31">
        <v>4.8659000895887379E-2</v>
      </c>
      <c r="R50" s="22">
        <v>0.34316994100771625</v>
      </c>
      <c r="S50" s="20">
        <v>29265.021286293108</v>
      </c>
      <c r="T50" s="20"/>
      <c r="AE50" s="1" t="s">
        <v>181</v>
      </c>
    </row>
    <row r="51" spans="2:31" s="4" customFormat="1" ht="7.5" hidden="1" customHeight="1" x14ac:dyDescent="0.25">
      <c r="B51" s="234"/>
      <c r="C51" s="234"/>
      <c r="D51" s="234"/>
      <c r="E51" s="234"/>
      <c r="F51" s="234"/>
      <c r="G51" s="234"/>
      <c r="H51" s="234"/>
      <c r="I51" s="234"/>
      <c r="J51" s="234"/>
      <c r="K51" s="234"/>
      <c r="L51" s="234"/>
      <c r="M51" s="234"/>
      <c r="N51" s="234"/>
      <c r="O51" s="234"/>
      <c r="P51" s="234"/>
      <c r="Q51" s="234"/>
      <c r="R51" s="234"/>
      <c r="S51" s="234"/>
      <c r="AE51" s="1" t="s">
        <v>182</v>
      </c>
    </row>
    <row r="52" spans="2:31" s="4" customFormat="1" hidden="1" x14ac:dyDescent="0.25">
      <c r="B52" s="283" t="s">
        <v>183</v>
      </c>
      <c r="C52" s="283"/>
      <c r="D52" s="283"/>
      <c r="E52" s="283"/>
      <c r="F52" s="283"/>
      <c r="G52" s="283"/>
      <c r="H52" s="283"/>
      <c r="I52" s="283"/>
      <c r="J52" s="283"/>
      <c r="K52" s="283"/>
      <c r="L52" s="283"/>
      <c r="M52" s="283"/>
      <c r="N52" s="283"/>
      <c r="O52" s="283"/>
      <c r="P52" s="283"/>
      <c r="Q52" s="283"/>
      <c r="R52" s="283"/>
      <c r="S52" s="283"/>
      <c r="T52" s="48"/>
      <c r="AE52" s="1" t="s">
        <v>184</v>
      </c>
    </row>
    <row r="53" spans="2:31" s="4" customFormat="1" hidden="1" x14ac:dyDescent="0.25">
      <c r="AE53" s="1"/>
    </row>
    <row r="54" spans="2:31" hidden="1" x14ac:dyDescent="0.25">
      <c r="C54" s="122"/>
      <c r="D54" s="122"/>
      <c r="E54" s="122"/>
      <c r="F54" s="122"/>
      <c r="G54" s="122"/>
      <c r="H54" s="122"/>
      <c r="I54" s="122"/>
      <c r="J54" s="122"/>
      <c r="K54" s="122">
        <v>0.54208815860874948</v>
      </c>
      <c r="L54" s="122"/>
      <c r="M54" s="122"/>
    </row>
    <row r="55" spans="2:31" hidden="1" x14ac:dyDescent="0.25"/>
    <row r="56" spans="2:31" hidden="1" x14ac:dyDescent="0.25"/>
    <row r="57" spans="2:31" hidden="1" x14ac:dyDescent="0.25"/>
    <row r="58" spans="2:31" hidden="1" x14ac:dyDescent="0.25"/>
    <row r="59" spans="2:31" hidden="1" x14ac:dyDescent="0.25"/>
    <row r="60" spans="2:31" hidden="1" x14ac:dyDescent="0.25"/>
    <row r="61" spans="2:31" hidden="1" x14ac:dyDescent="0.25"/>
    <row r="62" spans="2:31" hidden="1" x14ac:dyDescent="0.25"/>
    <row r="63" spans="2:31" hidden="1" x14ac:dyDescent="0.25"/>
    <row r="64" spans="2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33" spans="1:31" s="4" customFormat="1" ht="25.5" customHeight="1" thickBot="1" x14ac:dyDescent="0.3">
      <c r="B133" s="62" t="s">
        <v>29</v>
      </c>
      <c r="C133" s="62"/>
      <c r="D133" s="62"/>
      <c r="E133" s="62"/>
      <c r="F133" s="62"/>
      <c r="G133" s="62"/>
      <c r="H133" s="62"/>
      <c r="I133" s="62"/>
      <c r="J133" s="62"/>
      <c r="K133" s="62"/>
      <c r="L133" s="62"/>
      <c r="M133" s="62"/>
      <c r="N133" s="62"/>
      <c r="O133" s="62"/>
      <c r="Z133" s="1"/>
    </row>
    <row r="134" spans="1:31" s="4" customFormat="1" ht="6" customHeight="1" x14ac:dyDescent="0.25">
      <c r="Z134" s="1"/>
    </row>
    <row r="135" spans="1:31" s="4" customFormat="1" ht="30" x14ac:dyDescent="0.25">
      <c r="C135" s="181">
        <v>2020</v>
      </c>
      <c r="D135" s="181">
        <v>2021</v>
      </c>
      <c r="E135" s="181">
        <v>2022</v>
      </c>
      <c r="F135" s="181">
        <v>2023</v>
      </c>
      <c r="G135" s="169" t="str">
        <f>CONCATENATE("var. ",RIGHT(F135,2),"/",RIGHT(E135,2))</f>
        <v>var. 23/22</v>
      </c>
      <c r="H135" s="169" t="str">
        <f>CONCATENATE("dif. ",RIGHT(F135,2),"/",RIGHT(E135,2))</f>
        <v>dif. 23/22</v>
      </c>
      <c r="I135" s="169" t="str">
        <f>CONCATENATE("%/s total Península ",RIGHT(F135,4))</f>
        <v>%/s total Península 2023</v>
      </c>
      <c r="J135" s="181">
        <v>2024</v>
      </c>
      <c r="K135" s="169" t="str">
        <f>CONCATENATE("%/s total España ",RIGHT(J135,4))</f>
        <v>%/s total España 2024</v>
      </c>
      <c r="L135" s="169" t="str">
        <f>CONCATENATE("var. ",RIGHT(J135,2),"/",RIGHT(F135,2))</f>
        <v>var. 24/23</v>
      </c>
      <c r="M135" s="169" t="str">
        <f>CONCATENATE("dif. ",RIGHT(J135,2),"/",RIGHT(F135,2))</f>
        <v>dif. 24/23</v>
      </c>
      <c r="N135" s="169" t="str">
        <f>CONCATENATE("var. ",RIGHT(J135,2),"/",RIGHT(C135,2))</f>
        <v>var. 24/20</v>
      </c>
      <c r="O135" s="169" t="str">
        <f>CONCATENATE("dif. ",RIGHT(J135,2),"/",RIGHT(C135,2))</f>
        <v>dif. 24/20</v>
      </c>
      <c r="Z135" s="1"/>
    </row>
    <row r="136" spans="1:31" ht="18.75" x14ac:dyDescent="0.3">
      <c r="A136" s="4"/>
      <c r="B136" s="222" t="s">
        <v>202</v>
      </c>
      <c r="C136" s="226">
        <v>208389</v>
      </c>
      <c r="D136" s="226">
        <v>416048</v>
      </c>
      <c r="E136" s="226">
        <v>423208</v>
      </c>
      <c r="F136" s="226">
        <v>428791</v>
      </c>
      <c r="G136" s="227">
        <f>F136/E136-1</f>
        <v>1.3192094667397569E-2</v>
      </c>
      <c r="H136" s="226">
        <f>F136-E136</f>
        <v>5583</v>
      </c>
      <c r="I136" s="227">
        <f>F136/F$136</f>
        <v>1</v>
      </c>
      <c r="J136" s="226">
        <v>421973</v>
      </c>
      <c r="K136" s="227">
        <f>H136/H$136</f>
        <v>1</v>
      </c>
      <c r="L136" s="227">
        <f>J136/F136-1</f>
        <v>-1.5900520300099585E-2</v>
      </c>
      <c r="M136" s="226">
        <f>J136-F136</f>
        <v>-6818</v>
      </c>
      <c r="N136" s="227">
        <f>J136/C136-1</f>
        <v>1.0249293388806513</v>
      </c>
      <c r="O136" s="226">
        <f>J136-C136</f>
        <v>213584</v>
      </c>
      <c r="Q136" s="29"/>
      <c r="R136" s="79"/>
      <c r="Z136" s="1" t="s">
        <v>175</v>
      </c>
      <c r="AE136"/>
    </row>
    <row r="137" spans="1:31" s="4" customFormat="1" x14ac:dyDescent="0.25">
      <c r="B137" s="233" t="s">
        <v>44</v>
      </c>
      <c r="C137" s="250">
        <v>68476</v>
      </c>
      <c r="D137" s="250">
        <v>126666</v>
      </c>
      <c r="E137" s="250">
        <v>86811</v>
      </c>
      <c r="F137" s="250">
        <v>75374</v>
      </c>
      <c r="G137" s="256">
        <f t="shared" ref="G137:G146" si="12">F137/E137-1</f>
        <v>-0.13174597689232936</v>
      </c>
      <c r="H137" s="263">
        <f t="shared" ref="H137:H146" si="13">F137-E137</f>
        <v>-11437</v>
      </c>
      <c r="I137" s="258">
        <f t="shared" ref="I137:K146" si="14">F137/F$136</f>
        <v>0.17578260737748694</v>
      </c>
      <c r="J137" s="250">
        <v>60650</v>
      </c>
      <c r="K137" s="258">
        <f t="shared" si="14"/>
        <v>-2.0485402113559017</v>
      </c>
      <c r="L137" s="258">
        <f t="shared" ref="L137:L146" si="15">J137/F137-1</f>
        <v>-0.19534587523549229</v>
      </c>
      <c r="M137" s="257">
        <f t="shared" ref="M137:M146" si="16">J137-F137</f>
        <v>-14724</v>
      </c>
      <c r="N137" s="256">
        <f t="shared" ref="N137:N146" si="17">J137/C137-1</f>
        <v>-0.11428821776972953</v>
      </c>
      <c r="O137" s="250">
        <f t="shared" ref="O137:O146" si="18">J137-C137</f>
        <v>-7826</v>
      </c>
      <c r="Q137" s="29"/>
      <c r="R137" s="79"/>
      <c r="Z137" s="1" t="s">
        <v>177</v>
      </c>
    </row>
    <row r="138" spans="1:31" s="4" customFormat="1" x14ac:dyDescent="0.25">
      <c r="B138" s="233" t="s">
        <v>45</v>
      </c>
      <c r="C138" s="250">
        <v>24912</v>
      </c>
      <c r="D138" s="250">
        <v>43482</v>
      </c>
      <c r="E138" s="250">
        <v>48094</v>
      </c>
      <c r="F138" s="250">
        <v>51902</v>
      </c>
      <c r="G138" s="256">
        <f t="shared" si="12"/>
        <v>7.9178275876408799E-2</v>
      </c>
      <c r="H138" s="263">
        <f t="shared" si="13"/>
        <v>3808</v>
      </c>
      <c r="I138" s="258">
        <f t="shared" si="14"/>
        <v>0.12104265248104555</v>
      </c>
      <c r="J138" s="250">
        <v>50245</v>
      </c>
      <c r="K138" s="258">
        <f t="shared" si="14"/>
        <v>0.68207057137739568</v>
      </c>
      <c r="L138" s="258">
        <f t="shared" si="15"/>
        <v>-3.1925552001849655E-2</v>
      </c>
      <c r="M138" s="257">
        <f t="shared" si="16"/>
        <v>-1657</v>
      </c>
      <c r="N138" s="256">
        <f t="shared" si="17"/>
        <v>1.0168994861913938</v>
      </c>
      <c r="O138" s="250">
        <f t="shared" si="18"/>
        <v>25333</v>
      </c>
      <c r="Q138" s="29"/>
      <c r="R138" s="79"/>
      <c r="Z138" s="1"/>
    </row>
    <row r="139" spans="1:31" s="4" customFormat="1" x14ac:dyDescent="0.25">
      <c r="B139" s="233" t="s">
        <v>46</v>
      </c>
      <c r="C139" s="250">
        <v>1658</v>
      </c>
      <c r="D139" s="250">
        <v>2415</v>
      </c>
      <c r="E139" s="250">
        <v>3515</v>
      </c>
      <c r="F139" s="250">
        <v>14811</v>
      </c>
      <c r="G139" s="256">
        <f t="shared" si="12"/>
        <v>3.2136557610241825</v>
      </c>
      <c r="H139" s="264">
        <f t="shared" si="13"/>
        <v>11296</v>
      </c>
      <c r="I139" s="262">
        <f t="shared" si="14"/>
        <v>3.4541303338922691E-2</v>
      </c>
      <c r="J139" s="250">
        <v>7251</v>
      </c>
      <c r="K139" s="262">
        <f t="shared" si="14"/>
        <v>2.0232849722371484</v>
      </c>
      <c r="L139" s="258">
        <f t="shared" si="15"/>
        <v>-0.51043143609479436</v>
      </c>
      <c r="M139" s="257">
        <f t="shared" si="16"/>
        <v>-7560</v>
      </c>
      <c r="N139" s="256">
        <f t="shared" si="17"/>
        <v>3.3733413751507841</v>
      </c>
      <c r="O139" s="250">
        <f t="shared" si="18"/>
        <v>5593</v>
      </c>
      <c r="Q139" s="29"/>
      <c r="R139" s="79"/>
      <c r="Z139" s="1"/>
    </row>
    <row r="140" spans="1:31" s="4" customFormat="1" x14ac:dyDescent="0.25">
      <c r="B140" s="233" t="s">
        <v>48</v>
      </c>
      <c r="C140" s="250">
        <v>28320</v>
      </c>
      <c r="D140" s="250">
        <v>66989</v>
      </c>
      <c r="E140" s="250">
        <v>97391</v>
      </c>
      <c r="F140" s="250">
        <v>92103</v>
      </c>
      <c r="G140" s="256">
        <f t="shared" si="12"/>
        <v>-5.4296598248298134E-2</v>
      </c>
      <c r="H140" s="263">
        <f t="shared" si="13"/>
        <v>-5288</v>
      </c>
      <c r="I140" s="258">
        <f t="shared" si="14"/>
        <v>0.21479695236140683</v>
      </c>
      <c r="J140" s="250">
        <v>106284</v>
      </c>
      <c r="K140" s="258">
        <f t="shared" si="14"/>
        <v>-0.94716102453877848</v>
      </c>
      <c r="L140" s="258">
        <f t="shared" si="15"/>
        <v>0.15396892609361257</v>
      </c>
      <c r="M140" s="257">
        <f t="shared" si="16"/>
        <v>14181</v>
      </c>
      <c r="N140" s="256">
        <f t="shared" si="17"/>
        <v>2.7529661016949154</v>
      </c>
      <c r="O140" s="250">
        <f t="shared" si="18"/>
        <v>77964</v>
      </c>
      <c r="Q140" s="29"/>
      <c r="R140" s="79"/>
      <c r="Z140" s="1"/>
    </row>
    <row r="141" spans="1:31" s="4" customFormat="1" x14ac:dyDescent="0.25">
      <c r="B141" s="233" t="s">
        <v>50</v>
      </c>
      <c r="C141" s="250">
        <v>4963</v>
      </c>
      <c r="D141" s="250">
        <v>24120</v>
      </c>
      <c r="E141" s="250">
        <v>16359</v>
      </c>
      <c r="F141" s="250">
        <v>19520</v>
      </c>
      <c r="G141" s="256">
        <f t="shared" si="12"/>
        <v>0.19322696986368371</v>
      </c>
      <c r="H141" s="264">
        <f t="shared" si="13"/>
        <v>3161</v>
      </c>
      <c r="I141" s="262">
        <f t="shared" si="14"/>
        <v>4.5523343540326174E-2</v>
      </c>
      <c r="J141" s="250">
        <v>16099</v>
      </c>
      <c r="K141" s="262">
        <f t="shared" si="14"/>
        <v>0.56618305570481819</v>
      </c>
      <c r="L141" s="258">
        <f t="shared" si="15"/>
        <v>-0.17525614754098362</v>
      </c>
      <c r="M141" s="257">
        <f t="shared" si="16"/>
        <v>-3421</v>
      </c>
      <c r="N141" s="256">
        <f t="shared" si="17"/>
        <v>2.243804150715293</v>
      </c>
      <c r="O141" s="250">
        <f t="shared" si="18"/>
        <v>11136</v>
      </c>
      <c r="Q141" s="29"/>
      <c r="R141" s="79"/>
      <c r="Z141" s="1"/>
    </row>
    <row r="142" spans="1:31" s="4" customFormat="1" x14ac:dyDescent="0.25">
      <c r="B142" s="233" t="s">
        <v>51</v>
      </c>
      <c r="C142" s="250">
        <v>27791</v>
      </c>
      <c r="D142" s="250">
        <v>53247</v>
      </c>
      <c r="E142" s="250">
        <v>69865</v>
      </c>
      <c r="F142" s="250">
        <v>66121</v>
      </c>
      <c r="G142" s="256">
        <f t="shared" si="12"/>
        <v>-5.3589064624633198E-2</v>
      </c>
      <c r="H142" s="263">
        <f t="shared" si="13"/>
        <v>-3744</v>
      </c>
      <c r="I142" s="258">
        <f t="shared" si="14"/>
        <v>0.1542033298273518</v>
      </c>
      <c r="J142" s="250">
        <v>75793</v>
      </c>
      <c r="K142" s="258">
        <f t="shared" si="14"/>
        <v>-0.67060720042987643</v>
      </c>
      <c r="L142" s="258">
        <f t="shared" si="15"/>
        <v>0.14627727953297742</v>
      </c>
      <c r="M142" s="257">
        <f t="shared" si="16"/>
        <v>9672</v>
      </c>
      <c r="N142" s="256">
        <f t="shared" si="17"/>
        <v>1.7272498290813574</v>
      </c>
      <c r="O142" s="250">
        <f t="shared" si="18"/>
        <v>48002</v>
      </c>
      <c r="Q142" s="29"/>
      <c r="R142" s="79"/>
      <c r="Z142" s="1"/>
    </row>
    <row r="143" spans="1:31" s="4" customFormat="1" x14ac:dyDescent="0.25">
      <c r="B143" s="233" t="s">
        <v>49</v>
      </c>
      <c r="C143" s="250">
        <v>8684</v>
      </c>
      <c r="D143" s="250">
        <v>11001</v>
      </c>
      <c r="E143" s="250">
        <v>16289</v>
      </c>
      <c r="F143" s="250">
        <v>12024</v>
      </c>
      <c r="G143" s="256">
        <f t="shared" si="12"/>
        <v>-0.261833138928111</v>
      </c>
      <c r="H143" s="264">
        <f t="shared" si="13"/>
        <v>-4265</v>
      </c>
      <c r="I143" s="262">
        <f t="shared" si="14"/>
        <v>2.8041633336520589E-2</v>
      </c>
      <c r="J143" s="250">
        <v>11877</v>
      </c>
      <c r="K143" s="262">
        <f t="shared" si="14"/>
        <v>-0.76392620454952531</v>
      </c>
      <c r="L143" s="258">
        <f t="shared" si="15"/>
        <v>-1.2225548902195627E-2</v>
      </c>
      <c r="M143" s="257">
        <f t="shared" si="16"/>
        <v>-147</v>
      </c>
      <c r="N143" s="256">
        <f t="shared" si="17"/>
        <v>0.36768770152003682</v>
      </c>
      <c r="O143" s="250">
        <f t="shared" si="18"/>
        <v>3193</v>
      </c>
      <c r="Q143" s="29"/>
      <c r="R143" s="79"/>
      <c r="Z143" s="1"/>
    </row>
    <row r="144" spans="1:31" s="4" customFormat="1" x14ac:dyDescent="0.25">
      <c r="B144" s="233" t="s">
        <v>52</v>
      </c>
      <c r="C144" s="250">
        <v>20058</v>
      </c>
      <c r="D144" s="250">
        <v>34195</v>
      </c>
      <c r="E144" s="250">
        <v>19943</v>
      </c>
      <c r="F144" s="250">
        <v>20738</v>
      </c>
      <c r="G144" s="256">
        <f t="shared" si="12"/>
        <v>3.9863611292182632E-2</v>
      </c>
      <c r="H144" s="263">
        <f t="shared" si="13"/>
        <v>795</v>
      </c>
      <c r="I144" s="258">
        <f t="shared" si="14"/>
        <v>4.8363888234594477E-2</v>
      </c>
      <c r="J144" s="250">
        <v>18376</v>
      </c>
      <c r="K144" s="258">
        <f t="shared" si="14"/>
        <v>0.14239656098871575</v>
      </c>
      <c r="L144" s="258">
        <f t="shared" si="15"/>
        <v>-0.1138971935577201</v>
      </c>
      <c r="M144" s="257">
        <f t="shared" si="16"/>
        <v>-2362</v>
      </c>
      <c r="N144" s="256">
        <f t="shared" si="17"/>
        <v>-8.3856815235816118E-2</v>
      </c>
      <c r="O144" s="250">
        <f t="shared" si="18"/>
        <v>-1682</v>
      </c>
      <c r="Q144" s="29"/>
      <c r="R144" s="79"/>
      <c r="Z144" s="1"/>
    </row>
    <row r="145" spans="2:31" s="4" customFormat="1" x14ac:dyDescent="0.25">
      <c r="B145" s="233" t="s">
        <v>47</v>
      </c>
      <c r="C145" s="250">
        <v>8930</v>
      </c>
      <c r="D145" s="250">
        <v>21567</v>
      </c>
      <c r="E145" s="250">
        <v>23338</v>
      </c>
      <c r="F145" s="250">
        <v>31999</v>
      </c>
      <c r="G145" s="256">
        <f t="shared" si="12"/>
        <v>0.37111149198731685</v>
      </c>
      <c r="H145" s="264">
        <f t="shared" si="13"/>
        <v>8661</v>
      </c>
      <c r="I145" s="262">
        <f t="shared" si="14"/>
        <v>7.4626099894820552E-2</v>
      </c>
      <c r="J145" s="250">
        <v>37562</v>
      </c>
      <c r="K145" s="262">
        <f t="shared" si="14"/>
        <v>1.5513164965072541</v>
      </c>
      <c r="L145" s="258">
        <f t="shared" si="15"/>
        <v>0.17384918278696215</v>
      </c>
      <c r="M145" s="257">
        <f t="shared" si="16"/>
        <v>5563</v>
      </c>
      <c r="N145" s="256">
        <f t="shared" si="17"/>
        <v>3.2062709966405372</v>
      </c>
      <c r="O145" s="250">
        <f t="shared" si="18"/>
        <v>28632</v>
      </c>
      <c r="Q145" s="29"/>
      <c r="R145" s="79"/>
      <c r="Z145" s="1"/>
    </row>
    <row r="146" spans="2:31" s="4" customFormat="1" x14ac:dyDescent="0.25">
      <c r="B146" s="233" t="s">
        <v>203</v>
      </c>
      <c r="C146" s="250">
        <f>C136-SUM(C137:C145)</f>
        <v>14597</v>
      </c>
      <c r="D146" s="250">
        <f>D136-SUM(D137:D145)</f>
        <v>32366</v>
      </c>
      <c r="E146" s="250">
        <f>E136-SUM(E137:E145)</f>
        <v>41603</v>
      </c>
      <c r="F146" s="250">
        <f>F136-SUM(F137:F145)</f>
        <v>44199</v>
      </c>
      <c r="G146" s="256">
        <f t="shared" si="12"/>
        <v>6.2399346200995076E-2</v>
      </c>
      <c r="H146" s="263">
        <f t="shared" si="13"/>
        <v>2596</v>
      </c>
      <c r="I146" s="258">
        <f t="shared" si="14"/>
        <v>0.10307818960752441</v>
      </c>
      <c r="J146" s="250">
        <f>J136-SUM(J137:J145)</f>
        <v>37836</v>
      </c>
      <c r="K146" s="258">
        <f t="shared" si="14"/>
        <v>0.46498298405874977</v>
      </c>
      <c r="L146" s="258">
        <f t="shared" si="15"/>
        <v>-0.14396253308898388</v>
      </c>
      <c r="M146" s="257">
        <f t="shared" si="16"/>
        <v>-6363</v>
      </c>
      <c r="N146" s="256">
        <f t="shared" si="17"/>
        <v>1.592039460163047</v>
      </c>
      <c r="O146" s="250">
        <f t="shared" si="18"/>
        <v>23239</v>
      </c>
      <c r="Q146" s="29"/>
      <c r="R146" s="79"/>
      <c r="Z146" s="1"/>
    </row>
    <row r="147" spans="2:31" s="4" customFormat="1" ht="7.5" customHeight="1" x14ac:dyDescent="0.25">
      <c r="B147" s="234"/>
      <c r="C147" s="234"/>
      <c r="D147" s="234"/>
      <c r="E147" s="234"/>
      <c r="F147" s="234"/>
      <c r="G147" s="234"/>
      <c r="H147" s="234"/>
      <c r="I147" s="234"/>
      <c r="J147" s="234"/>
      <c r="K147" s="234"/>
      <c r="L147" s="234"/>
      <c r="M147" s="234"/>
      <c r="N147" s="234"/>
      <c r="O147" s="234"/>
      <c r="Z147" s="1" t="s">
        <v>182</v>
      </c>
    </row>
    <row r="148" spans="2:31" s="4" customFormat="1" x14ac:dyDescent="0.25">
      <c r="B148" s="167" t="s">
        <v>183</v>
      </c>
      <c r="C148" s="167"/>
      <c r="D148" s="167"/>
      <c r="E148" s="167"/>
      <c r="F148" s="167"/>
      <c r="G148" s="167"/>
      <c r="H148" s="167"/>
      <c r="I148" s="167"/>
      <c r="J148" s="167"/>
      <c r="K148" s="167"/>
      <c r="L148" s="167"/>
      <c r="M148" s="167"/>
      <c r="N148" s="167"/>
      <c r="O148" s="167"/>
      <c r="Z148" s="1" t="s">
        <v>184</v>
      </c>
    </row>
    <row r="149" spans="2:31" x14ac:dyDescent="0.25">
      <c r="Z149" s="1"/>
      <c r="AE149"/>
    </row>
  </sheetData>
  <mergeCells count="2">
    <mergeCell ref="B42:S42"/>
    <mergeCell ref="B52:S5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214B33-8F16-40B3-94C9-624D6AC44B79}">
  <sheetPr codeName="Hoja44">
    <tabColor theme="4" tint="0.39997558519241921"/>
  </sheetPr>
  <dimension ref="A4:E24"/>
  <sheetViews>
    <sheetView showGridLines="0" zoomScaleNormal="100" workbookViewId="0"/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65" t="s">
        <v>312</v>
      </c>
      <c r="C4" s="265"/>
      <c r="D4" s="265"/>
      <c r="E4" s="1" t="s">
        <v>66</v>
      </c>
    </row>
    <row r="5" spans="1:5" ht="10.5" customHeight="1" thickBot="1" x14ac:dyDescent="0.3">
      <c r="B5" s="106"/>
      <c r="C5" s="107"/>
      <c r="D5" s="106"/>
      <c r="E5" s="1" t="s">
        <v>67</v>
      </c>
    </row>
    <row r="6" spans="1:5" ht="22.5" thickTop="1" thickBot="1" x14ac:dyDescent="0.3">
      <c r="B6" s="108" t="s">
        <v>30</v>
      </c>
      <c r="C6" s="290" t="s">
        <v>206</v>
      </c>
      <c r="D6" s="291"/>
    </row>
    <row r="7" spans="1:5" ht="16.5" thickTop="1" thickBot="1" x14ac:dyDescent="0.3">
      <c r="B7" s="85"/>
      <c r="C7" s="111" t="s">
        <v>138</v>
      </c>
      <c r="D7" s="112" t="s">
        <v>139</v>
      </c>
    </row>
    <row r="8" spans="1:5" x14ac:dyDescent="0.25">
      <c r="A8" s="1" t="s">
        <v>70</v>
      </c>
      <c r="B8" s="114">
        <v>2024</v>
      </c>
      <c r="C8" s="115">
        <v>382237</v>
      </c>
      <c r="D8" s="116">
        <f t="shared" ref="D8:D21" si="0">C8/C9-1</f>
        <v>0.1179037385610211</v>
      </c>
    </row>
    <row r="9" spans="1:5" x14ac:dyDescent="0.25">
      <c r="A9" s="1"/>
      <c r="B9" s="114">
        <v>2023</v>
      </c>
      <c r="C9" s="115">
        <v>341923</v>
      </c>
      <c r="D9" s="116">
        <f t="shared" si="0"/>
        <v>-1.2268397484394011E-3</v>
      </c>
    </row>
    <row r="10" spans="1:5" x14ac:dyDescent="0.25">
      <c r="A10" s="1"/>
      <c r="B10" s="114">
        <v>2022</v>
      </c>
      <c r="C10" s="115">
        <v>342343</v>
      </c>
      <c r="D10" s="116">
        <f t="shared" si="0"/>
        <v>0.8841837605191174</v>
      </c>
    </row>
    <row r="11" spans="1:5" x14ac:dyDescent="0.25">
      <c r="A11" s="1"/>
      <c r="B11" s="114">
        <v>2021</v>
      </c>
      <c r="C11" s="115">
        <v>181693</v>
      </c>
      <c r="D11" s="116">
        <f t="shared" si="0"/>
        <v>0.76173484723609319</v>
      </c>
    </row>
    <row r="12" spans="1:5" x14ac:dyDescent="0.25">
      <c r="A12" s="1" t="s">
        <v>72</v>
      </c>
      <c r="B12" s="114">
        <v>2020</v>
      </c>
      <c r="C12" s="115">
        <v>103133</v>
      </c>
      <c r="D12" s="116">
        <f t="shared" si="0"/>
        <v>-0.71053067364987943</v>
      </c>
    </row>
    <row r="13" spans="1:5" x14ac:dyDescent="0.25">
      <c r="A13" s="1" t="s">
        <v>74</v>
      </c>
      <c r="B13" s="114">
        <v>2019</v>
      </c>
      <c r="C13" s="115">
        <v>356283</v>
      </c>
      <c r="D13" s="116">
        <f t="shared" si="0"/>
        <v>-5.8938434595146028E-5</v>
      </c>
    </row>
    <row r="14" spans="1:5" x14ac:dyDescent="0.25">
      <c r="A14" s="1" t="s">
        <v>76</v>
      </c>
      <c r="B14" s="114">
        <v>2018</v>
      </c>
      <c r="C14" s="115">
        <v>356304</v>
      </c>
      <c r="D14" s="116">
        <f t="shared" si="0"/>
        <v>8.1859696851923847E-2</v>
      </c>
    </row>
    <row r="15" spans="1:5" x14ac:dyDescent="0.25">
      <c r="A15" s="1" t="s">
        <v>78</v>
      </c>
      <c r="B15" s="114">
        <v>2017</v>
      </c>
      <c r="C15" s="115">
        <v>329344</v>
      </c>
      <c r="D15" s="116">
        <f t="shared" si="0"/>
        <v>3.1892594739398206E-2</v>
      </c>
    </row>
    <row r="16" spans="1:5" x14ac:dyDescent="0.25">
      <c r="A16" s="1" t="s">
        <v>80</v>
      </c>
      <c r="B16" s="114">
        <v>2016</v>
      </c>
      <c r="C16" s="115">
        <v>319165</v>
      </c>
      <c r="D16" s="116">
        <f>C16/C17-1</f>
        <v>9.6172934060989812E-2</v>
      </c>
    </row>
    <row r="17" spans="1:4" x14ac:dyDescent="0.25">
      <c r="A17" s="1" t="s">
        <v>82</v>
      </c>
      <c r="B17" s="114">
        <v>2015</v>
      </c>
      <c r="C17" s="115">
        <v>291163</v>
      </c>
      <c r="D17" s="116">
        <f t="shared" si="0"/>
        <v>-2.2148859140644461E-2</v>
      </c>
    </row>
    <row r="18" spans="1:4" x14ac:dyDescent="0.25">
      <c r="A18" s="1" t="s">
        <v>84</v>
      </c>
      <c r="B18" s="114">
        <v>2014</v>
      </c>
      <c r="C18" s="115">
        <v>297758</v>
      </c>
      <c r="D18" s="116">
        <f t="shared" si="0"/>
        <v>-9.8380610934812651E-2</v>
      </c>
    </row>
    <row r="19" spans="1:4" x14ac:dyDescent="0.25">
      <c r="A19" s="1" t="s">
        <v>86</v>
      </c>
      <c r="B19" s="114">
        <v>2013</v>
      </c>
      <c r="C19" s="115">
        <v>330248</v>
      </c>
      <c r="D19" s="116">
        <f t="shared" si="0"/>
        <v>5.55742006833706E-2</v>
      </c>
    </row>
    <row r="20" spans="1:4" x14ac:dyDescent="0.25">
      <c r="A20" s="1" t="s">
        <v>88</v>
      </c>
      <c r="B20" s="114">
        <v>2012</v>
      </c>
      <c r="C20" s="115">
        <v>312861</v>
      </c>
      <c r="D20" s="116">
        <f>C20/C21-1</f>
        <v>-6.7772924202785356E-2</v>
      </c>
    </row>
    <row r="21" spans="1:4" x14ac:dyDescent="0.25">
      <c r="A21" s="1" t="s">
        <v>90</v>
      </c>
      <c r="B21" s="114">
        <v>2011</v>
      </c>
      <c r="C21" s="115">
        <v>335606</v>
      </c>
      <c r="D21" s="116">
        <f t="shared" si="0"/>
        <v>-0.11080553325543752</v>
      </c>
    </row>
    <row r="22" spans="1:4" x14ac:dyDescent="0.25">
      <c r="A22" s="1" t="s">
        <v>92</v>
      </c>
      <c r="B22" s="114">
        <v>2010</v>
      </c>
      <c r="C22" s="115">
        <v>377427</v>
      </c>
      <c r="D22" s="116"/>
    </row>
    <row r="23" spans="1:4" ht="6" customHeight="1" x14ac:dyDescent="0.25"/>
    <row r="24" spans="1:4" x14ac:dyDescent="0.25">
      <c r="B24" s="105" t="s">
        <v>55</v>
      </c>
      <c r="C24" s="105"/>
      <c r="D24" s="105"/>
    </row>
  </sheetData>
  <mergeCells count="2">
    <mergeCell ref="B4:D4"/>
    <mergeCell ref="C6:D6"/>
  </mergeCells>
  <pageMargins left="0.7" right="0.7" top="0.75" bottom="0.75" header="0.3" footer="0.3"/>
  <pageSetup paperSize="9" orientation="portrait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60394D-2A72-4FA1-ADB1-8C5A894FFF1F}">
  <sheetPr codeName="Hoja45">
    <tabColor theme="4" tint="0.39997558519241921"/>
  </sheetPr>
  <dimension ref="A4:E24"/>
  <sheetViews>
    <sheetView showGridLines="0" zoomScaleNormal="100" workbookViewId="0"/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65" t="s">
        <v>313</v>
      </c>
      <c r="C4" s="265"/>
      <c r="D4" s="265"/>
      <c r="E4" s="1" t="s">
        <v>66</v>
      </c>
    </row>
    <row r="5" spans="1:5" ht="10.5" customHeight="1" thickBot="1" x14ac:dyDescent="0.3">
      <c r="B5" s="106"/>
      <c r="C5" s="107"/>
      <c r="D5" s="106"/>
      <c r="E5" s="1" t="s">
        <v>67</v>
      </c>
    </row>
    <row r="6" spans="1:5" ht="22.5" thickTop="1" thickBot="1" x14ac:dyDescent="0.3">
      <c r="B6" s="108" t="s">
        <v>30</v>
      </c>
      <c r="C6" s="290" t="s">
        <v>207</v>
      </c>
      <c r="D6" s="291"/>
    </row>
    <row r="7" spans="1:5" ht="16.5" thickTop="1" thickBot="1" x14ac:dyDescent="0.3">
      <c r="B7" s="85"/>
      <c r="C7" s="111" t="s">
        <v>138</v>
      </c>
      <c r="D7" s="112" t="s">
        <v>139</v>
      </c>
    </row>
    <row r="8" spans="1:5" x14ac:dyDescent="0.25">
      <c r="A8" s="1" t="s">
        <v>70</v>
      </c>
      <c r="B8" s="114">
        <v>2024</v>
      </c>
      <c r="C8" s="115">
        <v>275953</v>
      </c>
      <c r="D8" s="116">
        <f t="shared" ref="D8:D21" si="0">C8/C9-1</f>
        <v>0.1046073172684332</v>
      </c>
    </row>
    <row r="9" spans="1:5" x14ac:dyDescent="0.25">
      <c r="A9" s="1"/>
      <c r="B9" s="114">
        <v>2023</v>
      </c>
      <c r="C9" s="115">
        <v>249820</v>
      </c>
      <c r="D9" s="116">
        <f t="shared" si="0"/>
        <v>1.987328129592747E-2</v>
      </c>
    </row>
    <row r="10" spans="1:5" x14ac:dyDescent="0.25">
      <c r="A10" s="1"/>
      <c r="B10" s="114">
        <v>2022</v>
      </c>
      <c r="C10" s="115">
        <v>244952</v>
      </c>
      <c r="D10" s="116">
        <f t="shared" si="0"/>
        <v>1.1355140186915889</v>
      </c>
    </row>
    <row r="11" spans="1:5" x14ac:dyDescent="0.25">
      <c r="A11" s="1"/>
      <c r="B11" s="114">
        <v>2021</v>
      </c>
      <c r="C11" s="115">
        <v>114704</v>
      </c>
      <c r="D11" s="116">
        <f t="shared" si="0"/>
        <v>0.53320946894256349</v>
      </c>
    </row>
    <row r="12" spans="1:5" x14ac:dyDescent="0.25">
      <c r="A12" s="1" t="s">
        <v>72</v>
      </c>
      <c r="B12" s="114">
        <v>2020</v>
      </c>
      <c r="C12" s="115">
        <v>74813</v>
      </c>
      <c r="D12" s="116">
        <f t="shared" si="0"/>
        <v>-0.73677692202139899</v>
      </c>
    </row>
    <row r="13" spans="1:5" x14ac:dyDescent="0.25">
      <c r="A13" s="1" t="s">
        <v>74</v>
      </c>
      <c r="B13" s="114">
        <v>2019</v>
      </c>
      <c r="C13" s="115">
        <v>284219</v>
      </c>
      <c r="D13" s="116">
        <f t="shared" si="0"/>
        <v>6.5863884555382279E-2</v>
      </c>
    </row>
    <row r="14" spans="1:5" x14ac:dyDescent="0.25">
      <c r="A14" s="1" t="s">
        <v>76</v>
      </c>
      <c r="B14" s="114">
        <v>2018</v>
      </c>
      <c r="C14" s="115">
        <v>266656</v>
      </c>
      <c r="D14" s="116">
        <f t="shared" si="0"/>
        <v>0.10204368400388475</v>
      </c>
    </row>
    <row r="15" spans="1:5" x14ac:dyDescent="0.25">
      <c r="A15" s="1" t="s">
        <v>78</v>
      </c>
      <c r="B15" s="114">
        <v>2017</v>
      </c>
      <c r="C15" s="115">
        <v>241965</v>
      </c>
      <c r="D15" s="116">
        <f>C15/C16-1</f>
        <v>3.4980559226988728E-2</v>
      </c>
    </row>
    <row r="16" spans="1:5" x14ac:dyDescent="0.25">
      <c r="A16" s="1" t="s">
        <v>80</v>
      </c>
      <c r="B16" s="114">
        <v>2016</v>
      </c>
      <c r="C16" s="115">
        <v>233787</v>
      </c>
      <c r="D16" s="116">
        <f>C16/C17-1</f>
        <v>0.15508552456051938</v>
      </c>
    </row>
    <row r="17" spans="1:4" x14ac:dyDescent="0.25">
      <c r="A17" s="1" t="s">
        <v>82</v>
      </c>
      <c r="B17" s="114">
        <v>2015</v>
      </c>
      <c r="C17" s="115">
        <v>202398</v>
      </c>
      <c r="D17" s="116">
        <f t="shared" si="0"/>
        <v>-4.7597088178135016E-2</v>
      </c>
    </row>
    <row r="18" spans="1:4" x14ac:dyDescent="0.25">
      <c r="A18" s="1" t="s">
        <v>84</v>
      </c>
      <c r="B18" s="114">
        <v>2014</v>
      </c>
      <c r="C18" s="115">
        <v>212513</v>
      </c>
      <c r="D18" s="116">
        <f t="shared" si="0"/>
        <v>-0.1062169846236668</v>
      </c>
    </row>
    <row r="19" spans="1:4" x14ac:dyDescent="0.25">
      <c r="A19" s="1" t="s">
        <v>86</v>
      </c>
      <c r="B19" s="114">
        <v>2013</v>
      </c>
      <c r="C19" s="115">
        <v>237768</v>
      </c>
      <c r="D19" s="116">
        <f t="shared" si="0"/>
        <v>4.5345432483051562E-2</v>
      </c>
    </row>
    <row r="20" spans="1:4" x14ac:dyDescent="0.25">
      <c r="A20" s="1" t="s">
        <v>88</v>
      </c>
      <c r="B20" s="114">
        <v>2012</v>
      </c>
      <c r="C20" s="115">
        <v>227454</v>
      </c>
      <c r="D20" s="116">
        <f>C20/C21-1</f>
        <v>-4.5289702993569603E-2</v>
      </c>
    </row>
    <row r="21" spans="1:4" x14ac:dyDescent="0.25">
      <c r="A21" s="1" t="s">
        <v>90</v>
      </c>
      <c r="B21" s="114">
        <v>2011</v>
      </c>
      <c r="C21" s="115">
        <v>238244</v>
      </c>
      <c r="D21" s="116">
        <f t="shared" si="0"/>
        <v>-9.5175158751861E-2</v>
      </c>
    </row>
    <row r="22" spans="1:4" x14ac:dyDescent="0.25">
      <c r="A22" s="1" t="s">
        <v>92</v>
      </c>
      <c r="B22" s="114">
        <v>2010</v>
      </c>
      <c r="C22" s="115">
        <v>263304</v>
      </c>
      <c r="D22" s="116"/>
    </row>
    <row r="23" spans="1:4" ht="6" customHeight="1" x14ac:dyDescent="0.25"/>
    <row r="24" spans="1:4" x14ac:dyDescent="0.25">
      <c r="B24" s="105" t="s">
        <v>55</v>
      </c>
      <c r="C24" s="105"/>
      <c r="D24" s="105"/>
    </row>
  </sheetData>
  <mergeCells count="2">
    <mergeCell ref="B4:D4"/>
    <mergeCell ref="C6:D6"/>
  </mergeCells>
  <pageMargins left="0.7" right="0.7" top="0.75" bottom="0.75" header="0.3" footer="0.3"/>
  <pageSetup paperSize="9" orientation="portrait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EC105D-D995-40EE-9403-D7E2D6B11F69}">
  <sheetPr codeName="Hoja46">
    <tabColor theme="4" tint="0.39997558519241921"/>
  </sheetPr>
  <dimension ref="A4:E24"/>
  <sheetViews>
    <sheetView showGridLines="0" zoomScaleNormal="100" workbookViewId="0"/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65" t="s">
        <v>314</v>
      </c>
      <c r="C4" s="265"/>
      <c r="D4" s="265"/>
      <c r="E4" s="1" t="s">
        <v>66</v>
      </c>
    </row>
    <row r="5" spans="1:5" ht="10.5" customHeight="1" thickBot="1" x14ac:dyDescent="0.3">
      <c r="B5" s="106"/>
      <c r="C5" s="107"/>
      <c r="D5" s="106"/>
      <c r="E5" s="1" t="s">
        <v>67</v>
      </c>
    </row>
    <row r="6" spans="1:5" ht="22.5" thickTop="1" thickBot="1" x14ac:dyDescent="0.3">
      <c r="B6" s="108" t="s">
        <v>30</v>
      </c>
      <c r="C6" s="290" t="s">
        <v>208</v>
      </c>
      <c r="D6" s="291"/>
    </row>
    <row r="7" spans="1:5" ht="16.5" thickTop="1" thickBot="1" x14ac:dyDescent="0.3">
      <c r="B7" s="85"/>
      <c r="C7" s="111" t="s">
        <v>138</v>
      </c>
      <c r="D7" s="112" t="s">
        <v>139</v>
      </c>
    </row>
    <row r="8" spans="1:5" x14ac:dyDescent="0.25">
      <c r="A8" s="1" t="s">
        <v>70</v>
      </c>
      <c r="B8" s="114">
        <v>2024</v>
      </c>
      <c r="C8" s="115">
        <v>106284</v>
      </c>
      <c r="D8" s="116">
        <f t="shared" ref="D8:D21" si="0">C8/C9-1</f>
        <v>0.15396892609361257</v>
      </c>
    </row>
    <row r="9" spans="1:5" x14ac:dyDescent="0.25">
      <c r="A9" s="1"/>
      <c r="B9" s="114">
        <v>2023</v>
      </c>
      <c r="C9" s="115">
        <v>92103</v>
      </c>
      <c r="D9" s="116">
        <f t="shared" si="0"/>
        <v>-5.4296598248298134E-2</v>
      </c>
    </row>
    <row r="10" spans="1:5" x14ac:dyDescent="0.25">
      <c r="A10" s="1"/>
      <c r="B10" s="114">
        <v>2022</v>
      </c>
      <c r="C10" s="115">
        <v>97391</v>
      </c>
      <c r="D10" s="116">
        <f t="shared" si="0"/>
        <v>0.45383570436937415</v>
      </c>
    </row>
    <row r="11" spans="1:5" x14ac:dyDescent="0.25">
      <c r="A11" s="1"/>
      <c r="B11" s="114">
        <v>2021</v>
      </c>
      <c r="C11" s="115">
        <v>66989</v>
      </c>
      <c r="D11" s="116">
        <f t="shared" si="0"/>
        <v>1.3654307909604522</v>
      </c>
    </row>
    <row r="12" spans="1:5" x14ac:dyDescent="0.25">
      <c r="A12" s="1" t="s">
        <v>72</v>
      </c>
      <c r="B12" s="114">
        <v>2020</v>
      </c>
      <c r="C12" s="115">
        <v>28320</v>
      </c>
      <c r="D12" s="116">
        <f t="shared" si="0"/>
        <v>-0.6070159857904085</v>
      </c>
    </row>
    <row r="13" spans="1:5" x14ac:dyDescent="0.25">
      <c r="A13" s="1" t="s">
        <v>74</v>
      </c>
      <c r="B13" s="114">
        <v>2019</v>
      </c>
      <c r="C13" s="115">
        <v>72064</v>
      </c>
      <c r="D13" s="116">
        <f t="shared" si="0"/>
        <v>-0.19614492236301984</v>
      </c>
    </row>
    <row r="14" spans="1:5" x14ac:dyDescent="0.25">
      <c r="A14" s="1" t="s">
        <v>76</v>
      </c>
      <c r="B14" s="114">
        <v>2018</v>
      </c>
      <c r="C14" s="115">
        <v>89648</v>
      </c>
      <c r="D14" s="116">
        <f t="shared" si="0"/>
        <v>2.5967337689833947E-2</v>
      </c>
    </row>
    <row r="15" spans="1:5" x14ac:dyDescent="0.25">
      <c r="A15" s="1" t="s">
        <v>78</v>
      </c>
      <c r="B15" s="114">
        <v>2017</v>
      </c>
      <c r="C15" s="115">
        <v>87379</v>
      </c>
      <c r="D15" s="116">
        <f>C15/C16-1</f>
        <v>2.34369509709762E-2</v>
      </c>
    </row>
    <row r="16" spans="1:5" x14ac:dyDescent="0.25">
      <c r="A16" s="1" t="s">
        <v>80</v>
      </c>
      <c r="B16" s="114">
        <v>2016</v>
      </c>
      <c r="C16" s="115">
        <v>85378</v>
      </c>
      <c r="D16" s="116">
        <f>C16/C17-1</f>
        <v>-3.8156931222891877E-2</v>
      </c>
    </row>
    <row r="17" spans="1:4" x14ac:dyDescent="0.25">
      <c r="A17" s="1" t="s">
        <v>82</v>
      </c>
      <c r="B17" s="114">
        <v>2015</v>
      </c>
      <c r="C17" s="115">
        <v>88765</v>
      </c>
      <c r="D17" s="116">
        <f t="shared" si="0"/>
        <v>4.1292744442489315E-2</v>
      </c>
    </row>
    <row r="18" spans="1:4" x14ac:dyDescent="0.25">
      <c r="A18" s="1" t="s">
        <v>84</v>
      </c>
      <c r="B18" s="114">
        <v>2014</v>
      </c>
      <c r="C18" s="115">
        <v>85245</v>
      </c>
      <c r="D18" s="116">
        <f t="shared" si="0"/>
        <v>-7.823313148788924E-2</v>
      </c>
    </row>
    <row r="19" spans="1:4" x14ac:dyDescent="0.25">
      <c r="A19" s="1" t="s">
        <v>86</v>
      </c>
      <c r="B19" s="114">
        <v>2013</v>
      </c>
      <c r="C19" s="115">
        <v>92480</v>
      </c>
      <c r="D19" s="116">
        <f t="shared" si="0"/>
        <v>8.281522591825019E-2</v>
      </c>
    </row>
    <row r="20" spans="1:4" x14ac:dyDescent="0.25">
      <c r="A20" s="1" t="s">
        <v>88</v>
      </c>
      <c r="B20" s="114">
        <v>2012</v>
      </c>
      <c r="C20" s="115">
        <v>85407</v>
      </c>
      <c r="D20" s="116">
        <f>C20/C21-1</f>
        <v>-0.12278917852961113</v>
      </c>
    </row>
    <row r="21" spans="1:4" x14ac:dyDescent="0.25">
      <c r="A21" s="1" t="s">
        <v>90</v>
      </c>
      <c r="B21" s="114">
        <v>2011</v>
      </c>
      <c r="C21" s="115">
        <v>97362</v>
      </c>
      <c r="D21" s="116">
        <f t="shared" si="0"/>
        <v>-0.14686785310585948</v>
      </c>
    </row>
    <row r="22" spans="1:4" x14ac:dyDescent="0.25">
      <c r="A22" s="1" t="s">
        <v>92</v>
      </c>
      <c r="B22" s="114">
        <v>2010</v>
      </c>
      <c r="C22" s="115">
        <v>114123</v>
      </c>
      <c r="D22" s="116"/>
    </row>
    <row r="23" spans="1:4" ht="6" customHeight="1" x14ac:dyDescent="0.25"/>
    <row r="24" spans="1:4" x14ac:dyDescent="0.25">
      <c r="B24" s="105" t="s">
        <v>55</v>
      </c>
      <c r="C24" s="105"/>
      <c r="D24" s="105"/>
    </row>
  </sheetData>
  <mergeCells count="2">
    <mergeCell ref="B4:D4"/>
    <mergeCell ref="C6:D6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AF26C8-A0ED-4957-AAF1-A1CADA2627E8}">
  <sheetPr codeName="Hoja5">
    <tabColor rgb="FF92D050"/>
  </sheetPr>
  <dimension ref="B1:W54"/>
  <sheetViews>
    <sheetView showGridLines="0" zoomScaleNormal="100" workbookViewId="0"/>
  </sheetViews>
  <sheetFormatPr baseColWidth="10" defaultRowHeight="15" x14ac:dyDescent="0.25"/>
  <cols>
    <col min="1" max="1" width="15.5703125" customWidth="1"/>
    <col min="2" max="2" width="24.7109375" customWidth="1"/>
    <col min="3" max="8" width="11.42578125" customWidth="1"/>
    <col min="9" max="10" width="10.7109375" customWidth="1"/>
    <col min="11" max="11" width="12" customWidth="1"/>
    <col min="12" max="12" width="10.7109375" customWidth="1"/>
    <col min="13" max="18" width="12.28515625" customWidth="1"/>
    <col min="19" max="19" width="10.7109375" customWidth="1"/>
    <col min="20" max="20" width="13" customWidth="1"/>
    <col min="21" max="21" width="10.7109375" customWidth="1"/>
    <col min="24" max="24" width="14.42578125" customWidth="1"/>
    <col min="25" max="26" width="7.85546875" customWidth="1"/>
    <col min="27" max="27" width="8.140625" customWidth="1"/>
    <col min="28" max="28" width="9" customWidth="1"/>
    <col min="29" max="30" width="9.42578125" customWidth="1"/>
  </cols>
  <sheetData>
    <row r="1" spans="2:23" ht="42.75" customHeight="1" x14ac:dyDescent="0.25"/>
    <row r="3" spans="2:23" ht="30.75" customHeight="1" thickBot="1" x14ac:dyDescent="0.3">
      <c r="B3" s="82" t="str">
        <f>CONCATENATE("Plazas alojativas en funcionamiento Tenerife y municipios")</f>
        <v>Plazas alojativas en funcionamiento Tenerife y municipios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62"/>
      <c r="W3" s="62"/>
    </row>
    <row r="4" spans="2:23" ht="6.95" customHeight="1" x14ac:dyDescent="0.25">
      <c r="B4" s="83"/>
      <c r="C4" s="83"/>
      <c r="D4" s="83"/>
      <c r="E4" s="83"/>
      <c r="F4" s="83"/>
      <c r="G4" s="83"/>
      <c r="H4" s="83"/>
      <c r="I4" s="84"/>
      <c r="J4" s="83"/>
      <c r="K4" s="83"/>
      <c r="L4" s="83"/>
      <c r="M4" s="83"/>
      <c r="N4" s="83"/>
      <c r="O4" s="83"/>
      <c r="P4" s="83"/>
      <c r="Q4" s="83"/>
      <c r="R4" s="84"/>
      <c r="S4" s="84"/>
      <c r="T4" s="84"/>
      <c r="U4" s="84"/>
      <c r="V4" s="84"/>
      <c r="W4" s="84"/>
    </row>
    <row r="5" spans="2:23" ht="15.75" thickBot="1" x14ac:dyDescent="0.3">
      <c r="B5" s="85"/>
      <c r="C5" s="288" t="s">
        <v>58</v>
      </c>
      <c r="D5" s="288"/>
      <c r="E5" s="288"/>
      <c r="F5" s="288"/>
      <c r="G5" s="288"/>
      <c r="H5" s="288"/>
      <c r="I5" s="86"/>
      <c r="J5" s="86"/>
      <c r="K5" s="86"/>
      <c r="L5" s="86"/>
      <c r="M5" s="87"/>
      <c r="N5" s="289" t="s">
        <v>59</v>
      </c>
      <c r="O5" s="289"/>
      <c r="P5" s="289"/>
      <c r="Q5" s="289"/>
      <c r="R5" s="289"/>
      <c r="S5" s="86"/>
      <c r="T5" s="86"/>
      <c r="U5" s="86"/>
      <c r="V5" s="86"/>
      <c r="W5" s="87"/>
    </row>
    <row r="6" spans="2:23" ht="59.25" customHeight="1" x14ac:dyDescent="0.25">
      <c r="B6" s="88"/>
      <c r="C6" s="14">
        <v>2019</v>
      </c>
      <c r="D6" s="14">
        <v>2020</v>
      </c>
      <c r="E6" s="14">
        <v>2021</v>
      </c>
      <c r="F6" s="14">
        <v>2022</v>
      </c>
      <c r="G6" s="14">
        <v>2023</v>
      </c>
      <c r="H6" s="14">
        <v>2024</v>
      </c>
      <c r="I6" s="89" t="str">
        <f>CONCATENATE("var. ",RIGHT(H6,2),"/",RIGHT(G6,2))</f>
        <v>var. 24/23</v>
      </c>
      <c r="J6" s="89" t="str">
        <f>CONCATENATE("var. ",RIGHT(H6,2),"/",RIGHT(D6,2))</f>
        <v>var. 24/20</v>
      </c>
      <c r="K6" s="89" t="str">
        <f>CONCATENATE("dif. ",RIGHT(H6,2),"/",RIGHT(G6,2))</f>
        <v>dif. 24/23</v>
      </c>
      <c r="L6" s="89" t="str">
        <f>CONCATENATE("dif. ",RIGHT(H6,2),"/",RIGHT(D6,2))</f>
        <v>dif. 24/20</v>
      </c>
      <c r="M6" s="14" t="str">
        <f>CONCATENATE("cuota/ total isla ",RIGHT(H6,2))</f>
        <v>cuota/ total isla 24</v>
      </c>
      <c r="N6" s="90" t="s">
        <v>224</v>
      </c>
      <c r="O6" s="90" t="s">
        <v>225</v>
      </c>
      <c r="P6" s="90" t="s">
        <v>226</v>
      </c>
      <c r="Q6" s="90" t="s">
        <v>227</v>
      </c>
      <c r="R6" s="90" t="s">
        <v>228</v>
      </c>
      <c r="S6" s="89" t="str">
        <f>CONCATENATE("var. ",RIGHT(R6,2),"/",RIGHT(Q6,2))</f>
        <v>var. 25/24</v>
      </c>
      <c r="T6" s="89" t="str">
        <f>CONCATENATE("var. ",RIGHT(R6,2),"/",RIGHT(N6,2))</f>
        <v>var. 25/21</v>
      </c>
      <c r="U6" s="89" t="str">
        <f>CONCATENATE("dif. ",RIGHT(R6,2),"/",RIGHT(Q6,2))</f>
        <v>dif. 25/24</v>
      </c>
      <c r="V6" s="89" t="str">
        <f>CONCATENATE("dif. ",RIGHT(R6,2),"/",RIGHT(N6,2))</f>
        <v>dif. 25/21</v>
      </c>
      <c r="W6" s="87" t="str">
        <f>CONCATENATE("cuota/ total isla ",RIGHT(R6,2))</f>
        <v>cuota/ total isla 25</v>
      </c>
    </row>
    <row r="7" spans="2:23" x14ac:dyDescent="0.25">
      <c r="B7" s="91" t="s">
        <v>43</v>
      </c>
      <c r="C7" s="92">
        <v>132144</v>
      </c>
      <c r="D7" s="92">
        <v>66601</v>
      </c>
      <c r="E7" s="92">
        <v>82456</v>
      </c>
      <c r="F7" s="92">
        <v>123696</v>
      </c>
      <c r="G7" s="92">
        <v>125536</v>
      </c>
      <c r="H7" s="92">
        <v>127400</v>
      </c>
      <c r="I7" s="93">
        <f t="shared" ref="I7:I52" si="0">IFERROR(H7/G7-1,"-")</f>
        <v>1.4848330359418904E-2</v>
      </c>
      <c r="J7" s="93">
        <f t="shared" ref="J7:J52" si="1">IFERROR(H7/D7-1,"-")</f>
        <v>0.91288419092806405</v>
      </c>
      <c r="K7" s="92">
        <f t="shared" ref="K7:K52" si="2">IFERROR(H7-G7,"-")</f>
        <v>1864</v>
      </c>
      <c r="L7" s="92">
        <f t="shared" ref="L7:L52" si="3">IFERROR(H7-D7,"-")</f>
        <v>60799</v>
      </c>
      <c r="M7" s="93">
        <f>H7/H7</f>
        <v>1</v>
      </c>
      <c r="N7" s="92">
        <v>58432</v>
      </c>
      <c r="O7" s="92">
        <v>120593</v>
      </c>
      <c r="P7" s="92">
        <v>382461</v>
      </c>
      <c r="Q7" s="92">
        <v>383691</v>
      </c>
      <c r="R7" s="92">
        <v>383193</v>
      </c>
      <c r="S7" s="93">
        <f t="shared" ref="S7:S52" si="4">IFERROR(R7/Q7-1,"-")</f>
        <v>-1.2979194195329447E-3</v>
      </c>
      <c r="T7" s="93">
        <f t="shared" ref="T7:T52" si="5">IFERROR(R7/N7-1,"-")</f>
        <v>5.5579305859802846</v>
      </c>
      <c r="U7" s="92">
        <f t="shared" ref="U7:U52" si="6">IFERROR(R7-Q7,"-")</f>
        <v>-498</v>
      </c>
      <c r="V7" s="92">
        <f t="shared" ref="V7:V52" si="7">IFERROR(R7-N7,"-")</f>
        <v>324761</v>
      </c>
      <c r="W7" s="93">
        <f>R7/R7</f>
        <v>1</v>
      </c>
    </row>
    <row r="8" spans="2:23" x14ac:dyDescent="0.25">
      <c r="B8" s="94" t="s">
        <v>60</v>
      </c>
      <c r="C8" s="95">
        <v>88579</v>
      </c>
      <c r="D8" s="95">
        <v>44487</v>
      </c>
      <c r="E8" s="95">
        <v>56791</v>
      </c>
      <c r="F8" s="95">
        <v>89503</v>
      </c>
      <c r="G8" s="95">
        <v>89318</v>
      </c>
      <c r="H8" s="95">
        <v>91567</v>
      </c>
      <c r="I8" s="96">
        <f t="shared" si="0"/>
        <v>2.5179695022280013E-2</v>
      </c>
      <c r="J8" s="96">
        <f t="shared" si="1"/>
        <v>1.0582866904938522</v>
      </c>
      <c r="K8" s="95">
        <f t="shared" si="2"/>
        <v>2249</v>
      </c>
      <c r="L8" s="95">
        <f t="shared" si="3"/>
        <v>47080</v>
      </c>
      <c r="M8" s="96">
        <f>H8/H7</f>
        <v>0.71873626373626376</v>
      </c>
      <c r="N8" s="95">
        <v>36935</v>
      </c>
      <c r="O8" s="95">
        <v>88361</v>
      </c>
      <c r="P8" s="95">
        <v>90989</v>
      </c>
      <c r="Q8" s="95">
        <v>91609</v>
      </c>
      <c r="R8" s="95">
        <v>91713</v>
      </c>
      <c r="S8" s="96">
        <f t="shared" si="4"/>
        <v>1.1352596360618694E-3</v>
      </c>
      <c r="T8" s="96">
        <f t="shared" si="5"/>
        <v>1.4830919182347366</v>
      </c>
      <c r="U8" s="95">
        <f t="shared" si="6"/>
        <v>104</v>
      </c>
      <c r="V8" s="95">
        <f t="shared" si="7"/>
        <v>54778</v>
      </c>
      <c r="W8" s="96">
        <f>R8/R7</f>
        <v>0.23933892320579969</v>
      </c>
    </row>
    <row r="9" spans="2:23" x14ac:dyDescent="0.25">
      <c r="B9" s="97" t="s">
        <v>61</v>
      </c>
      <c r="C9" s="52">
        <v>69015</v>
      </c>
      <c r="D9" s="52">
        <v>34865</v>
      </c>
      <c r="E9" s="52">
        <v>45244</v>
      </c>
      <c r="F9" s="52">
        <v>71471</v>
      </c>
      <c r="G9" s="52">
        <v>72829</v>
      </c>
      <c r="H9" s="52">
        <v>74916</v>
      </c>
      <c r="I9" s="98">
        <f t="shared" si="0"/>
        <v>2.8656167186148274E-2</v>
      </c>
      <c r="J9" s="98">
        <f t="shared" si="1"/>
        <v>1.1487451599024809</v>
      </c>
      <c r="K9" s="52">
        <f t="shared" si="2"/>
        <v>2087</v>
      </c>
      <c r="L9" s="52">
        <f t="shared" si="3"/>
        <v>40051</v>
      </c>
      <c r="M9" s="98">
        <f>H9/H7</f>
        <v>0.58803767660910522</v>
      </c>
      <c r="N9" s="52">
        <v>27984</v>
      </c>
      <c r="O9" s="52">
        <v>71287</v>
      </c>
      <c r="P9" s="52">
        <v>72715</v>
      </c>
      <c r="Q9" s="52">
        <v>74327</v>
      </c>
      <c r="R9" s="52">
        <v>75068</v>
      </c>
      <c r="S9" s="98">
        <f t="shared" si="4"/>
        <v>9.9694592812840099E-3</v>
      </c>
      <c r="T9" s="98">
        <f t="shared" si="5"/>
        <v>1.6825328759291023</v>
      </c>
      <c r="U9" s="52">
        <f t="shared" si="6"/>
        <v>741</v>
      </c>
      <c r="V9" s="52">
        <f t="shared" si="7"/>
        <v>47084</v>
      </c>
      <c r="W9" s="98">
        <f>R9/R7</f>
        <v>0.1959012821215419</v>
      </c>
    </row>
    <row r="10" spans="2:23" x14ac:dyDescent="0.25">
      <c r="B10" s="97" t="s">
        <v>62</v>
      </c>
      <c r="C10" s="52">
        <v>19564</v>
      </c>
      <c r="D10" s="52">
        <v>9622</v>
      </c>
      <c r="E10" s="52">
        <v>11547</v>
      </c>
      <c r="F10" s="52">
        <v>18032</v>
      </c>
      <c r="G10" s="52">
        <v>16489</v>
      </c>
      <c r="H10" s="52">
        <v>16651</v>
      </c>
      <c r="I10" s="98">
        <f t="shared" si="0"/>
        <v>9.8247316392747752E-3</v>
      </c>
      <c r="J10" s="98">
        <f t="shared" si="1"/>
        <v>0.73051340677613807</v>
      </c>
      <c r="K10" s="52">
        <f t="shared" si="2"/>
        <v>162</v>
      </c>
      <c r="L10" s="52">
        <f t="shared" si="3"/>
        <v>7029</v>
      </c>
      <c r="M10" s="98">
        <f>H10/H7</f>
        <v>0.13069858712715857</v>
      </c>
      <c r="N10" s="52">
        <v>8951</v>
      </c>
      <c r="O10" s="52">
        <v>17074</v>
      </c>
      <c r="P10" s="52">
        <v>18274</v>
      </c>
      <c r="Q10" s="52">
        <v>17282</v>
      </c>
      <c r="R10" s="52">
        <v>16645</v>
      </c>
      <c r="S10" s="98">
        <f t="shared" si="4"/>
        <v>-3.6859159819465304E-2</v>
      </c>
      <c r="T10" s="98">
        <f t="shared" si="5"/>
        <v>0.8595687632666742</v>
      </c>
      <c r="U10" s="52">
        <f t="shared" si="6"/>
        <v>-637</v>
      </c>
      <c r="V10" s="52">
        <f t="shared" si="7"/>
        <v>7694</v>
      </c>
      <c r="W10" s="98">
        <f>R10/R7</f>
        <v>4.3437641084257801E-2</v>
      </c>
    </row>
    <row r="11" spans="2:23" x14ac:dyDescent="0.25">
      <c r="B11" s="94" t="s">
        <v>63</v>
      </c>
      <c r="C11" s="95">
        <v>43565</v>
      </c>
      <c r="D11" s="95">
        <v>22114</v>
      </c>
      <c r="E11" s="95">
        <v>25665</v>
      </c>
      <c r="F11" s="95">
        <v>34193</v>
      </c>
      <c r="G11" s="95">
        <v>36218</v>
      </c>
      <c r="H11" s="95">
        <v>35833</v>
      </c>
      <c r="I11" s="96">
        <f t="shared" si="0"/>
        <v>-1.0630073444143795E-2</v>
      </c>
      <c r="J11" s="96">
        <f t="shared" si="1"/>
        <v>0.62037623225106264</v>
      </c>
      <c r="K11" s="95">
        <f t="shared" si="2"/>
        <v>-385</v>
      </c>
      <c r="L11" s="95">
        <f t="shared" si="3"/>
        <v>13719</v>
      </c>
      <c r="M11" s="96">
        <f>H11/H7</f>
        <v>0.28126373626373624</v>
      </c>
      <c r="N11" s="95">
        <v>21497</v>
      </c>
      <c r="O11" s="95">
        <v>32232</v>
      </c>
      <c r="P11" s="95">
        <v>36498</v>
      </c>
      <c r="Q11" s="95">
        <v>36288</v>
      </c>
      <c r="R11" s="95">
        <v>36018</v>
      </c>
      <c r="S11" s="96">
        <f t="shared" si="4"/>
        <v>-7.440476190476164E-3</v>
      </c>
      <c r="T11" s="96">
        <f t="shared" si="5"/>
        <v>0.67548960320044649</v>
      </c>
      <c r="U11" s="95">
        <f t="shared" si="6"/>
        <v>-270</v>
      </c>
      <c r="V11" s="95">
        <f t="shared" si="7"/>
        <v>14521</v>
      </c>
      <c r="W11" s="96">
        <f>R11/R7</f>
        <v>9.3994410127533651E-2</v>
      </c>
    </row>
    <row r="12" spans="2:23" x14ac:dyDescent="0.25">
      <c r="B12" s="91" t="s">
        <v>44</v>
      </c>
      <c r="C12" s="99">
        <v>46648</v>
      </c>
      <c r="D12" s="99">
        <v>23742</v>
      </c>
      <c r="E12" s="99">
        <v>29697</v>
      </c>
      <c r="F12" s="99">
        <v>44233</v>
      </c>
      <c r="G12" s="99">
        <v>45902</v>
      </c>
      <c r="H12" s="99">
        <v>46521</v>
      </c>
      <c r="I12" s="100">
        <f t="shared" si="0"/>
        <v>1.3485251187312031E-2</v>
      </c>
      <c r="J12" s="100">
        <f t="shared" si="1"/>
        <v>0.95943896891584535</v>
      </c>
      <c r="K12" s="99">
        <f t="shared" si="2"/>
        <v>619</v>
      </c>
      <c r="L12" s="99">
        <f t="shared" si="3"/>
        <v>22779</v>
      </c>
      <c r="M12" s="93">
        <f>H12/H12</f>
        <v>1</v>
      </c>
      <c r="N12" s="99">
        <v>19529</v>
      </c>
      <c r="O12" s="99">
        <v>42725</v>
      </c>
      <c r="P12" s="99">
        <v>46105</v>
      </c>
      <c r="Q12" s="99">
        <v>46741</v>
      </c>
      <c r="R12" s="99">
        <v>46019</v>
      </c>
      <c r="S12" s="100">
        <f t="shared" si="4"/>
        <v>-1.5446823987505631E-2</v>
      </c>
      <c r="T12" s="100">
        <f t="shared" si="5"/>
        <v>1.3564442623790263</v>
      </c>
      <c r="U12" s="99">
        <f t="shared" si="6"/>
        <v>-722</v>
      </c>
      <c r="V12" s="99">
        <f t="shared" si="7"/>
        <v>26490</v>
      </c>
      <c r="W12" s="93">
        <f>R12/R12</f>
        <v>1</v>
      </c>
    </row>
    <row r="13" spans="2:23" x14ac:dyDescent="0.25">
      <c r="B13" s="94" t="s">
        <v>60</v>
      </c>
      <c r="C13" s="95">
        <v>34050</v>
      </c>
      <c r="D13" s="95">
        <v>17566</v>
      </c>
      <c r="E13" s="95">
        <v>23340</v>
      </c>
      <c r="F13" s="95">
        <v>34827</v>
      </c>
      <c r="G13" s="95">
        <v>34946</v>
      </c>
      <c r="H13" s="95">
        <v>35191</v>
      </c>
      <c r="I13" s="96">
        <f t="shared" si="0"/>
        <v>7.0108166886053702E-3</v>
      </c>
      <c r="J13" s="96">
        <f t="shared" si="1"/>
        <v>1.003358761243311</v>
      </c>
      <c r="K13" s="95">
        <f t="shared" si="2"/>
        <v>245</v>
      </c>
      <c r="L13" s="95">
        <f t="shared" si="3"/>
        <v>17625</v>
      </c>
      <c r="M13" s="96">
        <f>H13/H12</f>
        <v>0.75645407450398749</v>
      </c>
      <c r="N13" s="95">
        <v>14076</v>
      </c>
      <c r="O13" s="95">
        <v>34730</v>
      </c>
      <c r="P13" s="95">
        <v>35059</v>
      </c>
      <c r="Q13" s="95">
        <v>35650</v>
      </c>
      <c r="R13" s="95">
        <v>34388</v>
      </c>
      <c r="S13" s="96">
        <f t="shared" si="4"/>
        <v>-3.5399719495091131E-2</v>
      </c>
      <c r="T13" s="96">
        <f t="shared" si="5"/>
        <v>1.4430235862460927</v>
      </c>
      <c r="U13" s="95">
        <f t="shared" si="6"/>
        <v>-1262</v>
      </c>
      <c r="V13" s="95">
        <f t="shared" si="7"/>
        <v>20312</v>
      </c>
      <c r="W13" s="96">
        <f>R13/R12</f>
        <v>0.74725656793932937</v>
      </c>
    </row>
    <row r="14" spans="2:23" x14ac:dyDescent="0.25">
      <c r="B14" s="97" t="s">
        <v>61</v>
      </c>
      <c r="C14" s="52">
        <v>27660</v>
      </c>
      <c r="D14" s="52">
        <v>14847</v>
      </c>
      <c r="E14" s="52">
        <v>20181</v>
      </c>
      <c r="F14" s="52">
        <v>29820</v>
      </c>
      <c r="G14" s="52">
        <v>30493</v>
      </c>
      <c r="H14" s="52">
        <v>31141</v>
      </c>
      <c r="I14" s="98">
        <f t="shared" si="0"/>
        <v>2.1250778867281106E-2</v>
      </c>
      <c r="J14" s="98">
        <f t="shared" si="1"/>
        <v>1.0974607664848119</v>
      </c>
      <c r="K14" s="52">
        <f t="shared" si="2"/>
        <v>648</v>
      </c>
      <c r="L14" s="52">
        <f t="shared" si="3"/>
        <v>16294</v>
      </c>
      <c r="M14" s="98">
        <f>H14/H12</f>
        <v>0.66939661658175875</v>
      </c>
      <c r="N14" s="52">
        <v>12558</v>
      </c>
      <c r="O14" s="52">
        <v>29997</v>
      </c>
      <c r="P14" s="52">
        <v>29852</v>
      </c>
      <c r="Q14" s="52">
        <v>31325</v>
      </c>
      <c r="R14" s="52">
        <v>30383</v>
      </c>
      <c r="S14" s="98">
        <f t="shared" si="4"/>
        <v>-3.0071827613727065E-2</v>
      </c>
      <c r="T14" s="98">
        <f t="shared" si="5"/>
        <v>1.4194139194139193</v>
      </c>
      <c r="U14" s="52">
        <f t="shared" si="6"/>
        <v>-942</v>
      </c>
      <c r="V14" s="52">
        <f t="shared" si="7"/>
        <v>17825</v>
      </c>
      <c r="W14" s="98">
        <f>R14/R12</f>
        <v>0.66022729742063058</v>
      </c>
    </row>
    <row r="15" spans="2:23" x14ac:dyDescent="0.25">
      <c r="B15" s="97" t="s">
        <v>62</v>
      </c>
      <c r="C15" s="52">
        <v>6390</v>
      </c>
      <c r="D15" s="52">
        <v>2720</v>
      </c>
      <c r="E15" s="52">
        <v>3159</v>
      </c>
      <c r="F15" s="52">
        <v>5006</v>
      </c>
      <c r="G15" s="52">
        <v>4453</v>
      </c>
      <c r="H15" s="52">
        <v>4050</v>
      </c>
      <c r="I15" s="98">
        <f t="shared" si="0"/>
        <v>-9.0500785986975085E-2</v>
      </c>
      <c r="J15" s="98">
        <f t="shared" si="1"/>
        <v>0.48897058823529416</v>
      </c>
      <c r="K15" s="52">
        <f t="shared" si="2"/>
        <v>-403</v>
      </c>
      <c r="L15" s="52">
        <f t="shared" si="3"/>
        <v>1330</v>
      </c>
      <c r="M15" s="98">
        <f>H15/H12</f>
        <v>8.7057457922228673E-2</v>
      </c>
      <c r="N15" s="52">
        <v>1518</v>
      </c>
      <c r="O15" s="52">
        <v>4733</v>
      </c>
      <c r="P15" s="52">
        <v>5207</v>
      </c>
      <c r="Q15" s="52">
        <v>4325</v>
      </c>
      <c r="R15" s="52">
        <v>4005</v>
      </c>
      <c r="S15" s="98">
        <f t="shared" si="4"/>
        <v>-7.3988439306358345E-2</v>
      </c>
      <c r="T15" s="98">
        <f t="shared" si="5"/>
        <v>1.6383399209486167</v>
      </c>
      <c r="U15" s="52">
        <f t="shared" si="6"/>
        <v>-320</v>
      </c>
      <c r="V15" s="52">
        <f t="shared" si="7"/>
        <v>2487</v>
      </c>
      <c r="W15" s="98">
        <f>R15/R12</f>
        <v>8.7029270518698798E-2</v>
      </c>
    </row>
    <row r="16" spans="2:23" x14ac:dyDescent="0.25">
      <c r="B16" s="94" t="s">
        <v>63</v>
      </c>
      <c r="C16" s="95">
        <v>12598</v>
      </c>
      <c r="D16" s="95">
        <v>6176</v>
      </c>
      <c r="E16" s="95">
        <v>6357</v>
      </c>
      <c r="F16" s="95">
        <v>9406</v>
      </c>
      <c r="G16" s="95">
        <v>10956</v>
      </c>
      <c r="H16" s="95">
        <v>11330</v>
      </c>
      <c r="I16" s="96">
        <f t="shared" si="0"/>
        <v>3.4136546184738936E-2</v>
      </c>
      <c r="J16" s="96">
        <f t="shared" si="1"/>
        <v>0.83452072538860111</v>
      </c>
      <c r="K16" s="95">
        <f t="shared" si="2"/>
        <v>374</v>
      </c>
      <c r="L16" s="95">
        <f t="shared" si="3"/>
        <v>5154</v>
      </c>
      <c r="M16" s="96">
        <f>H16/H12</f>
        <v>0.24354592549601256</v>
      </c>
      <c r="N16" s="95">
        <v>5453</v>
      </c>
      <c r="O16" s="95">
        <v>7995</v>
      </c>
      <c r="P16" s="95">
        <v>11046</v>
      </c>
      <c r="Q16" s="95">
        <v>11091</v>
      </c>
      <c r="R16" s="95">
        <v>11631</v>
      </c>
      <c r="S16" s="96">
        <f t="shared" si="4"/>
        <v>4.8688125507168056E-2</v>
      </c>
      <c r="T16" s="96">
        <f t="shared" si="5"/>
        <v>1.1329543370621677</v>
      </c>
      <c r="U16" s="95">
        <f t="shared" si="6"/>
        <v>540</v>
      </c>
      <c r="V16" s="95">
        <f t="shared" si="7"/>
        <v>6178</v>
      </c>
      <c r="W16" s="96">
        <f>R16/R12</f>
        <v>0.25274343206067057</v>
      </c>
    </row>
    <row r="17" spans="2:23" x14ac:dyDescent="0.25">
      <c r="B17" s="91" t="s">
        <v>48</v>
      </c>
      <c r="C17" s="99">
        <v>21340</v>
      </c>
      <c r="D17" s="99">
        <v>9244</v>
      </c>
      <c r="E17" s="99">
        <v>11050</v>
      </c>
      <c r="F17" s="99">
        <v>18364</v>
      </c>
      <c r="G17" s="99">
        <v>19209</v>
      </c>
      <c r="H17" s="99">
        <v>20011</v>
      </c>
      <c r="I17" s="100">
        <f t="shared" si="0"/>
        <v>4.175126242906968E-2</v>
      </c>
      <c r="J17" s="100">
        <f t="shared" si="1"/>
        <v>1.1647555170921677</v>
      </c>
      <c r="K17" s="99">
        <f t="shared" si="2"/>
        <v>802</v>
      </c>
      <c r="L17" s="99">
        <f t="shared" si="3"/>
        <v>10767</v>
      </c>
      <c r="M17" s="93">
        <f>H17/H17</f>
        <v>1</v>
      </c>
      <c r="N17" s="99">
        <v>6518</v>
      </c>
      <c r="O17" s="99">
        <v>18123</v>
      </c>
      <c r="P17" s="99">
        <v>19061</v>
      </c>
      <c r="Q17" s="99">
        <v>19768</v>
      </c>
      <c r="R17" s="99">
        <v>19856</v>
      </c>
      <c r="S17" s="100">
        <f t="shared" si="4"/>
        <v>4.4516390125455274E-3</v>
      </c>
      <c r="T17" s="100">
        <f t="shared" si="5"/>
        <v>2.0463332310524702</v>
      </c>
      <c r="U17" s="99">
        <f t="shared" si="6"/>
        <v>88</v>
      </c>
      <c r="V17" s="99">
        <f t="shared" si="7"/>
        <v>13338</v>
      </c>
      <c r="W17" s="93">
        <f>R17/R17</f>
        <v>1</v>
      </c>
    </row>
    <row r="18" spans="2:23" x14ac:dyDescent="0.25">
      <c r="B18" s="94" t="s">
        <v>60</v>
      </c>
      <c r="C18" s="95">
        <v>16096</v>
      </c>
      <c r="D18" s="95">
        <v>6499</v>
      </c>
      <c r="E18" s="95">
        <v>8111</v>
      </c>
      <c r="F18" s="95">
        <v>14162</v>
      </c>
      <c r="G18" s="95">
        <v>14862</v>
      </c>
      <c r="H18" s="95">
        <v>15621</v>
      </c>
      <c r="I18" s="96">
        <f t="shared" si="0"/>
        <v>5.106984255147351E-2</v>
      </c>
      <c r="J18" s="96">
        <f t="shared" si="1"/>
        <v>1.4036005539313741</v>
      </c>
      <c r="K18" s="95">
        <f t="shared" si="2"/>
        <v>759</v>
      </c>
      <c r="L18" s="95">
        <f t="shared" si="3"/>
        <v>9122</v>
      </c>
      <c r="M18" s="96">
        <f>H18/H17</f>
        <v>0.78062065863774921</v>
      </c>
      <c r="N18" s="95">
        <v>3998</v>
      </c>
      <c r="O18" s="95">
        <v>14206</v>
      </c>
      <c r="P18" s="95">
        <v>14712</v>
      </c>
      <c r="Q18" s="95">
        <v>15421</v>
      </c>
      <c r="R18" s="95">
        <v>15415</v>
      </c>
      <c r="S18" s="96">
        <f t="shared" si="4"/>
        <v>-3.8907982621105841E-4</v>
      </c>
      <c r="T18" s="96">
        <f t="shared" si="5"/>
        <v>2.8556778389194597</v>
      </c>
      <c r="U18" s="95">
        <f t="shared" si="6"/>
        <v>-6</v>
      </c>
      <c r="V18" s="95">
        <f t="shared" si="7"/>
        <v>11417</v>
      </c>
      <c r="W18" s="96">
        <f>R18/R17</f>
        <v>0.77633964544722001</v>
      </c>
    </row>
    <row r="19" spans="2:23" x14ac:dyDescent="0.25">
      <c r="B19" s="97" t="s">
        <v>61</v>
      </c>
      <c r="C19" s="52">
        <v>12913</v>
      </c>
      <c r="D19" s="52">
        <v>5381</v>
      </c>
      <c r="E19" s="52">
        <v>6550</v>
      </c>
      <c r="F19" s="52">
        <v>12095</v>
      </c>
      <c r="G19" s="52">
        <v>12793</v>
      </c>
      <c r="H19" s="52">
        <v>13518</v>
      </c>
      <c r="I19" s="98">
        <f t="shared" si="0"/>
        <v>5.66716172907058E-2</v>
      </c>
      <c r="J19" s="98">
        <f t="shared" si="1"/>
        <v>1.5121724586508085</v>
      </c>
      <c r="K19" s="52">
        <f t="shared" si="2"/>
        <v>725</v>
      </c>
      <c r="L19" s="52">
        <f t="shared" si="3"/>
        <v>8137</v>
      </c>
      <c r="M19" s="98">
        <f>H19/H17</f>
        <v>0.67552845934735894</v>
      </c>
      <c r="N19" s="52">
        <v>2786</v>
      </c>
      <c r="O19" s="52">
        <v>11857</v>
      </c>
      <c r="P19" s="52">
        <v>12807</v>
      </c>
      <c r="Q19" s="52">
        <v>13318</v>
      </c>
      <c r="R19" s="52">
        <v>13306</v>
      </c>
      <c r="S19" s="98">
        <f t="shared" si="4"/>
        <v>-9.0103619162040793E-4</v>
      </c>
      <c r="T19" s="98">
        <f t="shared" si="5"/>
        <v>3.7760229720028713</v>
      </c>
      <c r="U19" s="52">
        <f t="shared" si="6"/>
        <v>-12</v>
      </c>
      <c r="V19" s="52">
        <f t="shared" si="7"/>
        <v>10520</v>
      </c>
      <c r="W19" s="98">
        <f>R19/R17</f>
        <v>0.67012489927477836</v>
      </c>
    </row>
    <row r="20" spans="2:23" x14ac:dyDescent="0.25">
      <c r="B20" s="97" t="s">
        <v>62</v>
      </c>
      <c r="C20" s="52">
        <v>3183</v>
      </c>
      <c r="D20" s="52">
        <v>1118</v>
      </c>
      <c r="E20" s="52">
        <v>1561</v>
      </c>
      <c r="F20" s="52">
        <v>2067</v>
      </c>
      <c r="G20" s="52">
        <v>2069</v>
      </c>
      <c r="H20" s="52">
        <v>2103</v>
      </c>
      <c r="I20" s="98">
        <f t="shared" si="0"/>
        <v>1.6433059449009191E-2</v>
      </c>
      <c r="J20" s="98">
        <f t="shared" si="1"/>
        <v>0.88103756708407865</v>
      </c>
      <c r="K20" s="52">
        <f t="shared" si="2"/>
        <v>34</v>
      </c>
      <c r="L20" s="52">
        <f t="shared" si="3"/>
        <v>985</v>
      </c>
      <c r="M20" s="98">
        <f>H20/H17</f>
        <v>0.10509219929039028</v>
      </c>
      <c r="N20" s="52">
        <v>1212</v>
      </c>
      <c r="O20" s="52">
        <v>2349</v>
      </c>
      <c r="P20" s="52">
        <v>1905</v>
      </c>
      <c r="Q20" s="52">
        <v>2103</v>
      </c>
      <c r="R20" s="52">
        <v>2109</v>
      </c>
      <c r="S20" s="98">
        <f t="shared" si="4"/>
        <v>2.8530670470756636E-3</v>
      </c>
      <c r="T20" s="98">
        <f t="shared" si="5"/>
        <v>0.74009900990099009</v>
      </c>
      <c r="U20" s="52">
        <f t="shared" si="6"/>
        <v>6</v>
      </c>
      <c r="V20" s="52">
        <f t="shared" si="7"/>
        <v>897</v>
      </c>
      <c r="W20" s="98">
        <f>R20/R17</f>
        <v>0.10621474617244157</v>
      </c>
    </row>
    <row r="21" spans="2:23" x14ac:dyDescent="0.25">
      <c r="B21" s="94" t="s">
        <v>63</v>
      </c>
      <c r="C21" s="95">
        <v>5245</v>
      </c>
      <c r="D21" s="95">
        <v>2745</v>
      </c>
      <c r="E21" s="95">
        <v>2940</v>
      </c>
      <c r="F21" s="95">
        <v>4202</v>
      </c>
      <c r="G21" s="95">
        <v>4347</v>
      </c>
      <c r="H21" s="95">
        <v>4390</v>
      </c>
      <c r="I21" s="96">
        <f t="shared" si="0"/>
        <v>9.8918794570967972E-3</v>
      </c>
      <c r="J21" s="96">
        <f t="shared" si="1"/>
        <v>0.59927140255009115</v>
      </c>
      <c r="K21" s="95">
        <f t="shared" si="2"/>
        <v>43</v>
      </c>
      <c r="L21" s="95">
        <f t="shared" si="3"/>
        <v>1645</v>
      </c>
      <c r="M21" s="96">
        <f>H21/H17</f>
        <v>0.21937934136225076</v>
      </c>
      <c r="N21" s="95">
        <v>2520</v>
      </c>
      <c r="O21" s="95">
        <v>3917</v>
      </c>
      <c r="P21" s="95">
        <v>4349</v>
      </c>
      <c r="Q21" s="95">
        <v>4347</v>
      </c>
      <c r="R21" s="95">
        <v>4441</v>
      </c>
      <c r="S21" s="96">
        <f t="shared" si="4"/>
        <v>2.1624108580630352E-2</v>
      </c>
      <c r="T21" s="96">
        <f t="shared" si="5"/>
        <v>0.76230158730158726</v>
      </c>
      <c r="U21" s="95">
        <f t="shared" si="6"/>
        <v>94</v>
      </c>
      <c r="V21" s="95">
        <f t="shared" si="7"/>
        <v>1921</v>
      </c>
      <c r="W21" s="96">
        <f>R21/R17</f>
        <v>0.22366035455278002</v>
      </c>
    </row>
    <row r="22" spans="2:23" x14ac:dyDescent="0.25">
      <c r="B22" s="91" t="s">
        <v>46</v>
      </c>
      <c r="C22" s="99">
        <v>1127</v>
      </c>
      <c r="D22" s="99">
        <v>437</v>
      </c>
      <c r="E22" s="99">
        <v>669</v>
      </c>
      <c r="F22" s="99">
        <v>857</v>
      </c>
      <c r="G22" s="99">
        <v>900</v>
      </c>
      <c r="H22" s="99">
        <v>900</v>
      </c>
      <c r="I22" s="100">
        <f t="shared" si="0"/>
        <v>0</v>
      </c>
      <c r="J22" s="100">
        <f t="shared" si="1"/>
        <v>1.0594965675057209</v>
      </c>
      <c r="K22" s="99">
        <f t="shared" si="2"/>
        <v>0</v>
      </c>
      <c r="L22" s="99">
        <f t="shared" si="3"/>
        <v>463</v>
      </c>
      <c r="M22" s="100">
        <f>H22/H22</f>
        <v>1</v>
      </c>
      <c r="N22" s="99">
        <v>482</v>
      </c>
      <c r="O22" s="99">
        <v>802</v>
      </c>
      <c r="P22" s="99">
        <v>912</v>
      </c>
      <c r="Q22" s="99">
        <v>912</v>
      </c>
      <c r="R22" s="99">
        <v>916</v>
      </c>
      <c r="S22" s="100">
        <f t="shared" si="4"/>
        <v>4.3859649122806044E-3</v>
      </c>
      <c r="T22" s="100">
        <f t="shared" si="5"/>
        <v>0.90041493775933601</v>
      </c>
      <c r="U22" s="99">
        <f t="shared" si="6"/>
        <v>4</v>
      </c>
      <c r="V22" s="99">
        <f t="shared" si="7"/>
        <v>434</v>
      </c>
      <c r="W22" s="100">
        <f>R22/R22</f>
        <v>1</v>
      </c>
    </row>
    <row r="23" spans="2:23" x14ac:dyDescent="0.25">
      <c r="B23" s="94" t="s">
        <v>60</v>
      </c>
      <c r="C23" s="95">
        <v>917</v>
      </c>
      <c r="D23" s="95">
        <v>386</v>
      </c>
      <c r="E23" s="95">
        <v>669</v>
      </c>
      <c r="F23" s="95">
        <v>855</v>
      </c>
      <c r="G23" s="95">
        <v>886</v>
      </c>
      <c r="H23" s="95">
        <v>886</v>
      </c>
      <c r="I23" s="96">
        <f t="shared" si="0"/>
        <v>0</v>
      </c>
      <c r="J23" s="96">
        <f t="shared" si="1"/>
        <v>1.295336787564767</v>
      </c>
      <c r="K23" s="95">
        <f t="shared" si="2"/>
        <v>0</v>
      </c>
      <c r="L23" s="95">
        <f t="shared" si="3"/>
        <v>500</v>
      </c>
      <c r="M23" s="96">
        <f>H23/H22</f>
        <v>0.98444444444444446</v>
      </c>
      <c r="N23" s="95">
        <v>482</v>
      </c>
      <c r="O23" s="95">
        <v>802</v>
      </c>
      <c r="P23" s="95">
        <v>898</v>
      </c>
      <c r="Q23" s="95">
        <v>898</v>
      </c>
      <c r="R23" s="95">
        <v>898</v>
      </c>
      <c r="S23" s="96">
        <f t="shared" si="4"/>
        <v>0</v>
      </c>
      <c r="T23" s="96">
        <f t="shared" si="5"/>
        <v>0.86307053941908718</v>
      </c>
      <c r="U23" s="95">
        <f t="shared" si="6"/>
        <v>0</v>
      </c>
      <c r="V23" s="95">
        <f t="shared" si="7"/>
        <v>416</v>
      </c>
      <c r="W23" s="96">
        <f>R23/R22</f>
        <v>0.98034934497816595</v>
      </c>
    </row>
    <row r="24" spans="2:23" x14ac:dyDescent="0.25">
      <c r="B24" s="94" t="s">
        <v>63</v>
      </c>
      <c r="C24" s="95">
        <v>210</v>
      </c>
      <c r="D24" s="95">
        <v>51</v>
      </c>
      <c r="E24" s="95">
        <v>0</v>
      </c>
      <c r="F24" s="95">
        <v>0</v>
      </c>
      <c r="G24" s="95">
        <v>0</v>
      </c>
      <c r="H24" s="95">
        <v>0</v>
      </c>
      <c r="I24" s="96" t="str">
        <f t="shared" si="0"/>
        <v>-</v>
      </c>
      <c r="J24" s="96">
        <f t="shared" si="1"/>
        <v>-1</v>
      </c>
      <c r="K24" s="95">
        <f t="shared" si="2"/>
        <v>0</v>
      </c>
      <c r="L24" s="95">
        <f t="shared" si="3"/>
        <v>-51</v>
      </c>
      <c r="M24" s="96">
        <f>H24/H22</f>
        <v>0</v>
      </c>
      <c r="N24" s="95">
        <v>0</v>
      </c>
      <c r="O24" s="95">
        <v>0</v>
      </c>
      <c r="P24" s="95">
        <v>0</v>
      </c>
      <c r="Q24" s="95">
        <v>0</v>
      </c>
      <c r="R24" s="95">
        <v>0</v>
      </c>
      <c r="S24" s="96" t="str">
        <f t="shared" si="4"/>
        <v>-</v>
      </c>
      <c r="T24" s="96" t="str">
        <f t="shared" si="5"/>
        <v>-</v>
      </c>
      <c r="U24" s="95">
        <f t="shared" si="6"/>
        <v>0</v>
      </c>
      <c r="V24" s="95">
        <f t="shared" si="7"/>
        <v>0</v>
      </c>
      <c r="W24" s="96">
        <f>R24/R22</f>
        <v>0</v>
      </c>
    </row>
    <row r="25" spans="2:23" x14ac:dyDescent="0.25">
      <c r="B25" s="91" t="s">
        <v>47</v>
      </c>
      <c r="C25" s="99">
        <v>4070</v>
      </c>
      <c r="D25" s="99">
        <v>2900</v>
      </c>
      <c r="E25" s="99">
        <v>4012</v>
      </c>
      <c r="F25" s="99">
        <v>4562</v>
      </c>
      <c r="G25" s="99">
        <v>4395</v>
      </c>
      <c r="H25" s="99">
        <v>4427</v>
      </c>
      <c r="I25" s="100">
        <f t="shared" si="0"/>
        <v>7.2810011376565065E-3</v>
      </c>
      <c r="J25" s="100">
        <f t="shared" si="1"/>
        <v>0.52655172413793094</v>
      </c>
      <c r="K25" s="99">
        <f t="shared" si="2"/>
        <v>32</v>
      </c>
      <c r="L25" s="99">
        <f t="shared" si="3"/>
        <v>1527</v>
      </c>
      <c r="M25" s="93">
        <f>H25/H25</f>
        <v>1</v>
      </c>
      <c r="N25" s="99">
        <v>3652</v>
      </c>
      <c r="O25" s="99">
        <v>4562</v>
      </c>
      <c r="P25" s="99">
        <v>4562</v>
      </c>
      <c r="Q25" s="99">
        <v>4562</v>
      </c>
      <c r="R25" s="99">
        <v>4616</v>
      </c>
      <c r="S25" s="100">
        <f t="shared" si="4"/>
        <v>1.1836913634370783E-2</v>
      </c>
      <c r="T25" s="100">
        <f t="shared" si="5"/>
        <v>0.2639649507119386</v>
      </c>
      <c r="U25" s="99">
        <f t="shared" si="6"/>
        <v>54</v>
      </c>
      <c r="V25" s="99">
        <f t="shared" si="7"/>
        <v>964</v>
      </c>
      <c r="W25" s="93">
        <f>R25/R25</f>
        <v>1</v>
      </c>
    </row>
    <row r="26" spans="2:23" x14ac:dyDescent="0.25">
      <c r="B26" s="94" t="s">
        <v>60</v>
      </c>
      <c r="C26" s="95">
        <v>4004</v>
      </c>
      <c r="D26" s="95">
        <v>2534</v>
      </c>
      <c r="E26" s="95">
        <v>3312</v>
      </c>
      <c r="F26" s="95">
        <v>3862</v>
      </c>
      <c r="G26" s="95">
        <v>3695</v>
      </c>
      <c r="H26" s="95">
        <v>3727</v>
      </c>
      <c r="I26" s="96">
        <f t="shared" si="0"/>
        <v>8.6603518267929225E-3</v>
      </c>
      <c r="J26" s="96">
        <f t="shared" si="1"/>
        <v>0.47079715864246241</v>
      </c>
      <c r="K26" s="95">
        <f t="shared" si="2"/>
        <v>32</v>
      </c>
      <c r="L26" s="95">
        <f t="shared" si="3"/>
        <v>1193</v>
      </c>
      <c r="M26" s="96">
        <f>H26/H25</f>
        <v>0.8418793765529704</v>
      </c>
      <c r="N26" s="95">
        <v>2952</v>
      </c>
      <c r="O26" s="95">
        <v>3862</v>
      </c>
      <c r="P26" s="95">
        <v>3862</v>
      </c>
      <c r="Q26" s="95">
        <v>3862</v>
      </c>
      <c r="R26" s="95">
        <v>3916</v>
      </c>
      <c r="S26" s="96">
        <f t="shared" si="4"/>
        <v>1.3982392542724043E-2</v>
      </c>
      <c r="T26" s="96">
        <f t="shared" si="5"/>
        <v>0.32655826558265577</v>
      </c>
      <c r="U26" s="95">
        <f t="shared" si="6"/>
        <v>54</v>
      </c>
      <c r="V26" s="95">
        <f t="shared" si="7"/>
        <v>964</v>
      </c>
      <c r="W26" s="96">
        <f>R26/R25</f>
        <v>0.84835355285961866</v>
      </c>
    </row>
    <row r="27" spans="2:23" x14ac:dyDescent="0.25">
      <c r="B27" s="97" t="s">
        <v>61</v>
      </c>
      <c r="C27" s="52">
        <v>3576</v>
      </c>
      <c r="D27" s="52">
        <v>0</v>
      </c>
      <c r="E27" s="52">
        <v>0</v>
      </c>
      <c r="F27" s="52">
        <v>0</v>
      </c>
      <c r="G27" s="52">
        <v>0</v>
      </c>
      <c r="H27" s="52">
        <v>0</v>
      </c>
      <c r="I27" s="98" t="str">
        <f t="shared" si="0"/>
        <v>-</v>
      </c>
      <c r="J27" s="98" t="str">
        <f t="shared" si="1"/>
        <v>-</v>
      </c>
      <c r="K27" s="52">
        <f t="shared" si="2"/>
        <v>0</v>
      </c>
      <c r="L27" s="52">
        <f t="shared" si="3"/>
        <v>0</v>
      </c>
      <c r="M27" s="98">
        <f>H27/H25</f>
        <v>0</v>
      </c>
      <c r="N27" s="52">
        <v>2952</v>
      </c>
      <c r="O27" s="52">
        <v>0</v>
      </c>
      <c r="P27" s="52">
        <v>0</v>
      </c>
      <c r="Q27" s="52">
        <v>0</v>
      </c>
      <c r="R27" s="52">
        <v>0</v>
      </c>
      <c r="S27" s="98" t="str">
        <f t="shared" si="4"/>
        <v>-</v>
      </c>
      <c r="T27" s="98">
        <f t="shared" si="5"/>
        <v>-1</v>
      </c>
      <c r="U27" s="52">
        <f t="shared" si="6"/>
        <v>0</v>
      </c>
      <c r="V27" s="52">
        <f t="shared" si="7"/>
        <v>-2952</v>
      </c>
      <c r="W27" s="98">
        <f>R27/R25</f>
        <v>0</v>
      </c>
    </row>
    <row r="28" spans="2:23" x14ac:dyDescent="0.25">
      <c r="B28" s="97" t="s">
        <v>62</v>
      </c>
      <c r="C28" s="52">
        <v>428</v>
      </c>
      <c r="D28" s="52">
        <v>0</v>
      </c>
      <c r="E28" s="52">
        <v>0</v>
      </c>
      <c r="F28" s="52">
        <v>0</v>
      </c>
      <c r="G28" s="52">
        <v>0</v>
      </c>
      <c r="H28" s="52">
        <v>0</v>
      </c>
      <c r="I28" s="98" t="str">
        <f t="shared" si="0"/>
        <v>-</v>
      </c>
      <c r="J28" s="98" t="str">
        <f t="shared" si="1"/>
        <v>-</v>
      </c>
      <c r="K28" s="52">
        <f t="shared" si="2"/>
        <v>0</v>
      </c>
      <c r="L28" s="52">
        <f t="shared" si="3"/>
        <v>0</v>
      </c>
      <c r="M28" s="98">
        <f>H28/H25</f>
        <v>0</v>
      </c>
      <c r="N28" s="52">
        <v>0</v>
      </c>
      <c r="O28" s="52">
        <v>0</v>
      </c>
      <c r="P28" s="52">
        <v>0</v>
      </c>
      <c r="Q28" s="52">
        <v>0</v>
      </c>
      <c r="R28" s="52">
        <v>0</v>
      </c>
      <c r="S28" s="98" t="str">
        <f t="shared" si="4"/>
        <v>-</v>
      </c>
      <c r="T28" s="98" t="str">
        <f t="shared" si="5"/>
        <v>-</v>
      </c>
      <c r="U28" s="52">
        <f t="shared" si="6"/>
        <v>0</v>
      </c>
      <c r="V28" s="52">
        <f t="shared" si="7"/>
        <v>0</v>
      </c>
      <c r="W28" s="98">
        <f>R28/R25</f>
        <v>0</v>
      </c>
    </row>
    <row r="29" spans="2:23" x14ac:dyDescent="0.25">
      <c r="B29" s="91" t="s">
        <v>48</v>
      </c>
      <c r="C29" s="99">
        <v>21340</v>
      </c>
      <c r="D29" s="99">
        <v>9244</v>
      </c>
      <c r="E29" s="99">
        <v>11050</v>
      </c>
      <c r="F29" s="99">
        <v>18364</v>
      </c>
      <c r="G29" s="99">
        <v>19209</v>
      </c>
      <c r="H29" s="99">
        <v>20011</v>
      </c>
      <c r="I29" s="100">
        <f t="shared" si="0"/>
        <v>4.175126242906968E-2</v>
      </c>
      <c r="J29" s="100">
        <f t="shared" si="1"/>
        <v>1.1647555170921677</v>
      </c>
      <c r="K29" s="99">
        <f t="shared" si="2"/>
        <v>802</v>
      </c>
      <c r="L29" s="99">
        <f t="shared" si="3"/>
        <v>10767</v>
      </c>
      <c r="M29" s="93">
        <f>H29/H29</f>
        <v>1</v>
      </c>
      <c r="N29" s="99">
        <v>6518</v>
      </c>
      <c r="O29" s="99">
        <v>18123</v>
      </c>
      <c r="P29" s="99">
        <v>19061</v>
      </c>
      <c r="Q29" s="99">
        <v>19768</v>
      </c>
      <c r="R29" s="99">
        <v>19856</v>
      </c>
      <c r="S29" s="100">
        <f t="shared" si="4"/>
        <v>4.4516390125455274E-3</v>
      </c>
      <c r="T29" s="100">
        <f t="shared" si="5"/>
        <v>2.0463332310524702</v>
      </c>
      <c r="U29" s="99">
        <f t="shared" si="6"/>
        <v>88</v>
      </c>
      <c r="V29" s="99">
        <f t="shared" si="7"/>
        <v>13338</v>
      </c>
      <c r="W29" s="93">
        <f>R29/R29</f>
        <v>1</v>
      </c>
    </row>
    <row r="30" spans="2:23" x14ac:dyDescent="0.25">
      <c r="B30" s="94" t="s">
        <v>60</v>
      </c>
      <c r="C30" s="95">
        <v>16096</v>
      </c>
      <c r="D30" s="95">
        <v>6499</v>
      </c>
      <c r="E30" s="95">
        <v>8111</v>
      </c>
      <c r="F30" s="95">
        <v>14162</v>
      </c>
      <c r="G30" s="95">
        <v>14862</v>
      </c>
      <c r="H30" s="95">
        <v>15621</v>
      </c>
      <c r="I30" s="96">
        <f t="shared" si="0"/>
        <v>5.106984255147351E-2</v>
      </c>
      <c r="J30" s="96">
        <f t="shared" si="1"/>
        <v>1.4036005539313741</v>
      </c>
      <c r="K30" s="95">
        <f t="shared" si="2"/>
        <v>759</v>
      </c>
      <c r="L30" s="95">
        <f t="shared" si="3"/>
        <v>9122</v>
      </c>
      <c r="M30" s="96">
        <f>H30/H29</f>
        <v>0.78062065863774921</v>
      </c>
      <c r="N30" s="95">
        <v>3998</v>
      </c>
      <c r="O30" s="95">
        <v>14206</v>
      </c>
      <c r="P30" s="95">
        <v>14712</v>
      </c>
      <c r="Q30" s="95">
        <v>15421</v>
      </c>
      <c r="R30" s="95">
        <v>15415</v>
      </c>
      <c r="S30" s="96">
        <f t="shared" si="4"/>
        <v>-3.8907982621105841E-4</v>
      </c>
      <c r="T30" s="96">
        <f t="shared" si="5"/>
        <v>2.8556778389194597</v>
      </c>
      <c r="U30" s="95">
        <f t="shared" si="6"/>
        <v>-6</v>
      </c>
      <c r="V30" s="95">
        <f t="shared" si="7"/>
        <v>11417</v>
      </c>
      <c r="W30" s="96">
        <f>R30/R29</f>
        <v>0.77633964544722001</v>
      </c>
    </row>
    <row r="31" spans="2:23" x14ac:dyDescent="0.25">
      <c r="B31" s="97" t="s">
        <v>61</v>
      </c>
      <c r="C31" s="52">
        <v>12913</v>
      </c>
      <c r="D31" s="52">
        <v>5381</v>
      </c>
      <c r="E31" s="52">
        <v>6550</v>
      </c>
      <c r="F31" s="52">
        <v>12095</v>
      </c>
      <c r="G31" s="52">
        <v>12793</v>
      </c>
      <c r="H31" s="52">
        <v>13518</v>
      </c>
      <c r="I31" s="98">
        <f t="shared" si="0"/>
        <v>5.66716172907058E-2</v>
      </c>
      <c r="J31" s="98">
        <f t="shared" si="1"/>
        <v>1.5121724586508085</v>
      </c>
      <c r="K31" s="52">
        <f t="shared" si="2"/>
        <v>725</v>
      </c>
      <c r="L31" s="52">
        <f t="shared" si="3"/>
        <v>8137</v>
      </c>
      <c r="M31" s="98">
        <f>H31/H29</f>
        <v>0.67552845934735894</v>
      </c>
      <c r="N31" s="52">
        <v>2786</v>
      </c>
      <c r="O31" s="52">
        <v>11857</v>
      </c>
      <c r="P31" s="52">
        <v>12807</v>
      </c>
      <c r="Q31" s="52">
        <v>13318</v>
      </c>
      <c r="R31" s="52">
        <v>13306</v>
      </c>
      <c r="S31" s="98">
        <f t="shared" si="4"/>
        <v>-9.0103619162040793E-4</v>
      </c>
      <c r="T31" s="98">
        <f t="shared" si="5"/>
        <v>3.7760229720028713</v>
      </c>
      <c r="U31" s="52">
        <f t="shared" si="6"/>
        <v>-12</v>
      </c>
      <c r="V31" s="52">
        <f t="shared" si="7"/>
        <v>10520</v>
      </c>
      <c r="W31" s="98">
        <f>R31/R29</f>
        <v>0.67012489927477836</v>
      </c>
    </row>
    <row r="32" spans="2:23" x14ac:dyDescent="0.25">
      <c r="B32" s="97" t="s">
        <v>62</v>
      </c>
      <c r="C32" s="52">
        <v>3183</v>
      </c>
      <c r="D32" s="52">
        <v>1118</v>
      </c>
      <c r="E32" s="52">
        <v>1561</v>
      </c>
      <c r="F32" s="52">
        <v>2067</v>
      </c>
      <c r="G32" s="52">
        <v>2069</v>
      </c>
      <c r="H32" s="52">
        <v>2103</v>
      </c>
      <c r="I32" s="98">
        <f t="shared" si="0"/>
        <v>1.6433059449009191E-2</v>
      </c>
      <c r="J32" s="98">
        <f t="shared" si="1"/>
        <v>0.88103756708407865</v>
      </c>
      <c r="K32" s="52">
        <f t="shared" si="2"/>
        <v>34</v>
      </c>
      <c r="L32" s="52">
        <f t="shared" si="3"/>
        <v>985</v>
      </c>
      <c r="M32" s="98">
        <f>H32/H29</f>
        <v>0.10509219929039028</v>
      </c>
      <c r="N32" s="52">
        <v>1212</v>
      </c>
      <c r="O32" s="52">
        <v>2349</v>
      </c>
      <c r="P32" s="52">
        <v>1905</v>
      </c>
      <c r="Q32" s="52">
        <v>2103</v>
      </c>
      <c r="R32" s="52">
        <v>2109</v>
      </c>
      <c r="S32" s="98">
        <f t="shared" si="4"/>
        <v>2.8530670470756636E-3</v>
      </c>
      <c r="T32" s="98">
        <f t="shared" si="5"/>
        <v>0.74009900990099009</v>
      </c>
      <c r="U32" s="52">
        <f t="shared" si="6"/>
        <v>6</v>
      </c>
      <c r="V32" s="52">
        <f t="shared" si="7"/>
        <v>897</v>
      </c>
      <c r="W32" s="98">
        <f>R32/R29</f>
        <v>0.10621474617244157</v>
      </c>
    </row>
    <row r="33" spans="2:23" x14ac:dyDescent="0.25">
      <c r="B33" s="94" t="s">
        <v>63</v>
      </c>
      <c r="C33" s="95">
        <v>5245</v>
      </c>
      <c r="D33" s="95">
        <v>2745</v>
      </c>
      <c r="E33" s="95">
        <v>2940</v>
      </c>
      <c r="F33" s="95">
        <v>4202</v>
      </c>
      <c r="G33" s="95">
        <v>4347</v>
      </c>
      <c r="H33" s="95">
        <v>4390</v>
      </c>
      <c r="I33" s="96">
        <f t="shared" si="0"/>
        <v>9.8918794570967972E-3</v>
      </c>
      <c r="J33" s="96">
        <f t="shared" si="1"/>
        <v>0.59927140255009115</v>
      </c>
      <c r="K33" s="95">
        <f t="shared" si="2"/>
        <v>43</v>
      </c>
      <c r="L33" s="95">
        <f t="shared" si="3"/>
        <v>1645</v>
      </c>
      <c r="M33" s="96">
        <f>H33/H29</f>
        <v>0.21937934136225076</v>
      </c>
      <c r="N33" s="95">
        <v>2520</v>
      </c>
      <c r="O33" s="95">
        <v>3917</v>
      </c>
      <c r="P33" s="95">
        <v>4349</v>
      </c>
      <c r="Q33" s="95">
        <v>4347</v>
      </c>
      <c r="R33" s="95">
        <v>4441</v>
      </c>
      <c r="S33" s="96">
        <f t="shared" si="4"/>
        <v>2.1624108580630352E-2</v>
      </c>
      <c r="T33" s="96">
        <f t="shared" si="5"/>
        <v>0.76230158730158726</v>
      </c>
      <c r="U33" s="95">
        <f t="shared" si="6"/>
        <v>94</v>
      </c>
      <c r="V33" s="95">
        <f t="shared" si="7"/>
        <v>1921</v>
      </c>
      <c r="W33" s="96">
        <f>R33/R29</f>
        <v>0.22366035455278002</v>
      </c>
    </row>
    <row r="34" spans="2:23" x14ac:dyDescent="0.25">
      <c r="B34" s="91" t="s">
        <v>49</v>
      </c>
      <c r="C34" s="99">
        <v>713</v>
      </c>
      <c r="D34" s="99">
        <v>339</v>
      </c>
      <c r="E34" s="99">
        <v>532</v>
      </c>
      <c r="F34" s="99">
        <v>654</v>
      </c>
      <c r="G34" s="99">
        <v>663</v>
      </c>
      <c r="H34" s="99">
        <v>673</v>
      </c>
      <c r="I34" s="100">
        <f t="shared" si="0"/>
        <v>1.5082956259426794E-2</v>
      </c>
      <c r="J34" s="100">
        <f t="shared" si="1"/>
        <v>0.98525073746312675</v>
      </c>
      <c r="K34" s="99">
        <f t="shared" si="2"/>
        <v>10</v>
      </c>
      <c r="L34" s="99">
        <f t="shared" si="3"/>
        <v>334</v>
      </c>
      <c r="M34" s="93">
        <f>H34/H34</f>
        <v>1</v>
      </c>
      <c r="N34" s="99">
        <v>465</v>
      </c>
      <c r="O34" s="99">
        <v>625</v>
      </c>
      <c r="P34" s="99">
        <v>663</v>
      </c>
      <c r="Q34" s="99">
        <v>673</v>
      </c>
      <c r="R34" s="99">
        <v>673</v>
      </c>
      <c r="S34" s="100">
        <f t="shared" si="4"/>
        <v>0</v>
      </c>
      <c r="T34" s="100">
        <f t="shared" si="5"/>
        <v>0.44731182795698921</v>
      </c>
      <c r="U34" s="99">
        <f t="shared" si="6"/>
        <v>0</v>
      </c>
      <c r="V34" s="99">
        <f t="shared" si="7"/>
        <v>208</v>
      </c>
      <c r="W34" s="93">
        <f>R34/R34</f>
        <v>1</v>
      </c>
    </row>
    <row r="35" spans="2:23" x14ac:dyDescent="0.25">
      <c r="B35" s="94" t="s">
        <v>60</v>
      </c>
      <c r="C35" s="95">
        <v>713</v>
      </c>
      <c r="D35" s="95">
        <v>339</v>
      </c>
      <c r="E35" s="95">
        <v>532</v>
      </c>
      <c r="F35" s="95">
        <v>654</v>
      </c>
      <c r="G35" s="95">
        <v>663</v>
      </c>
      <c r="H35" s="95">
        <v>673</v>
      </c>
      <c r="I35" s="96">
        <f t="shared" si="0"/>
        <v>1.5082956259426794E-2</v>
      </c>
      <c r="J35" s="96">
        <f t="shared" si="1"/>
        <v>0.98525073746312675</v>
      </c>
      <c r="K35" s="95">
        <f t="shared" si="2"/>
        <v>10</v>
      </c>
      <c r="L35" s="95">
        <f t="shared" si="3"/>
        <v>334</v>
      </c>
      <c r="M35" s="96">
        <f>H35/H34</f>
        <v>1</v>
      </c>
      <c r="N35" s="95">
        <v>465</v>
      </c>
      <c r="O35" s="95">
        <v>625</v>
      </c>
      <c r="P35" s="95">
        <v>663</v>
      </c>
      <c r="Q35" s="95">
        <v>673</v>
      </c>
      <c r="R35" s="95">
        <v>673</v>
      </c>
      <c r="S35" s="96">
        <f t="shared" si="4"/>
        <v>0</v>
      </c>
      <c r="T35" s="96">
        <f t="shared" si="5"/>
        <v>0.44731182795698921</v>
      </c>
      <c r="U35" s="95">
        <f t="shared" si="6"/>
        <v>0</v>
      </c>
      <c r="V35" s="95">
        <f t="shared" si="7"/>
        <v>208</v>
      </c>
      <c r="W35" s="96">
        <f>R35/R34</f>
        <v>1</v>
      </c>
    </row>
    <row r="36" spans="2:23" x14ac:dyDescent="0.25">
      <c r="B36" s="91" t="s">
        <v>50</v>
      </c>
      <c r="C36" s="99">
        <v>4124</v>
      </c>
      <c r="D36" s="99">
        <v>2132</v>
      </c>
      <c r="E36" s="99">
        <v>2908</v>
      </c>
      <c r="F36" s="99">
        <v>4497</v>
      </c>
      <c r="G36" s="99">
        <v>4790</v>
      </c>
      <c r="H36" s="99">
        <v>4797</v>
      </c>
      <c r="I36" s="100">
        <f t="shared" si="0"/>
        <v>1.4613778705636626E-3</v>
      </c>
      <c r="J36" s="100">
        <f t="shared" si="1"/>
        <v>1.25</v>
      </c>
      <c r="K36" s="99">
        <f t="shared" si="2"/>
        <v>7</v>
      </c>
      <c r="L36" s="99">
        <f t="shared" si="3"/>
        <v>2665</v>
      </c>
      <c r="M36" s="100">
        <f>H36/H36</f>
        <v>1</v>
      </c>
      <c r="N36" s="99">
        <v>2054</v>
      </c>
      <c r="O36" s="99">
        <v>4169</v>
      </c>
      <c r="P36" s="99">
        <v>4791</v>
      </c>
      <c r="Q36" s="99">
        <v>4797</v>
      </c>
      <c r="R36" s="99">
        <v>4863</v>
      </c>
      <c r="S36" s="100">
        <f t="shared" si="4"/>
        <v>1.3758599124452875E-2</v>
      </c>
      <c r="T36" s="100">
        <f t="shared" si="5"/>
        <v>1.3675754625121712</v>
      </c>
      <c r="U36" s="99">
        <f t="shared" si="6"/>
        <v>66</v>
      </c>
      <c r="V36" s="99">
        <f t="shared" si="7"/>
        <v>2809</v>
      </c>
      <c r="W36" s="100">
        <f>R36/R36</f>
        <v>1</v>
      </c>
    </row>
    <row r="37" spans="2:23" x14ac:dyDescent="0.25">
      <c r="B37" s="94" t="s">
        <v>60</v>
      </c>
      <c r="C37" s="95">
        <v>1801</v>
      </c>
      <c r="D37" s="95">
        <v>1559</v>
      </c>
      <c r="E37" s="95">
        <v>2545</v>
      </c>
      <c r="F37" s="95">
        <v>3640</v>
      </c>
      <c r="G37" s="95">
        <v>3915</v>
      </c>
      <c r="H37" s="95">
        <v>3915</v>
      </c>
      <c r="I37" s="96">
        <f t="shared" si="0"/>
        <v>0</v>
      </c>
      <c r="J37" s="96">
        <f t="shared" si="1"/>
        <v>1.511225144323284</v>
      </c>
      <c r="K37" s="95">
        <f t="shared" si="2"/>
        <v>0</v>
      </c>
      <c r="L37" s="95">
        <f t="shared" si="3"/>
        <v>2356</v>
      </c>
      <c r="M37" s="96">
        <f>H37/H36</f>
        <v>0.81613508442776739</v>
      </c>
      <c r="N37" s="95">
        <v>2010</v>
      </c>
      <c r="O37" s="95">
        <v>3325</v>
      </c>
      <c r="P37" s="95">
        <v>3915</v>
      </c>
      <c r="Q37" s="95">
        <v>3915</v>
      </c>
      <c r="R37" s="95">
        <v>3981</v>
      </c>
      <c r="S37" s="96">
        <f t="shared" si="4"/>
        <v>1.6858237547892729E-2</v>
      </c>
      <c r="T37" s="96">
        <f t="shared" si="5"/>
        <v>0.9805970149253731</v>
      </c>
      <c r="U37" s="95">
        <f t="shared" si="6"/>
        <v>66</v>
      </c>
      <c r="V37" s="95">
        <f t="shared" si="7"/>
        <v>1971</v>
      </c>
      <c r="W37" s="96">
        <f>R37/R36</f>
        <v>0.81863047501542263</v>
      </c>
    </row>
    <row r="38" spans="2:23" x14ac:dyDescent="0.25">
      <c r="B38" s="94" t="s">
        <v>63</v>
      </c>
      <c r="C38" s="95">
        <v>2323</v>
      </c>
      <c r="D38" s="95">
        <v>573</v>
      </c>
      <c r="E38" s="95">
        <v>363</v>
      </c>
      <c r="F38" s="95">
        <v>857</v>
      </c>
      <c r="G38" s="95">
        <v>875</v>
      </c>
      <c r="H38" s="95">
        <v>882</v>
      </c>
      <c r="I38" s="96">
        <f t="shared" si="0"/>
        <v>8.0000000000000071E-3</v>
      </c>
      <c r="J38" s="96">
        <f t="shared" si="1"/>
        <v>0.53926701570680624</v>
      </c>
      <c r="K38" s="95">
        <f t="shared" si="2"/>
        <v>7</v>
      </c>
      <c r="L38" s="95">
        <f t="shared" si="3"/>
        <v>309</v>
      </c>
      <c r="M38" s="96">
        <f>H38/H36</f>
        <v>0.18386491557223264</v>
      </c>
      <c r="N38" s="95">
        <v>44</v>
      </c>
      <c r="O38" s="95">
        <v>844</v>
      </c>
      <c r="P38" s="95">
        <v>876</v>
      </c>
      <c r="Q38" s="95">
        <v>882</v>
      </c>
      <c r="R38" s="95">
        <v>882</v>
      </c>
      <c r="S38" s="96">
        <f t="shared" si="4"/>
        <v>0</v>
      </c>
      <c r="T38" s="96">
        <f t="shared" si="5"/>
        <v>19.045454545454547</v>
      </c>
      <c r="U38" s="95">
        <f t="shared" si="6"/>
        <v>0</v>
      </c>
      <c r="V38" s="95">
        <f t="shared" si="7"/>
        <v>838</v>
      </c>
      <c r="W38" s="96">
        <f>R38/R36</f>
        <v>0.18136952498457742</v>
      </c>
    </row>
    <row r="39" spans="2:23" x14ac:dyDescent="0.25">
      <c r="B39" s="91" t="s">
        <v>51</v>
      </c>
      <c r="C39" s="99">
        <v>2690</v>
      </c>
      <c r="D39" s="99">
        <v>1526</v>
      </c>
      <c r="E39" s="99">
        <v>2270</v>
      </c>
      <c r="F39" s="99">
        <v>2680</v>
      </c>
      <c r="G39" s="99">
        <v>2774</v>
      </c>
      <c r="H39" s="99">
        <v>2714</v>
      </c>
      <c r="I39" s="100">
        <f t="shared" si="0"/>
        <v>-2.1629416005767843E-2</v>
      </c>
      <c r="J39" s="100">
        <f t="shared" si="1"/>
        <v>0.77850589777195278</v>
      </c>
      <c r="K39" s="99">
        <f t="shared" si="2"/>
        <v>-60</v>
      </c>
      <c r="L39" s="99">
        <f t="shared" si="3"/>
        <v>1188</v>
      </c>
      <c r="M39" s="93">
        <f>H39/H39</f>
        <v>1</v>
      </c>
      <c r="N39" s="99">
        <v>1657</v>
      </c>
      <c r="O39" s="99">
        <v>2493</v>
      </c>
      <c r="P39" s="99">
        <v>2832</v>
      </c>
      <c r="Q39" s="99">
        <v>2766</v>
      </c>
      <c r="R39" s="99">
        <v>2679</v>
      </c>
      <c r="S39" s="100">
        <f t="shared" si="4"/>
        <v>-3.1453362255965289E-2</v>
      </c>
      <c r="T39" s="100">
        <f t="shared" si="5"/>
        <v>0.6167773083886543</v>
      </c>
      <c r="U39" s="99">
        <f t="shared" si="6"/>
        <v>-87</v>
      </c>
      <c r="V39" s="99">
        <f t="shared" si="7"/>
        <v>1022</v>
      </c>
      <c r="W39" s="93">
        <f>R39/R39</f>
        <v>1</v>
      </c>
    </row>
    <row r="40" spans="2:23" x14ac:dyDescent="0.25">
      <c r="B40" s="94" t="s">
        <v>60</v>
      </c>
      <c r="C40" s="95">
        <v>2690</v>
      </c>
      <c r="D40" s="95">
        <v>1526</v>
      </c>
      <c r="E40" s="95">
        <v>2270</v>
      </c>
      <c r="F40" s="95">
        <v>2680</v>
      </c>
      <c r="G40" s="95">
        <v>2774</v>
      </c>
      <c r="H40" s="95">
        <v>2714</v>
      </c>
      <c r="I40" s="96">
        <f t="shared" si="0"/>
        <v>-2.1629416005767843E-2</v>
      </c>
      <c r="J40" s="96">
        <f t="shared" si="1"/>
        <v>0.77850589777195278</v>
      </c>
      <c r="K40" s="95">
        <f t="shared" si="2"/>
        <v>-60</v>
      </c>
      <c r="L40" s="95">
        <f t="shared" si="3"/>
        <v>1188</v>
      </c>
      <c r="M40" s="96">
        <f>H40/H39</f>
        <v>1</v>
      </c>
      <c r="N40" s="95">
        <v>1657</v>
      </c>
      <c r="O40" s="95">
        <v>2493</v>
      </c>
      <c r="P40" s="95">
        <v>2832</v>
      </c>
      <c r="Q40" s="95">
        <v>2766</v>
      </c>
      <c r="R40" s="95">
        <v>2679</v>
      </c>
      <c r="S40" s="96">
        <f t="shared" si="4"/>
        <v>-3.1453362255965289E-2</v>
      </c>
      <c r="T40" s="96">
        <f t="shared" si="5"/>
        <v>0.6167773083886543</v>
      </c>
      <c r="U40" s="95">
        <f t="shared" si="6"/>
        <v>-87</v>
      </c>
      <c r="V40" s="95">
        <f t="shared" si="7"/>
        <v>1022</v>
      </c>
      <c r="W40" s="96">
        <f>R40/R39</f>
        <v>1</v>
      </c>
    </row>
    <row r="41" spans="2:23" x14ac:dyDescent="0.25">
      <c r="B41" s="97" t="s">
        <v>61</v>
      </c>
      <c r="C41" s="52">
        <v>1381</v>
      </c>
      <c r="D41" s="52">
        <v>846</v>
      </c>
      <c r="E41" s="52">
        <v>1514</v>
      </c>
      <c r="F41" s="52">
        <v>1660</v>
      </c>
      <c r="G41" s="52">
        <v>1674</v>
      </c>
      <c r="H41" s="52">
        <v>1711</v>
      </c>
      <c r="I41" s="98">
        <f t="shared" si="0"/>
        <v>2.2102747909199527E-2</v>
      </c>
      <c r="J41" s="98">
        <f t="shared" si="1"/>
        <v>1.0224586288416075</v>
      </c>
      <c r="K41" s="52">
        <f t="shared" si="2"/>
        <v>37</v>
      </c>
      <c r="L41" s="52">
        <f t="shared" si="3"/>
        <v>865</v>
      </c>
      <c r="M41" s="98">
        <f>H41/H39</f>
        <v>0.63043478260869568</v>
      </c>
      <c r="N41" s="52">
        <v>937</v>
      </c>
      <c r="O41" s="52">
        <v>1666</v>
      </c>
      <c r="P41" s="52">
        <v>1674</v>
      </c>
      <c r="Q41" s="52">
        <v>1674</v>
      </c>
      <c r="R41" s="52">
        <v>1847</v>
      </c>
      <c r="S41" s="98">
        <f t="shared" si="4"/>
        <v>0.10334528076463556</v>
      </c>
      <c r="T41" s="98">
        <f t="shared" si="5"/>
        <v>0.97118463180362857</v>
      </c>
      <c r="U41" s="52">
        <f t="shared" si="6"/>
        <v>173</v>
      </c>
      <c r="V41" s="52">
        <f t="shared" si="7"/>
        <v>910</v>
      </c>
      <c r="W41" s="98">
        <f>R41/R39</f>
        <v>0.68943635684957072</v>
      </c>
    </row>
    <row r="42" spans="2:23" x14ac:dyDescent="0.25">
      <c r="B42" s="97" t="s">
        <v>62</v>
      </c>
      <c r="C42" s="52">
        <v>1309</v>
      </c>
      <c r="D42" s="52">
        <v>680</v>
      </c>
      <c r="E42" s="52">
        <v>756</v>
      </c>
      <c r="F42" s="52">
        <v>1020</v>
      </c>
      <c r="G42" s="52">
        <v>1100</v>
      </c>
      <c r="H42" s="52">
        <v>1003</v>
      </c>
      <c r="I42" s="98">
        <f t="shared" si="0"/>
        <v>-8.8181818181818139E-2</v>
      </c>
      <c r="J42" s="98">
        <f t="shared" si="1"/>
        <v>0.47500000000000009</v>
      </c>
      <c r="K42" s="52">
        <f t="shared" si="2"/>
        <v>-97</v>
      </c>
      <c r="L42" s="52">
        <f t="shared" si="3"/>
        <v>323</v>
      </c>
      <c r="M42" s="98">
        <f>H42/H39</f>
        <v>0.36956521739130432</v>
      </c>
      <c r="N42" s="52">
        <v>720</v>
      </c>
      <c r="O42" s="52">
        <v>827</v>
      </c>
      <c r="P42" s="52">
        <v>1158</v>
      </c>
      <c r="Q42" s="52">
        <v>1092</v>
      </c>
      <c r="R42" s="52">
        <v>832</v>
      </c>
      <c r="S42" s="98">
        <f t="shared" si="4"/>
        <v>-0.23809523809523814</v>
      </c>
      <c r="T42" s="98">
        <f t="shared" si="5"/>
        <v>0.15555555555555545</v>
      </c>
      <c r="U42" s="52">
        <f t="shared" si="6"/>
        <v>-260</v>
      </c>
      <c r="V42" s="52">
        <f t="shared" si="7"/>
        <v>112</v>
      </c>
      <c r="W42" s="98">
        <f>R42/R39</f>
        <v>0.31056364315042928</v>
      </c>
    </row>
    <row r="43" spans="2:23" x14ac:dyDescent="0.25">
      <c r="B43" s="91" t="s">
        <v>52</v>
      </c>
      <c r="C43" s="99">
        <v>6890</v>
      </c>
      <c r="D43" s="99">
        <v>3786</v>
      </c>
      <c r="E43" s="99">
        <v>4393</v>
      </c>
      <c r="F43" s="99">
        <v>6413</v>
      </c>
      <c r="G43" s="99">
        <v>6356</v>
      </c>
      <c r="H43" s="99">
        <v>6429</v>
      </c>
      <c r="I43" s="100">
        <f t="shared" si="0"/>
        <v>1.1485210824417891E-2</v>
      </c>
      <c r="J43" s="100">
        <f t="shared" si="1"/>
        <v>0.69809825673534065</v>
      </c>
      <c r="K43" s="99">
        <f t="shared" si="2"/>
        <v>73</v>
      </c>
      <c r="L43" s="99">
        <f t="shared" si="3"/>
        <v>2643</v>
      </c>
      <c r="M43" s="93">
        <f>H43/H43</f>
        <v>1</v>
      </c>
      <c r="N43" s="99">
        <v>3828</v>
      </c>
      <c r="O43" s="99">
        <v>6412</v>
      </c>
      <c r="P43" s="99">
        <v>6415</v>
      </c>
      <c r="Q43" s="99">
        <v>6415</v>
      </c>
      <c r="R43" s="99">
        <v>6497</v>
      </c>
      <c r="S43" s="100">
        <f t="shared" si="4"/>
        <v>1.278254091971931E-2</v>
      </c>
      <c r="T43" s="100">
        <f t="shared" si="5"/>
        <v>0.69723092998955072</v>
      </c>
      <c r="U43" s="99">
        <f t="shared" si="6"/>
        <v>82</v>
      </c>
      <c r="V43" s="99">
        <f t="shared" si="7"/>
        <v>2669</v>
      </c>
      <c r="W43" s="93">
        <f>R43/R43</f>
        <v>1</v>
      </c>
    </row>
    <row r="44" spans="2:23" x14ac:dyDescent="0.25">
      <c r="B44" s="94" t="s">
        <v>60</v>
      </c>
      <c r="C44" s="95">
        <v>4440</v>
      </c>
      <c r="D44" s="95">
        <v>2472</v>
      </c>
      <c r="E44" s="95">
        <v>2822</v>
      </c>
      <c r="F44" s="95">
        <v>4753</v>
      </c>
      <c r="G44" s="95">
        <v>4696</v>
      </c>
      <c r="H44" s="95">
        <v>4755</v>
      </c>
      <c r="I44" s="96">
        <f t="shared" si="0"/>
        <v>1.2563884156729044E-2</v>
      </c>
      <c r="J44" s="96">
        <f t="shared" si="1"/>
        <v>0.92354368932038833</v>
      </c>
      <c r="K44" s="95">
        <f t="shared" si="2"/>
        <v>59</v>
      </c>
      <c r="L44" s="95">
        <f t="shared" si="3"/>
        <v>2283</v>
      </c>
      <c r="M44" s="96">
        <f>H44/H43</f>
        <v>0.73961735884274382</v>
      </c>
      <c r="N44" s="95">
        <v>2346</v>
      </c>
      <c r="O44" s="95">
        <v>4752</v>
      </c>
      <c r="P44" s="95">
        <v>4755</v>
      </c>
      <c r="Q44" s="95">
        <v>4755</v>
      </c>
      <c r="R44" s="95">
        <v>4755</v>
      </c>
      <c r="S44" s="96">
        <f t="shared" si="4"/>
        <v>0</v>
      </c>
      <c r="T44" s="96">
        <f t="shared" si="5"/>
        <v>1.0268542199488491</v>
      </c>
      <c r="U44" s="95">
        <f t="shared" si="6"/>
        <v>0</v>
      </c>
      <c r="V44" s="95">
        <f t="shared" si="7"/>
        <v>2409</v>
      </c>
      <c r="W44" s="96">
        <f>R44/R43</f>
        <v>0.73187625057718952</v>
      </c>
    </row>
    <row r="45" spans="2:23" x14ac:dyDescent="0.25">
      <c r="B45" s="97" t="s">
        <v>61</v>
      </c>
      <c r="C45" s="52">
        <v>3379</v>
      </c>
      <c r="D45" s="52">
        <v>0</v>
      </c>
      <c r="E45" s="52">
        <v>2173</v>
      </c>
      <c r="F45" s="52">
        <v>3692</v>
      </c>
      <c r="G45" s="52">
        <v>3635</v>
      </c>
      <c r="H45" s="52">
        <v>3694</v>
      </c>
      <c r="I45" s="98">
        <f t="shared" si="0"/>
        <v>1.6231086657496618E-2</v>
      </c>
      <c r="J45" s="98" t="str">
        <f t="shared" si="1"/>
        <v>-</v>
      </c>
      <c r="K45" s="52">
        <f t="shared" si="2"/>
        <v>59</v>
      </c>
      <c r="L45" s="52">
        <f t="shared" si="3"/>
        <v>3694</v>
      </c>
      <c r="M45" s="98">
        <f>H45/H43</f>
        <v>0.57458391662778041</v>
      </c>
      <c r="N45" s="52">
        <v>0</v>
      </c>
      <c r="O45" s="52">
        <v>3691</v>
      </c>
      <c r="P45" s="52">
        <v>3694</v>
      </c>
      <c r="Q45" s="52">
        <v>3694</v>
      </c>
      <c r="R45" s="52">
        <v>3694</v>
      </c>
      <c r="S45" s="98">
        <f t="shared" si="4"/>
        <v>0</v>
      </c>
      <c r="T45" s="98" t="str">
        <f t="shared" si="5"/>
        <v>-</v>
      </c>
      <c r="U45" s="52">
        <f t="shared" si="6"/>
        <v>0</v>
      </c>
      <c r="V45" s="52">
        <f t="shared" si="7"/>
        <v>3694</v>
      </c>
      <c r="W45" s="98">
        <f>R45/R43</f>
        <v>0.56857010928120666</v>
      </c>
    </row>
    <row r="46" spans="2:23" x14ac:dyDescent="0.25">
      <c r="B46" s="97" t="s">
        <v>62</v>
      </c>
      <c r="C46" s="52">
        <v>1061</v>
      </c>
      <c r="D46" s="52">
        <v>0</v>
      </c>
      <c r="E46" s="52">
        <v>649</v>
      </c>
      <c r="F46" s="52">
        <v>1061</v>
      </c>
      <c r="G46" s="52">
        <v>1061</v>
      </c>
      <c r="H46" s="52">
        <v>1061</v>
      </c>
      <c r="I46" s="98">
        <f t="shared" si="0"/>
        <v>0</v>
      </c>
      <c r="J46" s="98" t="str">
        <f t="shared" si="1"/>
        <v>-</v>
      </c>
      <c r="K46" s="52">
        <f t="shared" si="2"/>
        <v>0</v>
      </c>
      <c r="L46" s="52">
        <f t="shared" si="3"/>
        <v>1061</v>
      </c>
      <c r="M46" s="98">
        <f>H46/H43</f>
        <v>0.16503344221496344</v>
      </c>
      <c r="N46" s="52">
        <v>0</v>
      </c>
      <c r="O46" s="52">
        <v>1061</v>
      </c>
      <c r="P46" s="52">
        <v>1061</v>
      </c>
      <c r="Q46" s="52">
        <v>1061</v>
      </c>
      <c r="R46" s="52">
        <v>1061</v>
      </c>
      <c r="S46" s="98">
        <f t="shared" si="4"/>
        <v>0</v>
      </c>
      <c r="T46" s="98" t="str">
        <f t="shared" si="5"/>
        <v>-</v>
      </c>
      <c r="U46" s="52">
        <f t="shared" si="6"/>
        <v>0</v>
      </c>
      <c r="V46" s="52">
        <f t="shared" si="7"/>
        <v>1061</v>
      </c>
      <c r="W46" s="98">
        <f>R46/R43</f>
        <v>0.16330614129598275</v>
      </c>
    </row>
    <row r="47" spans="2:23" x14ac:dyDescent="0.25">
      <c r="B47" s="94" t="s">
        <v>63</v>
      </c>
      <c r="C47" s="95">
        <v>2450</v>
      </c>
      <c r="D47" s="95">
        <v>1314</v>
      </c>
      <c r="E47" s="95">
        <v>1571</v>
      </c>
      <c r="F47" s="95">
        <v>1660</v>
      </c>
      <c r="G47" s="95">
        <v>1660</v>
      </c>
      <c r="H47" s="95">
        <v>1674</v>
      </c>
      <c r="I47" s="96">
        <f t="shared" si="0"/>
        <v>8.4337349397589634E-3</v>
      </c>
      <c r="J47" s="96">
        <f t="shared" si="1"/>
        <v>0.27397260273972601</v>
      </c>
      <c r="K47" s="95">
        <f t="shared" si="2"/>
        <v>14</v>
      </c>
      <c r="L47" s="95">
        <f t="shared" si="3"/>
        <v>360</v>
      </c>
      <c r="M47" s="96">
        <f>H47/H43</f>
        <v>0.26038264115725618</v>
      </c>
      <c r="N47" s="95">
        <v>1482</v>
      </c>
      <c r="O47" s="95">
        <v>1660</v>
      </c>
      <c r="P47" s="95">
        <v>1660</v>
      </c>
      <c r="Q47" s="95">
        <v>1660</v>
      </c>
      <c r="R47" s="95">
        <v>1742</v>
      </c>
      <c r="S47" s="96">
        <f t="shared" si="4"/>
        <v>4.9397590361445864E-2</v>
      </c>
      <c r="T47" s="96">
        <f t="shared" si="5"/>
        <v>0.17543859649122817</v>
      </c>
      <c r="U47" s="95">
        <f t="shared" si="6"/>
        <v>82</v>
      </c>
      <c r="V47" s="95">
        <f t="shared" si="7"/>
        <v>260</v>
      </c>
      <c r="W47" s="96">
        <f>R47/R43</f>
        <v>0.26812374942281053</v>
      </c>
    </row>
    <row r="48" spans="2:23" x14ac:dyDescent="0.25">
      <c r="B48" s="91" t="s">
        <v>53</v>
      </c>
      <c r="C48" s="99">
        <v>3382</v>
      </c>
      <c r="D48" s="99">
        <v>2158</v>
      </c>
      <c r="E48" s="99">
        <v>2862</v>
      </c>
      <c r="F48" s="99">
        <v>3212</v>
      </c>
      <c r="G48" s="99">
        <v>3072</v>
      </c>
      <c r="H48" s="99">
        <v>3096</v>
      </c>
      <c r="I48" s="100">
        <f t="shared" si="0"/>
        <v>7.8125E-3</v>
      </c>
      <c r="J48" s="100">
        <f t="shared" si="1"/>
        <v>0.43466172381835033</v>
      </c>
      <c r="K48" s="99">
        <f t="shared" si="2"/>
        <v>24</v>
      </c>
      <c r="L48" s="99">
        <f t="shared" si="3"/>
        <v>938</v>
      </c>
      <c r="M48" s="93">
        <f>H48/H48</f>
        <v>1</v>
      </c>
      <c r="N48" s="99">
        <v>2727</v>
      </c>
      <c r="O48" s="99">
        <v>3493</v>
      </c>
      <c r="P48" s="99">
        <v>3081</v>
      </c>
      <c r="Q48" s="99">
        <v>3052</v>
      </c>
      <c r="R48" s="99">
        <v>3113</v>
      </c>
      <c r="S48" s="100">
        <f t="shared" si="4"/>
        <v>1.998689384010488E-2</v>
      </c>
      <c r="T48" s="100">
        <f t="shared" si="5"/>
        <v>0.14154748808214146</v>
      </c>
      <c r="U48" s="99">
        <f t="shared" si="6"/>
        <v>61</v>
      </c>
      <c r="V48" s="99">
        <f t="shared" si="7"/>
        <v>386</v>
      </c>
      <c r="W48" s="93">
        <f>R48/R48</f>
        <v>1</v>
      </c>
    </row>
    <row r="49" spans="2:23" x14ac:dyDescent="0.25">
      <c r="B49" s="94" t="s">
        <v>60</v>
      </c>
      <c r="C49" s="95">
        <v>3115</v>
      </c>
      <c r="D49" s="95">
        <v>2065</v>
      </c>
      <c r="E49" s="95">
        <v>2789</v>
      </c>
      <c r="F49" s="95">
        <v>3008</v>
      </c>
      <c r="G49" s="95">
        <v>2663</v>
      </c>
      <c r="H49" s="95">
        <v>2710</v>
      </c>
      <c r="I49" s="96">
        <f t="shared" si="0"/>
        <v>1.764926774314679E-2</v>
      </c>
      <c r="J49" s="96">
        <f t="shared" si="1"/>
        <v>0.3123486682808716</v>
      </c>
      <c r="K49" s="95">
        <f t="shared" si="2"/>
        <v>47</v>
      </c>
      <c r="L49" s="95">
        <f t="shared" si="3"/>
        <v>645</v>
      </c>
      <c r="M49" s="96">
        <f>H49/H48</f>
        <v>0.87532299741602071</v>
      </c>
      <c r="N49" s="95">
        <v>2697</v>
      </c>
      <c r="O49" s="95">
        <v>3289</v>
      </c>
      <c r="P49" s="95">
        <v>2667</v>
      </c>
      <c r="Q49" s="95">
        <v>2692</v>
      </c>
      <c r="R49" s="95">
        <v>2725</v>
      </c>
      <c r="S49" s="96">
        <f t="shared" si="4"/>
        <v>1.2258543833580937E-2</v>
      </c>
      <c r="T49" s="96">
        <f t="shared" si="5"/>
        <v>1.0381905821282844E-2</v>
      </c>
      <c r="U49" s="95">
        <f t="shared" si="6"/>
        <v>33</v>
      </c>
      <c r="V49" s="95">
        <f t="shared" si="7"/>
        <v>28</v>
      </c>
      <c r="W49" s="96">
        <f>R49/R48</f>
        <v>0.87536138772887895</v>
      </c>
    </row>
    <row r="50" spans="2:23" x14ac:dyDescent="0.25">
      <c r="B50" s="97" t="s">
        <v>61</v>
      </c>
      <c r="C50" s="52">
        <v>2465</v>
      </c>
      <c r="D50" s="52">
        <v>1643</v>
      </c>
      <c r="E50" s="52">
        <v>2193</v>
      </c>
      <c r="F50" s="52">
        <v>2189</v>
      </c>
      <c r="G50" s="52">
        <v>2050</v>
      </c>
      <c r="H50" s="52">
        <v>2053</v>
      </c>
      <c r="I50" s="98">
        <f t="shared" si="0"/>
        <v>1.4634146341463428E-3</v>
      </c>
      <c r="J50" s="98">
        <f t="shared" si="1"/>
        <v>0.24954351795496055</v>
      </c>
      <c r="K50" s="52">
        <f t="shared" si="2"/>
        <v>3</v>
      </c>
      <c r="L50" s="52">
        <f t="shared" si="3"/>
        <v>410</v>
      </c>
      <c r="M50" s="98">
        <f>H50/H48</f>
        <v>0.66311369509043927</v>
      </c>
      <c r="N50" s="52">
        <v>2125</v>
      </c>
      <c r="O50" s="52">
        <v>2465</v>
      </c>
      <c r="P50" s="52">
        <v>2053</v>
      </c>
      <c r="Q50" s="52">
        <v>2053</v>
      </c>
      <c r="R50" s="52">
        <v>2053</v>
      </c>
      <c r="S50" s="98">
        <f t="shared" si="4"/>
        <v>0</v>
      </c>
      <c r="T50" s="98">
        <f t="shared" si="5"/>
        <v>-3.3882352941176475E-2</v>
      </c>
      <c r="U50" s="52">
        <f t="shared" si="6"/>
        <v>0</v>
      </c>
      <c r="V50" s="52">
        <f t="shared" si="7"/>
        <v>-72</v>
      </c>
      <c r="W50" s="98">
        <f>R50/R48</f>
        <v>0.65949245101188569</v>
      </c>
    </row>
    <row r="51" spans="2:23" x14ac:dyDescent="0.25">
      <c r="B51" s="97" t="s">
        <v>62</v>
      </c>
      <c r="C51" s="52">
        <v>650</v>
      </c>
      <c r="D51" s="52">
        <v>422</v>
      </c>
      <c r="E51" s="52">
        <v>596</v>
      </c>
      <c r="F51" s="52">
        <v>819</v>
      </c>
      <c r="G51" s="52">
        <v>613</v>
      </c>
      <c r="H51" s="52">
        <v>657</v>
      </c>
      <c r="I51" s="98">
        <f t="shared" si="0"/>
        <v>7.1778140293637938E-2</v>
      </c>
      <c r="J51" s="98">
        <f t="shared" si="1"/>
        <v>0.55687203791469186</v>
      </c>
      <c r="K51" s="52">
        <f t="shared" si="2"/>
        <v>44</v>
      </c>
      <c r="L51" s="52">
        <f t="shared" si="3"/>
        <v>235</v>
      </c>
      <c r="M51" s="98">
        <f>H51/H48</f>
        <v>0.21220930232558138</v>
      </c>
      <c r="N51" s="52">
        <v>572</v>
      </c>
      <c r="O51" s="52">
        <v>824</v>
      </c>
      <c r="P51" s="52">
        <v>614</v>
      </c>
      <c r="Q51" s="52">
        <v>639</v>
      </c>
      <c r="R51" s="52">
        <v>672</v>
      </c>
      <c r="S51" s="98">
        <f t="shared" si="4"/>
        <v>5.164319248826299E-2</v>
      </c>
      <c r="T51" s="98">
        <f t="shared" si="5"/>
        <v>0.17482517482517479</v>
      </c>
      <c r="U51" s="52">
        <f t="shared" si="6"/>
        <v>33</v>
      </c>
      <c r="V51" s="52">
        <f t="shared" si="7"/>
        <v>100</v>
      </c>
      <c r="W51" s="98">
        <f>R51/R48</f>
        <v>0.21586893671699325</v>
      </c>
    </row>
    <row r="52" spans="2:23" x14ac:dyDescent="0.25">
      <c r="B52" s="94" t="s">
        <v>63</v>
      </c>
      <c r="C52" s="95">
        <v>333</v>
      </c>
      <c r="D52" s="95">
        <v>460</v>
      </c>
      <c r="E52" s="95">
        <v>774</v>
      </c>
      <c r="F52" s="95">
        <v>904</v>
      </c>
      <c r="G52" s="95">
        <v>1110</v>
      </c>
      <c r="H52" s="95">
        <v>1086</v>
      </c>
      <c r="I52" s="96">
        <f t="shared" si="0"/>
        <v>-2.1621621621621623E-2</v>
      </c>
      <c r="J52" s="96">
        <f t="shared" si="1"/>
        <v>1.3608695652173912</v>
      </c>
      <c r="K52" s="95">
        <f t="shared" si="2"/>
        <v>-24</v>
      </c>
      <c r="L52" s="95">
        <f t="shared" si="3"/>
        <v>626</v>
      </c>
      <c r="M52" s="96">
        <f>H52/H48</f>
        <v>0.35077519379844962</v>
      </c>
      <c r="N52" s="95">
        <v>730</v>
      </c>
      <c r="O52" s="95">
        <v>904</v>
      </c>
      <c r="P52" s="95">
        <v>1114</v>
      </c>
      <c r="Q52" s="95">
        <v>1060</v>
      </c>
      <c r="R52" s="95">
        <v>1088</v>
      </c>
      <c r="S52" s="96">
        <f t="shared" si="4"/>
        <v>2.6415094339622636E-2</v>
      </c>
      <c r="T52" s="96">
        <f t="shared" si="5"/>
        <v>0.49041095890410968</v>
      </c>
      <c r="U52" s="95">
        <f t="shared" si="6"/>
        <v>28</v>
      </c>
      <c r="V52" s="95">
        <f t="shared" si="7"/>
        <v>358</v>
      </c>
      <c r="W52" s="96">
        <f>R52/R48</f>
        <v>0.3495020880179891</v>
      </c>
    </row>
    <row r="53" spans="2:23" ht="6.95" customHeight="1" x14ac:dyDescent="0.25">
      <c r="B53" s="101"/>
      <c r="C53" s="102"/>
      <c r="D53" s="102"/>
      <c r="E53" s="102"/>
      <c r="F53" s="102"/>
      <c r="G53" s="103"/>
      <c r="H53" s="102"/>
      <c r="I53" s="104"/>
      <c r="J53" s="104"/>
      <c r="K53" s="102"/>
      <c r="L53" s="104"/>
      <c r="M53" s="104"/>
      <c r="N53" s="102"/>
      <c r="O53" s="102"/>
      <c r="P53" s="102"/>
      <c r="Q53" s="102"/>
      <c r="R53" s="104"/>
      <c r="S53" s="104"/>
      <c r="T53" s="104"/>
      <c r="U53" s="104"/>
      <c r="V53" s="104"/>
    </row>
    <row r="54" spans="2:23" ht="15" customHeight="1" x14ac:dyDescent="0.25">
      <c r="B54" s="105" t="s">
        <v>55</v>
      </c>
      <c r="C54" s="105"/>
      <c r="D54" s="105"/>
      <c r="E54" s="105"/>
      <c r="F54" s="105"/>
      <c r="G54" s="105"/>
      <c r="H54" s="105"/>
      <c r="I54" s="105"/>
      <c r="J54" s="105"/>
      <c r="K54" s="105"/>
      <c r="L54" s="105"/>
      <c r="M54" s="105"/>
      <c r="N54" s="105"/>
      <c r="O54" s="105"/>
      <c r="P54" s="105"/>
      <c r="Q54" s="105"/>
      <c r="R54" s="105"/>
      <c r="S54" s="105"/>
      <c r="T54" s="105"/>
      <c r="U54" s="105"/>
      <c r="V54" s="105"/>
    </row>
  </sheetData>
  <mergeCells count="2">
    <mergeCell ref="C5:H5"/>
    <mergeCell ref="N5:R5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9FD8A3-D258-43CF-99C1-8BEB3461A639}">
  <sheetPr codeName="Hoja6">
    <tabColor rgb="FF92D050"/>
  </sheetPr>
  <dimension ref="B1:S54"/>
  <sheetViews>
    <sheetView showGridLines="0" zoomScaleNormal="100" workbookViewId="0"/>
  </sheetViews>
  <sheetFormatPr baseColWidth="10" defaultRowHeight="15" x14ac:dyDescent="0.25"/>
  <cols>
    <col min="1" max="1" width="15.5703125" customWidth="1"/>
    <col min="2" max="2" width="25.7109375" customWidth="1"/>
    <col min="3" max="8" width="9.85546875" customWidth="1"/>
    <col min="9" max="9" width="10.7109375" customWidth="1"/>
    <col min="10" max="10" width="9.28515625" customWidth="1"/>
    <col min="11" max="11" width="12.28515625" customWidth="1"/>
    <col min="12" max="16" width="11.5703125" customWidth="1"/>
    <col min="17" max="17" width="10.7109375" customWidth="1"/>
    <col min="18" max="18" width="9.85546875" customWidth="1"/>
    <col min="20" max="20" width="14.42578125" customWidth="1"/>
    <col min="21" max="22" width="7.85546875" customWidth="1"/>
    <col min="23" max="23" width="8.140625" customWidth="1"/>
    <col min="24" max="24" width="9" customWidth="1"/>
    <col min="25" max="26" width="9.42578125" customWidth="1"/>
  </cols>
  <sheetData>
    <row r="1" spans="2:19" ht="42.75" customHeight="1" x14ac:dyDescent="0.25"/>
    <row r="3" spans="2:19" ht="30.75" customHeight="1" thickBot="1" x14ac:dyDescent="0.3">
      <c r="B3" s="82" t="str">
        <f>CONCATENATE("Establecimientos alojativos en funcionamiento en Tenerife y municipios")</f>
        <v>Establecimientos alojativos en funcionamiento en Tenerife y municipios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</row>
    <row r="4" spans="2:19" ht="6.95" customHeight="1" x14ac:dyDescent="0.25">
      <c r="B4" s="83"/>
      <c r="C4" s="83"/>
      <c r="D4" s="83"/>
      <c r="E4" s="83"/>
      <c r="F4" s="83"/>
      <c r="G4" s="83"/>
      <c r="H4" s="83"/>
      <c r="I4" s="84"/>
      <c r="J4" s="83"/>
      <c r="K4" s="83"/>
      <c r="L4" s="83"/>
      <c r="M4" s="83"/>
      <c r="N4" s="83"/>
      <c r="O4" s="83"/>
      <c r="P4" s="84"/>
      <c r="Q4" s="84"/>
      <c r="R4" s="84"/>
      <c r="S4" s="84"/>
    </row>
    <row r="5" spans="2:19" ht="15.75" thickBot="1" x14ac:dyDescent="0.3">
      <c r="B5" s="85"/>
      <c r="C5" s="288" t="s">
        <v>64</v>
      </c>
      <c r="D5" s="288"/>
      <c r="E5" s="288"/>
      <c r="F5" s="288"/>
      <c r="G5" s="288"/>
      <c r="H5" s="288"/>
      <c r="I5" s="86"/>
      <c r="J5" s="86"/>
      <c r="K5" s="87"/>
      <c r="L5" s="289" t="s">
        <v>65</v>
      </c>
      <c r="M5" s="289"/>
      <c r="N5" s="289"/>
      <c r="O5" s="289"/>
      <c r="P5" s="289"/>
      <c r="Q5" s="86"/>
      <c r="R5" s="86"/>
      <c r="S5" s="87"/>
    </row>
    <row r="6" spans="2:19" ht="59.25" customHeight="1" x14ac:dyDescent="0.25">
      <c r="B6" s="88"/>
      <c r="C6" s="14">
        <v>2019</v>
      </c>
      <c r="D6" s="14">
        <v>2020</v>
      </c>
      <c r="E6" s="14">
        <v>2021</v>
      </c>
      <c r="F6" s="14">
        <v>2022</v>
      </c>
      <c r="G6" s="14">
        <v>2023</v>
      </c>
      <c r="H6" s="14">
        <v>2024</v>
      </c>
      <c r="I6" s="89" t="str">
        <f>CONCATENATE("var. ",RIGHT(H6,2),"/",RIGHT(G6,2))</f>
        <v>var. 24/23</v>
      </c>
      <c r="J6" s="89" t="str">
        <f>CONCATENATE("dif. ",RIGHT(H6,2),"/",RIGHT(G6,2))</f>
        <v>dif. 24/23</v>
      </c>
      <c r="K6" s="14" t="str">
        <f>CONCATENATE("cuota/ total isla ",RIGHT(H6,2))</f>
        <v>cuota/ total isla 24</v>
      </c>
      <c r="L6" s="90" t="s">
        <v>224</v>
      </c>
      <c r="M6" s="90" t="s">
        <v>225</v>
      </c>
      <c r="N6" s="90" t="s">
        <v>226</v>
      </c>
      <c r="O6" s="90" t="s">
        <v>227</v>
      </c>
      <c r="P6" s="90" t="s">
        <v>228</v>
      </c>
      <c r="Q6" s="89" t="str">
        <f>CONCATENATE("var. ",RIGHT(P6,2),"/",RIGHT(O6,2))</f>
        <v>var. 25/24</v>
      </c>
      <c r="R6" s="89" t="str">
        <f>CONCATENATE("dif. ",RIGHT(P6,2),"/",RIGHT(O6,2))</f>
        <v>dif. 25/24</v>
      </c>
      <c r="S6" s="87" t="str">
        <f>CONCATENATE("cuota/ total isla ",RIGHT(P6,2))</f>
        <v>cuota/ total isla 25</v>
      </c>
    </row>
    <row r="7" spans="2:19" x14ac:dyDescent="0.25">
      <c r="B7" s="91" t="s">
        <v>43</v>
      </c>
      <c r="C7" s="92">
        <v>388</v>
      </c>
      <c r="D7" s="92">
        <v>173</v>
      </c>
      <c r="E7" s="92">
        <v>195</v>
      </c>
      <c r="F7" s="92">
        <v>293</v>
      </c>
      <c r="G7" s="92">
        <v>308</v>
      </c>
      <c r="H7" s="92">
        <v>321</v>
      </c>
      <c r="I7" s="93">
        <f>IFERROR(H7/G7-1,"-")</f>
        <v>4.2207792207792139E-2</v>
      </c>
      <c r="J7" s="92">
        <f>IFERROR(H7-G7,"-")</f>
        <v>13</v>
      </c>
      <c r="K7" s="93">
        <f>H7/H7</f>
        <v>1</v>
      </c>
      <c r="L7" s="92">
        <v>141</v>
      </c>
      <c r="M7" s="92">
        <v>279</v>
      </c>
      <c r="N7" s="92">
        <v>930</v>
      </c>
      <c r="O7" s="92">
        <v>960</v>
      </c>
      <c r="P7" s="92">
        <v>981</v>
      </c>
      <c r="Q7" s="93">
        <f t="shared" ref="Q7:Q52" si="0">IFERROR(P7/O7-1,"-")</f>
        <v>2.1875000000000089E-2</v>
      </c>
      <c r="R7" s="92">
        <f t="shared" ref="R7:R52" si="1">IFERROR(P7-O7,"-")</f>
        <v>21</v>
      </c>
      <c r="S7" s="93">
        <f>P7/P7</f>
        <v>1</v>
      </c>
    </row>
    <row r="8" spans="2:19" x14ac:dyDescent="0.25">
      <c r="B8" s="94" t="s">
        <v>60</v>
      </c>
      <c r="C8" s="95">
        <v>230</v>
      </c>
      <c r="D8" s="95">
        <v>104</v>
      </c>
      <c r="E8" s="95">
        <v>124</v>
      </c>
      <c r="F8" s="95">
        <v>194</v>
      </c>
      <c r="G8" s="95">
        <v>199</v>
      </c>
      <c r="H8" s="95">
        <v>210</v>
      </c>
      <c r="I8" s="96">
        <f t="shared" ref="I8:I52" si="2">IFERROR(H8/G8-1,"-")</f>
        <v>5.5276381909547645E-2</v>
      </c>
      <c r="J8" s="95">
        <f t="shared" ref="J8:J52" si="3">IFERROR(H8-G8,"-")</f>
        <v>11</v>
      </c>
      <c r="K8" s="96">
        <f>H8/H7</f>
        <v>0.65420560747663548</v>
      </c>
      <c r="L8" s="95">
        <v>84</v>
      </c>
      <c r="M8" s="95">
        <v>185</v>
      </c>
      <c r="N8" s="95">
        <v>200</v>
      </c>
      <c r="O8" s="95">
        <v>209</v>
      </c>
      <c r="P8" s="95">
        <v>214</v>
      </c>
      <c r="Q8" s="96">
        <f t="shared" si="0"/>
        <v>2.3923444976076569E-2</v>
      </c>
      <c r="R8" s="95">
        <f t="shared" si="1"/>
        <v>5</v>
      </c>
      <c r="S8" s="96">
        <f>P8/P7</f>
        <v>0.21814475025484201</v>
      </c>
    </row>
    <row r="9" spans="2:19" x14ac:dyDescent="0.25">
      <c r="B9" s="97" t="s">
        <v>61</v>
      </c>
      <c r="C9" s="52">
        <v>124</v>
      </c>
      <c r="D9" s="52">
        <v>63</v>
      </c>
      <c r="E9" s="52">
        <v>84</v>
      </c>
      <c r="F9" s="52">
        <v>128</v>
      </c>
      <c r="G9" s="52">
        <v>131</v>
      </c>
      <c r="H9" s="52">
        <v>136</v>
      </c>
      <c r="I9" s="98">
        <f t="shared" si="2"/>
        <v>3.8167938931297662E-2</v>
      </c>
      <c r="J9" s="52">
        <f t="shared" si="3"/>
        <v>5</v>
      </c>
      <c r="K9" s="98">
        <f>H9/H7</f>
        <v>0.42367601246105918</v>
      </c>
      <c r="L9" s="52">
        <v>54</v>
      </c>
      <c r="M9" s="52">
        <v>127</v>
      </c>
      <c r="N9" s="52">
        <v>131</v>
      </c>
      <c r="O9" s="52">
        <v>135</v>
      </c>
      <c r="P9" s="52">
        <v>139</v>
      </c>
      <c r="Q9" s="98">
        <f t="shared" si="0"/>
        <v>2.9629629629629672E-2</v>
      </c>
      <c r="R9" s="52">
        <f t="shared" si="1"/>
        <v>4</v>
      </c>
      <c r="S9" s="98">
        <f>P9/P7</f>
        <v>0.14169215086646278</v>
      </c>
    </row>
    <row r="10" spans="2:19" x14ac:dyDescent="0.25">
      <c r="B10" s="97" t="s">
        <v>62</v>
      </c>
      <c r="C10" s="52">
        <v>107</v>
      </c>
      <c r="D10" s="52">
        <v>41</v>
      </c>
      <c r="E10" s="52">
        <v>40</v>
      </c>
      <c r="F10" s="52">
        <v>65</v>
      </c>
      <c r="G10" s="52">
        <v>68</v>
      </c>
      <c r="H10" s="52">
        <v>74</v>
      </c>
      <c r="I10" s="98">
        <f t="shared" si="2"/>
        <v>8.8235294117646967E-2</v>
      </c>
      <c r="J10" s="52">
        <f t="shared" si="3"/>
        <v>6</v>
      </c>
      <c r="K10" s="98">
        <f>H10/H7</f>
        <v>0.23052959501557632</v>
      </c>
      <c r="L10" s="52">
        <v>30</v>
      </c>
      <c r="M10" s="52">
        <v>58</v>
      </c>
      <c r="N10" s="52">
        <v>69</v>
      </c>
      <c r="O10" s="52">
        <v>74</v>
      </c>
      <c r="P10" s="52">
        <v>75</v>
      </c>
      <c r="Q10" s="98">
        <f t="shared" si="0"/>
        <v>1.3513513513513598E-2</v>
      </c>
      <c r="R10" s="52">
        <f t="shared" si="1"/>
        <v>1</v>
      </c>
      <c r="S10" s="98">
        <f>P10/P7</f>
        <v>7.64525993883792E-2</v>
      </c>
    </row>
    <row r="11" spans="2:19" x14ac:dyDescent="0.25">
      <c r="B11" s="94" t="s">
        <v>63</v>
      </c>
      <c r="C11" s="95">
        <v>158</v>
      </c>
      <c r="D11" s="95">
        <v>70</v>
      </c>
      <c r="E11" s="95">
        <v>71</v>
      </c>
      <c r="F11" s="95">
        <v>100</v>
      </c>
      <c r="G11" s="95">
        <v>109</v>
      </c>
      <c r="H11" s="95">
        <v>111</v>
      </c>
      <c r="I11" s="96">
        <f t="shared" si="2"/>
        <v>1.8348623853210899E-2</v>
      </c>
      <c r="J11" s="95">
        <f t="shared" si="3"/>
        <v>2</v>
      </c>
      <c r="K11" s="96">
        <f>H11/H7</f>
        <v>0.34579439252336447</v>
      </c>
      <c r="L11" s="95">
        <v>57</v>
      </c>
      <c r="M11" s="95">
        <v>94</v>
      </c>
      <c r="N11" s="95">
        <v>110</v>
      </c>
      <c r="O11" s="95">
        <v>111</v>
      </c>
      <c r="P11" s="95">
        <v>113</v>
      </c>
      <c r="Q11" s="96">
        <f t="shared" si="0"/>
        <v>1.8018018018018056E-2</v>
      </c>
      <c r="R11" s="95">
        <f t="shared" si="1"/>
        <v>2</v>
      </c>
      <c r="S11" s="96">
        <f>P11/P7</f>
        <v>0.11518858307849134</v>
      </c>
    </row>
    <row r="12" spans="2:19" x14ac:dyDescent="0.25">
      <c r="B12" s="91" t="s">
        <v>44</v>
      </c>
      <c r="C12" s="99">
        <v>100</v>
      </c>
      <c r="D12" s="99">
        <v>49</v>
      </c>
      <c r="E12" s="99">
        <v>57</v>
      </c>
      <c r="F12" s="99">
        <v>84</v>
      </c>
      <c r="G12" s="99">
        <v>90</v>
      </c>
      <c r="H12" s="99">
        <v>94</v>
      </c>
      <c r="I12" s="100">
        <f t="shared" si="2"/>
        <v>4.4444444444444509E-2</v>
      </c>
      <c r="J12" s="99">
        <f t="shared" si="3"/>
        <v>4</v>
      </c>
      <c r="K12" s="93">
        <f>H12/H12</f>
        <v>1</v>
      </c>
      <c r="L12" s="99">
        <v>39</v>
      </c>
      <c r="M12" s="99">
        <v>79</v>
      </c>
      <c r="N12" s="99">
        <v>91</v>
      </c>
      <c r="O12" s="99">
        <v>93</v>
      </c>
      <c r="P12" s="99">
        <v>94</v>
      </c>
      <c r="Q12" s="100">
        <f t="shared" si="0"/>
        <v>1.0752688172043001E-2</v>
      </c>
      <c r="R12" s="99">
        <f t="shared" si="1"/>
        <v>1</v>
      </c>
      <c r="S12" s="93">
        <f>P12/P12</f>
        <v>1</v>
      </c>
    </row>
    <row r="13" spans="2:19" ht="15" customHeight="1" x14ac:dyDescent="0.25">
      <c r="B13" s="94" t="s">
        <v>60</v>
      </c>
      <c r="C13" s="95">
        <v>62</v>
      </c>
      <c r="D13" s="95">
        <v>31</v>
      </c>
      <c r="E13" s="95">
        <v>40</v>
      </c>
      <c r="F13" s="95">
        <v>60</v>
      </c>
      <c r="G13" s="95">
        <v>62</v>
      </c>
      <c r="H13" s="95">
        <v>63</v>
      </c>
      <c r="I13" s="96">
        <f t="shared" si="2"/>
        <v>1.6129032258064502E-2</v>
      </c>
      <c r="J13" s="95">
        <f t="shared" si="3"/>
        <v>1</v>
      </c>
      <c r="K13" s="96">
        <f>H13/H12</f>
        <v>0.67021276595744683</v>
      </c>
      <c r="L13" s="95">
        <v>25</v>
      </c>
      <c r="M13" s="95">
        <v>58</v>
      </c>
      <c r="N13" s="95">
        <v>62</v>
      </c>
      <c r="O13" s="95">
        <v>63</v>
      </c>
      <c r="P13" s="95">
        <v>62</v>
      </c>
      <c r="Q13" s="96">
        <f t="shared" si="0"/>
        <v>-1.5873015873015928E-2</v>
      </c>
      <c r="R13" s="95">
        <f t="shared" si="1"/>
        <v>-1</v>
      </c>
      <c r="S13" s="96">
        <f>P13/P12</f>
        <v>0.65957446808510634</v>
      </c>
    </row>
    <row r="14" spans="2:19" x14ac:dyDescent="0.25">
      <c r="B14" s="97" t="s">
        <v>61</v>
      </c>
      <c r="C14" s="52">
        <v>44</v>
      </c>
      <c r="D14" s="52">
        <v>25</v>
      </c>
      <c r="E14" s="52">
        <v>33</v>
      </c>
      <c r="F14" s="52">
        <v>48</v>
      </c>
      <c r="G14" s="52">
        <v>50</v>
      </c>
      <c r="H14" s="52">
        <v>52</v>
      </c>
      <c r="I14" s="98">
        <f t="shared" si="2"/>
        <v>4.0000000000000036E-2</v>
      </c>
      <c r="J14" s="52">
        <f t="shared" si="3"/>
        <v>2</v>
      </c>
      <c r="K14" s="98">
        <f>H14/H12</f>
        <v>0.55319148936170215</v>
      </c>
      <c r="L14" s="52">
        <v>22</v>
      </c>
      <c r="M14" s="52">
        <v>48</v>
      </c>
      <c r="N14" s="52">
        <v>49</v>
      </c>
      <c r="O14" s="52">
        <v>52</v>
      </c>
      <c r="P14" s="52">
        <v>51</v>
      </c>
      <c r="Q14" s="98">
        <f t="shared" si="0"/>
        <v>-1.9230769230769273E-2</v>
      </c>
      <c r="R14" s="52">
        <f t="shared" si="1"/>
        <v>-1</v>
      </c>
      <c r="S14" s="98">
        <f>P14/P12</f>
        <v>0.54255319148936165</v>
      </c>
    </row>
    <row r="15" spans="2:19" x14ac:dyDescent="0.25">
      <c r="B15" s="97" t="s">
        <v>62</v>
      </c>
      <c r="C15" s="52">
        <v>18</v>
      </c>
      <c r="D15" s="52">
        <v>6</v>
      </c>
      <c r="E15" s="52">
        <v>7</v>
      </c>
      <c r="F15" s="52">
        <v>12</v>
      </c>
      <c r="G15" s="52">
        <v>11</v>
      </c>
      <c r="H15" s="52">
        <v>11</v>
      </c>
      <c r="I15" s="98">
        <f t="shared" si="2"/>
        <v>0</v>
      </c>
      <c r="J15" s="52">
        <f t="shared" si="3"/>
        <v>0</v>
      </c>
      <c r="K15" s="98">
        <f>H15/H12</f>
        <v>0.11702127659574468</v>
      </c>
      <c r="L15" s="52">
        <v>3</v>
      </c>
      <c r="M15" s="52">
        <v>10</v>
      </c>
      <c r="N15" s="52">
        <v>13</v>
      </c>
      <c r="O15" s="52">
        <v>11</v>
      </c>
      <c r="P15" s="52">
        <v>11</v>
      </c>
      <c r="Q15" s="98">
        <f t="shared" si="0"/>
        <v>0</v>
      </c>
      <c r="R15" s="52">
        <f t="shared" si="1"/>
        <v>0</v>
      </c>
      <c r="S15" s="98">
        <f>P15/P12</f>
        <v>0.11702127659574468</v>
      </c>
    </row>
    <row r="16" spans="2:19" x14ac:dyDescent="0.25">
      <c r="B16" s="94" t="s">
        <v>63</v>
      </c>
      <c r="C16" s="95">
        <v>38</v>
      </c>
      <c r="D16" s="95">
        <v>18</v>
      </c>
      <c r="E16" s="95">
        <v>17</v>
      </c>
      <c r="F16" s="95">
        <v>24</v>
      </c>
      <c r="G16" s="95">
        <v>29</v>
      </c>
      <c r="H16" s="95">
        <v>31</v>
      </c>
      <c r="I16" s="96">
        <f t="shared" si="2"/>
        <v>6.8965517241379226E-2</v>
      </c>
      <c r="J16" s="95">
        <f t="shared" si="3"/>
        <v>2</v>
      </c>
      <c r="K16" s="96">
        <f>H16/H12</f>
        <v>0.32978723404255317</v>
      </c>
      <c r="L16" s="95">
        <v>14</v>
      </c>
      <c r="M16" s="95">
        <v>21</v>
      </c>
      <c r="N16" s="95">
        <v>29</v>
      </c>
      <c r="O16" s="95">
        <v>30</v>
      </c>
      <c r="P16" s="95">
        <v>32</v>
      </c>
      <c r="Q16" s="96">
        <f t="shared" si="0"/>
        <v>6.6666666666666652E-2</v>
      </c>
      <c r="R16" s="95">
        <f t="shared" si="1"/>
        <v>2</v>
      </c>
      <c r="S16" s="96">
        <f>P16/P12</f>
        <v>0.34042553191489361</v>
      </c>
    </row>
    <row r="17" spans="2:19" x14ac:dyDescent="0.25">
      <c r="B17" s="91" t="s">
        <v>48</v>
      </c>
      <c r="C17" s="99">
        <v>78</v>
      </c>
      <c r="D17" s="99">
        <v>33</v>
      </c>
      <c r="E17" s="99">
        <v>37</v>
      </c>
      <c r="F17" s="99">
        <v>59</v>
      </c>
      <c r="G17" s="99">
        <v>62</v>
      </c>
      <c r="H17" s="99">
        <v>64</v>
      </c>
      <c r="I17" s="100">
        <f t="shared" si="2"/>
        <v>3.2258064516129004E-2</v>
      </c>
      <c r="J17" s="99">
        <f t="shared" si="3"/>
        <v>2</v>
      </c>
      <c r="K17" s="93">
        <f>H17/H17</f>
        <v>1</v>
      </c>
      <c r="L17" s="99">
        <v>24</v>
      </c>
      <c r="M17" s="99">
        <v>57</v>
      </c>
      <c r="N17" s="99">
        <v>61</v>
      </c>
      <c r="O17" s="99">
        <v>63</v>
      </c>
      <c r="P17" s="99">
        <v>64</v>
      </c>
      <c r="Q17" s="100">
        <f t="shared" si="0"/>
        <v>1.5873015873015817E-2</v>
      </c>
      <c r="R17" s="99">
        <f t="shared" si="1"/>
        <v>1</v>
      </c>
      <c r="S17" s="93">
        <f>P17/P17</f>
        <v>1</v>
      </c>
    </row>
    <row r="18" spans="2:19" x14ac:dyDescent="0.25">
      <c r="B18" s="94" t="s">
        <v>60</v>
      </c>
      <c r="C18" s="95">
        <v>54</v>
      </c>
      <c r="D18" s="95">
        <v>21</v>
      </c>
      <c r="E18" s="95">
        <v>25</v>
      </c>
      <c r="F18" s="95">
        <v>41</v>
      </c>
      <c r="G18" s="95">
        <v>43</v>
      </c>
      <c r="H18" s="95">
        <v>45</v>
      </c>
      <c r="I18" s="96">
        <f t="shared" si="2"/>
        <v>4.6511627906976827E-2</v>
      </c>
      <c r="J18" s="95">
        <f t="shared" si="3"/>
        <v>2</v>
      </c>
      <c r="K18" s="96">
        <f>H18/H17</f>
        <v>0.703125</v>
      </c>
      <c r="L18" s="95">
        <v>14</v>
      </c>
      <c r="M18" s="95">
        <v>40</v>
      </c>
      <c r="N18" s="95">
        <v>42</v>
      </c>
      <c r="O18" s="95">
        <v>44</v>
      </c>
      <c r="P18" s="95">
        <v>45</v>
      </c>
      <c r="Q18" s="96">
        <f t="shared" si="0"/>
        <v>2.2727272727272707E-2</v>
      </c>
      <c r="R18" s="95">
        <f t="shared" si="1"/>
        <v>1</v>
      </c>
      <c r="S18" s="96">
        <f>P18/P17</f>
        <v>0.703125</v>
      </c>
    </row>
    <row r="19" spans="2:19" x14ac:dyDescent="0.25">
      <c r="B19" s="97" t="s">
        <v>61</v>
      </c>
      <c r="C19" s="52">
        <v>27</v>
      </c>
      <c r="D19" s="52">
        <v>11</v>
      </c>
      <c r="E19" s="52">
        <v>14</v>
      </c>
      <c r="F19" s="52">
        <v>25</v>
      </c>
      <c r="G19" s="52">
        <v>26</v>
      </c>
      <c r="H19" s="52">
        <v>28</v>
      </c>
      <c r="I19" s="98">
        <f t="shared" si="2"/>
        <v>7.6923076923076872E-2</v>
      </c>
      <c r="J19" s="52">
        <f t="shared" si="3"/>
        <v>2</v>
      </c>
      <c r="K19" s="98">
        <f>H19/H17</f>
        <v>0.4375</v>
      </c>
      <c r="L19" s="52">
        <v>6</v>
      </c>
      <c r="M19" s="52">
        <v>24</v>
      </c>
      <c r="N19" s="52">
        <v>26</v>
      </c>
      <c r="O19" s="52">
        <v>27</v>
      </c>
      <c r="P19" s="52">
        <v>28</v>
      </c>
      <c r="Q19" s="98">
        <f t="shared" si="0"/>
        <v>3.7037037037036979E-2</v>
      </c>
      <c r="R19" s="52">
        <f t="shared" si="1"/>
        <v>1</v>
      </c>
      <c r="S19" s="98">
        <f>P19/P17</f>
        <v>0.4375</v>
      </c>
    </row>
    <row r="20" spans="2:19" x14ac:dyDescent="0.25">
      <c r="B20" s="97" t="s">
        <v>62</v>
      </c>
      <c r="C20" s="52">
        <v>28</v>
      </c>
      <c r="D20" s="52">
        <v>10</v>
      </c>
      <c r="E20" s="52">
        <v>11</v>
      </c>
      <c r="F20" s="52">
        <v>16</v>
      </c>
      <c r="G20" s="52">
        <v>17</v>
      </c>
      <c r="H20" s="52">
        <v>17</v>
      </c>
      <c r="I20" s="98">
        <f t="shared" si="2"/>
        <v>0</v>
      </c>
      <c r="J20" s="52">
        <f t="shared" si="3"/>
        <v>0</v>
      </c>
      <c r="K20" s="98">
        <f>H20/H17</f>
        <v>0.265625</v>
      </c>
      <c r="L20" s="52">
        <v>8</v>
      </c>
      <c r="M20" s="52">
        <v>16</v>
      </c>
      <c r="N20" s="52">
        <v>16</v>
      </c>
      <c r="O20" s="52">
        <v>17</v>
      </c>
      <c r="P20" s="52">
        <v>17</v>
      </c>
      <c r="Q20" s="98">
        <f t="shared" si="0"/>
        <v>0</v>
      </c>
      <c r="R20" s="52">
        <f t="shared" si="1"/>
        <v>0</v>
      </c>
      <c r="S20" s="98">
        <f>P20/P17</f>
        <v>0.265625</v>
      </c>
    </row>
    <row r="21" spans="2:19" x14ac:dyDescent="0.25">
      <c r="B21" s="94" t="s">
        <v>63</v>
      </c>
      <c r="C21" s="95">
        <v>24</v>
      </c>
      <c r="D21" s="95">
        <v>12</v>
      </c>
      <c r="E21" s="95">
        <v>12</v>
      </c>
      <c r="F21" s="95">
        <v>18</v>
      </c>
      <c r="G21" s="95">
        <v>19</v>
      </c>
      <c r="H21" s="95">
        <v>19</v>
      </c>
      <c r="I21" s="96">
        <f t="shared" si="2"/>
        <v>0</v>
      </c>
      <c r="J21" s="95">
        <f t="shared" si="3"/>
        <v>0</v>
      </c>
      <c r="K21" s="96">
        <f>H21/H17</f>
        <v>0.296875</v>
      </c>
      <c r="L21" s="95">
        <v>10</v>
      </c>
      <c r="M21" s="95">
        <v>17</v>
      </c>
      <c r="N21" s="95">
        <v>19</v>
      </c>
      <c r="O21" s="95">
        <v>19</v>
      </c>
      <c r="P21" s="95">
        <v>19</v>
      </c>
      <c r="Q21" s="96">
        <f t="shared" si="0"/>
        <v>0</v>
      </c>
      <c r="R21" s="95">
        <f t="shared" si="1"/>
        <v>0</v>
      </c>
      <c r="S21" s="96">
        <f>P21/P17</f>
        <v>0.296875</v>
      </c>
    </row>
    <row r="22" spans="2:19" x14ac:dyDescent="0.25">
      <c r="B22" s="91" t="s">
        <v>46</v>
      </c>
      <c r="C22" s="99">
        <v>13</v>
      </c>
      <c r="D22" s="99">
        <v>4</v>
      </c>
      <c r="E22" s="99">
        <v>4</v>
      </c>
      <c r="F22" s="99">
        <v>5</v>
      </c>
      <c r="G22" s="99">
        <v>7</v>
      </c>
      <c r="H22" s="99">
        <v>7</v>
      </c>
      <c r="I22" s="100">
        <f t="shared" si="2"/>
        <v>0</v>
      </c>
      <c r="J22" s="99">
        <f t="shared" si="3"/>
        <v>0</v>
      </c>
      <c r="K22" s="100">
        <f>H22/H22</f>
        <v>1</v>
      </c>
      <c r="L22" s="99">
        <v>3</v>
      </c>
      <c r="M22" s="99">
        <v>4</v>
      </c>
      <c r="N22" s="99">
        <v>7</v>
      </c>
      <c r="O22" s="99">
        <v>7</v>
      </c>
      <c r="P22" s="99">
        <v>8</v>
      </c>
      <c r="Q22" s="100">
        <f t="shared" si="0"/>
        <v>0.14285714285714279</v>
      </c>
      <c r="R22" s="99">
        <f t="shared" si="1"/>
        <v>1</v>
      </c>
      <c r="S22" s="100">
        <f>P22/P22</f>
        <v>1</v>
      </c>
    </row>
    <row r="23" spans="2:19" x14ac:dyDescent="0.25">
      <c r="B23" s="94" t="s">
        <v>60</v>
      </c>
      <c r="C23" s="95">
        <v>7</v>
      </c>
      <c r="D23" s="95">
        <v>3</v>
      </c>
      <c r="E23" s="95">
        <v>4</v>
      </c>
      <c r="F23" s="95">
        <v>5</v>
      </c>
      <c r="G23" s="95">
        <v>6</v>
      </c>
      <c r="H23" s="95">
        <v>6</v>
      </c>
      <c r="I23" s="96">
        <f t="shared" si="2"/>
        <v>0</v>
      </c>
      <c r="J23" s="95">
        <f t="shared" si="3"/>
        <v>0</v>
      </c>
      <c r="K23" s="96">
        <f>H23/H22</f>
        <v>0.8571428571428571</v>
      </c>
      <c r="L23" s="95">
        <v>3</v>
      </c>
      <c r="M23" s="95">
        <v>4</v>
      </c>
      <c r="N23" s="95">
        <v>6</v>
      </c>
      <c r="O23" s="95">
        <v>6</v>
      </c>
      <c r="P23" s="95">
        <v>6</v>
      </c>
      <c r="Q23" s="96">
        <f t="shared" si="0"/>
        <v>0</v>
      </c>
      <c r="R23" s="95">
        <f t="shared" si="1"/>
        <v>0</v>
      </c>
      <c r="S23" s="96">
        <f>P23/P22</f>
        <v>0.75</v>
      </c>
    </row>
    <row r="24" spans="2:19" x14ac:dyDescent="0.25">
      <c r="B24" s="94" t="s">
        <v>63</v>
      </c>
      <c r="C24" s="95">
        <v>6</v>
      </c>
      <c r="D24" s="95">
        <v>1</v>
      </c>
      <c r="E24" s="95">
        <v>0</v>
      </c>
      <c r="F24" s="95">
        <v>0</v>
      </c>
      <c r="G24" s="95">
        <v>0</v>
      </c>
      <c r="H24" s="95">
        <v>0</v>
      </c>
      <c r="I24" s="96" t="str">
        <f t="shared" si="2"/>
        <v>-</v>
      </c>
      <c r="J24" s="95">
        <f t="shared" si="3"/>
        <v>0</v>
      </c>
      <c r="K24" s="96">
        <f>H24/H22</f>
        <v>0</v>
      </c>
      <c r="L24" s="95">
        <v>0</v>
      </c>
      <c r="M24" s="95">
        <v>0</v>
      </c>
      <c r="N24" s="95">
        <v>0</v>
      </c>
      <c r="O24" s="95">
        <v>0</v>
      </c>
      <c r="P24" s="95">
        <v>0</v>
      </c>
      <c r="Q24" s="96" t="str">
        <f t="shared" si="0"/>
        <v>-</v>
      </c>
      <c r="R24" s="95">
        <f t="shared" si="1"/>
        <v>0</v>
      </c>
      <c r="S24" s="96">
        <f>P24/P22</f>
        <v>0</v>
      </c>
    </row>
    <row r="25" spans="2:19" x14ac:dyDescent="0.25">
      <c r="B25" s="91" t="s">
        <v>47</v>
      </c>
      <c r="C25" s="99">
        <v>6</v>
      </c>
      <c r="D25" s="99">
        <v>3</v>
      </c>
      <c r="E25" s="99">
        <v>4</v>
      </c>
      <c r="F25" s="99">
        <v>5</v>
      </c>
      <c r="G25" s="99">
        <v>4</v>
      </c>
      <c r="H25" s="99">
        <v>5</v>
      </c>
      <c r="I25" s="100">
        <f t="shared" si="2"/>
        <v>0.25</v>
      </c>
      <c r="J25" s="99">
        <f t="shared" si="3"/>
        <v>1</v>
      </c>
      <c r="K25" s="93">
        <f>H25/H25</f>
        <v>1</v>
      </c>
      <c r="L25" s="99">
        <v>3</v>
      </c>
      <c r="M25" s="99">
        <v>5</v>
      </c>
      <c r="N25" s="99">
        <v>5</v>
      </c>
      <c r="O25" s="99">
        <v>5</v>
      </c>
      <c r="P25" s="99">
        <v>6</v>
      </c>
      <c r="Q25" s="100">
        <f t="shared" si="0"/>
        <v>0.19999999999999996</v>
      </c>
      <c r="R25" s="99">
        <f t="shared" si="1"/>
        <v>1</v>
      </c>
      <c r="S25" s="93">
        <f>P25/P25</f>
        <v>1</v>
      </c>
    </row>
    <row r="26" spans="2:19" x14ac:dyDescent="0.25">
      <c r="B26" s="94" t="s">
        <v>60</v>
      </c>
      <c r="C26" s="95">
        <v>5</v>
      </c>
      <c r="D26" s="95">
        <v>2</v>
      </c>
      <c r="E26" s="95">
        <v>3</v>
      </c>
      <c r="F26" s="95">
        <v>4</v>
      </c>
      <c r="G26" s="95">
        <v>3</v>
      </c>
      <c r="H26" s="95">
        <v>4</v>
      </c>
      <c r="I26" s="96">
        <f t="shared" si="2"/>
        <v>0.33333333333333326</v>
      </c>
      <c r="J26" s="95">
        <f t="shared" si="3"/>
        <v>1</v>
      </c>
      <c r="K26" s="96">
        <f>H26/H25</f>
        <v>0.8</v>
      </c>
      <c r="L26" s="95">
        <v>2</v>
      </c>
      <c r="M26" s="95">
        <v>4</v>
      </c>
      <c r="N26" s="95">
        <v>4</v>
      </c>
      <c r="O26" s="95">
        <v>4</v>
      </c>
      <c r="P26" s="95">
        <v>5</v>
      </c>
      <c r="Q26" s="96">
        <f t="shared" si="0"/>
        <v>0.25</v>
      </c>
      <c r="R26" s="95">
        <f t="shared" si="1"/>
        <v>1</v>
      </c>
      <c r="S26" s="96">
        <f>P26/P25</f>
        <v>0.83333333333333337</v>
      </c>
    </row>
    <row r="27" spans="2:19" x14ac:dyDescent="0.25">
      <c r="B27" s="97" t="s">
        <v>61</v>
      </c>
      <c r="C27" s="52">
        <v>3</v>
      </c>
      <c r="D27" s="52">
        <v>0</v>
      </c>
      <c r="E27" s="52">
        <v>0</v>
      </c>
      <c r="F27" s="52">
        <v>0</v>
      </c>
      <c r="G27" s="52">
        <v>0</v>
      </c>
      <c r="H27" s="52">
        <v>0</v>
      </c>
      <c r="I27" s="98" t="str">
        <f t="shared" si="2"/>
        <v>-</v>
      </c>
      <c r="J27" s="52">
        <f t="shared" si="3"/>
        <v>0</v>
      </c>
      <c r="K27" s="98">
        <f>H27/H25</f>
        <v>0</v>
      </c>
      <c r="L27" s="52">
        <v>2</v>
      </c>
      <c r="M27" s="52">
        <v>0</v>
      </c>
      <c r="N27" s="52">
        <v>0</v>
      </c>
      <c r="O27" s="52">
        <v>0</v>
      </c>
      <c r="P27" s="52">
        <v>0</v>
      </c>
      <c r="Q27" s="98" t="str">
        <f t="shared" si="0"/>
        <v>-</v>
      </c>
      <c r="R27" s="52">
        <f t="shared" si="1"/>
        <v>0</v>
      </c>
      <c r="S27" s="98">
        <f>P27/P25</f>
        <v>0</v>
      </c>
    </row>
    <row r="28" spans="2:19" x14ac:dyDescent="0.25">
      <c r="B28" s="97" t="s">
        <v>62</v>
      </c>
      <c r="C28" s="52">
        <v>2</v>
      </c>
      <c r="D28" s="52">
        <v>0</v>
      </c>
      <c r="E28" s="52">
        <v>0</v>
      </c>
      <c r="F28" s="52">
        <v>0</v>
      </c>
      <c r="G28" s="52">
        <v>0</v>
      </c>
      <c r="H28" s="52">
        <v>0</v>
      </c>
      <c r="I28" s="98" t="str">
        <f t="shared" si="2"/>
        <v>-</v>
      </c>
      <c r="J28" s="52">
        <f t="shared" si="3"/>
        <v>0</v>
      </c>
      <c r="K28" s="98">
        <f>H28/H25</f>
        <v>0</v>
      </c>
      <c r="L28" s="52">
        <v>0</v>
      </c>
      <c r="M28" s="52">
        <v>0</v>
      </c>
      <c r="N28" s="52">
        <v>0</v>
      </c>
      <c r="O28" s="52">
        <v>0</v>
      </c>
      <c r="P28" s="52">
        <v>0</v>
      </c>
      <c r="Q28" s="98" t="str">
        <f t="shared" si="0"/>
        <v>-</v>
      </c>
      <c r="R28" s="52">
        <f t="shared" si="1"/>
        <v>0</v>
      </c>
      <c r="S28" s="98">
        <f>P28/P25</f>
        <v>0</v>
      </c>
    </row>
    <row r="29" spans="2:19" x14ac:dyDescent="0.25">
      <c r="B29" s="91" t="s">
        <v>48</v>
      </c>
      <c r="C29" s="99">
        <v>78</v>
      </c>
      <c r="D29" s="99">
        <v>33</v>
      </c>
      <c r="E29" s="99">
        <v>37</v>
      </c>
      <c r="F29" s="99">
        <v>59</v>
      </c>
      <c r="G29" s="99">
        <v>62</v>
      </c>
      <c r="H29" s="99">
        <v>64</v>
      </c>
      <c r="I29" s="100">
        <f t="shared" si="2"/>
        <v>3.2258064516129004E-2</v>
      </c>
      <c r="J29" s="99">
        <f t="shared" si="3"/>
        <v>2</v>
      </c>
      <c r="K29" s="93">
        <f>H29/H29</f>
        <v>1</v>
      </c>
      <c r="L29" s="99">
        <v>24</v>
      </c>
      <c r="M29" s="99">
        <v>57</v>
      </c>
      <c r="N29" s="99">
        <v>61</v>
      </c>
      <c r="O29" s="99">
        <v>63</v>
      </c>
      <c r="P29" s="99">
        <v>64</v>
      </c>
      <c r="Q29" s="100">
        <f t="shared" si="0"/>
        <v>1.5873015873015817E-2</v>
      </c>
      <c r="R29" s="99">
        <f t="shared" si="1"/>
        <v>1</v>
      </c>
      <c r="S29" s="93">
        <f>P29/P29</f>
        <v>1</v>
      </c>
    </row>
    <row r="30" spans="2:19" x14ac:dyDescent="0.25">
      <c r="B30" s="94" t="s">
        <v>60</v>
      </c>
      <c r="C30" s="95">
        <v>54</v>
      </c>
      <c r="D30" s="95">
        <v>21</v>
      </c>
      <c r="E30" s="95">
        <v>25</v>
      </c>
      <c r="F30" s="95">
        <v>41</v>
      </c>
      <c r="G30" s="95">
        <v>43</v>
      </c>
      <c r="H30" s="95">
        <v>45</v>
      </c>
      <c r="I30" s="96">
        <f t="shared" si="2"/>
        <v>4.6511627906976827E-2</v>
      </c>
      <c r="J30" s="95">
        <f t="shared" si="3"/>
        <v>2</v>
      </c>
      <c r="K30" s="96">
        <f>H30/H29</f>
        <v>0.703125</v>
      </c>
      <c r="L30" s="95">
        <v>14</v>
      </c>
      <c r="M30" s="95">
        <v>40</v>
      </c>
      <c r="N30" s="95">
        <v>42</v>
      </c>
      <c r="O30" s="95">
        <v>44</v>
      </c>
      <c r="P30" s="95">
        <v>45</v>
      </c>
      <c r="Q30" s="96">
        <f t="shared" si="0"/>
        <v>2.2727272727272707E-2</v>
      </c>
      <c r="R30" s="95">
        <f t="shared" si="1"/>
        <v>1</v>
      </c>
      <c r="S30" s="96">
        <f>P30/P29</f>
        <v>0.703125</v>
      </c>
    </row>
    <row r="31" spans="2:19" x14ac:dyDescent="0.25">
      <c r="B31" s="97" t="s">
        <v>61</v>
      </c>
      <c r="C31" s="52">
        <v>27</v>
      </c>
      <c r="D31" s="52">
        <v>11</v>
      </c>
      <c r="E31" s="52">
        <v>14</v>
      </c>
      <c r="F31" s="52">
        <v>25</v>
      </c>
      <c r="G31" s="52">
        <v>26</v>
      </c>
      <c r="H31" s="52">
        <v>28</v>
      </c>
      <c r="I31" s="98">
        <f t="shared" si="2"/>
        <v>7.6923076923076872E-2</v>
      </c>
      <c r="J31" s="52">
        <f t="shared" si="3"/>
        <v>2</v>
      </c>
      <c r="K31" s="98">
        <f>H31/H29</f>
        <v>0.4375</v>
      </c>
      <c r="L31" s="52">
        <v>6</v>
      </c>
      <c r="M31" s="52">
        <v>24</v>
      </c>
      <c r="N31" s="52">
        <v>26</v>
      </c>
      <c r="O31" s="52">
        <v>27</v>
      </c>
      <c r="P31" s="52">
        <v>28</v>
      </c>
      <c r="Q31" s="98">
        <f t="shared" si="0"/>
        <v>3.7037037037036979E-2</v>
      </c>
      <c r="R31" s="52">
        <f t="shared" si="1"/>
        <v>1</v>
      </c>
      <c r="S31" s="98">
        <f>P31/P29</f>
        <v>0.4375</v>
      </c>
    </row>
    <row r="32" spans="2:19" x14ac:dyDescent="0.25">
      <c r="B32" s="97" t="s">
        <v>62</v>
      </c>
      <c r="C32" s="52">
        <v>28</v>
      </c>
      <c r="D32" s="52">
        <v>10</v>
      </c>
      <c r="E32" s="52">
        <v>11</v>
      </c>
      <c r="F32" s="52">
        <v>16</v>
      </c>
      <c r="G32" s="52">
        <v>17</v>
      </c>
      <c r="H32" s="52">
        <v>17</v>
      </c>
      <c r="I32" s="98">
        <f t="shared" si="2"/>
        <v>0</v>
      </c>
      <c r="J32" s="52">
        <f t="shared" si="3"/>
        <v>0</v>
      </c>
      <c r="K32" s="98">
        <f>H32/H29</f>
        <v>0.265625</v>
      </c>
      <c r="L32" s="52">
        <v>8</v>
      </c>
      <c r="M32" s="52">
        <v>16</v>
      </c>
      <c r="N32" s="52">
        <v>16</v>
      </c>
      <c r="O32" s="52">
        <v>17</v>
      </c>
      <c r="P32" s="52">
        <v>17</v>
      </c>
      <c r="Q32" s="98">
        <f t="shared" si="0"/>
        <v>0</v>
      </c>
      <c r="R32" s="52">
        <f t="shared" si="1"/>
        <v>0</v>
      </c>
      <c r="S32" s="98">
        <f>P32/P29</f>
        <v>0.265625</v>
      </c>
    </row>
    <row r="33" spans="2:19" x14ac:dyDescent="0.25">
      <c r="B33" s="94" t="s">
        <v>63</v>
      </c>
      <c r="C33" s="95">
        <v>24</v>
      </c>
      <c r="D33" s="95">
        <v>12</v>
      </c>
      <c r="E33" s="95">
        <v>12</v>
      </c>
      <c r="F33" s="95">
        <v>18</v>
      </c>
      <c r="G33" s="95">
        <v>19</v>
      </c>
      <c r="H33" s="95">
        <v>19</v>
      </c>
      <c r="I33" s="96">
        <f t="shared" si="2"/>
        <v>0</v>
      </c>
      <c r="J33" s="95">
        <f t="shared" si="3"/>
        <v>0</v>
      </c>
      <c r="K33" s="96">
        <f>H33/H29</f>
        <v>0.296875</v>
      </c>
      <c r="L33" s="95">
        <v>10</v>
      </c>
      <c r="M33" s="95">
        <v>17</v>
      </c>
      <c r="N33" s="95">
        <v>19</v>
      </c>
      <c r="O33" s="95">
        <v>19</v>
      </c>
      <c r="P33" s="95">
        <v>19</v>
      </c>
      <c r="Q33" s="96">
        <f t="shared" si="0"/>
        <v>0</v>
      </c>
      <c r="R33" s="95">
        <f t="shared" si="1"/>
        <v>0</v>
      </c>
      <c r="S33" s="96">
        <f>P33/P29</f>
        <v>0.296875</v>
      </c>
    </row>
    <row r="34" spans="2:19" x14ac:dyDescent="0.25">
      <c r="B34" s="91" t="s">
        <v>49</v>
      </c>
      <c r="C34" s="99">
        <v>9</v>
      </c>
      <c r="D34" s="99">
        <v>4</v>
      </c>
      <c r="E34" s="99">
        <v>3</v>
      </c>
      <c r="F34" s="99">
        <v>5</v>
      </c>
      <c r="G34" s="99">
        <v>5</v>
      </c>
      <c r="H34" s="99">
        <v>6</v>
      </c>
      <c r="I34" s="100">
        <f t="shared" si="2"/>
        <v>0.19999999999999996</v>
      </c>
      <c r="J34" s="99">
        <f t="shared" si="3"/>
        <v>1</v>
      </c>
      <c r="K34" s="93">
        <f>H34/H34</f>
        <v>1</v>
      </c>
      <c r="L34" s="99">
        <v>3</v>
      </c>
      <c r="M34" s="99">
        <v>4</v>
      </c>
      <c r="N34" s="99">
        <v>5</v>
      </c>
      <c r="O34" s="99">
        <v>6</v>
      </c>
      <c r="P34" s="99">
        <v>6</v>
      </c>
      <c r="Q34" s="100">
        <f t="shared" si="0"/>
        <v>0</v>
      </c>
      <c r="R34" s="99">
        <f t="shared" si="1"/>
        <v>0</v>
      </c>
      <c r="S34" s="93">
        <f>P34/P34</f>
        <v>1</v>
      </c>
    </row>
    <row r="35" spans="2:19" x14ac:dyDescent="0.25">
      <c r="B35" s="94" t="s">
        <v>60</v>
      </c>
      <c r="C35" s="95">
        <v>9</v>
      </c>
      <c r="D35" s="95">
        <v>4</v>
      </c>
      <c r="E35" s="95">
        <v>3</v>
      </c>
      <c r="F35" s="95">
        <v>5</v>
      </c>
      <c r="G35" s="95">
        <v>5</v>
      </c>
      <c r="H35" s="95">
        <v>6</v>
      </c>
      <c r="I35" s="96">
        <f t="shared" si="2"/>
        <v>0.19999999999999996</v>
      </c>
      <c r="J35" s="95">
        <f t="shared" si="3"/>
        <v>1</v>
      </c>
      <c r="K35" s="96">
        <f>H35/H34</f>
        <v>1</v>
      </c>
      <c r="L35" s="95">
        <v>3</v>
      </c>
      <c r="M35" s="95">
        <v>4</v>
      </c>
      <c r="N35" s="95">
        <v>5</v>
      </c>
      <c r="O35" s="95">
        <v>6</v>
      </c>
      <c r="P35" s="95">
        <v>6</v>
      </c>
      <c r="Q35" s="96">
        <f t="shared" si="0"/>
        <v>0</v>
      </c>
      <c r="R35" s="95">
        <f t="shared" si="1"/>
        <v>0</v>
      </c>
      <c r="S35" s="96">
        <f>P35/P34</f>
        <v>1</v>
      </c>
    </row>
    <row r="36" spans="2:19" x14ac:dyDescent="0.25">
      <c r="B36" s="91" t="s">
        <v>50</v>
      </c>
      <c r="C36" s="99">
        <v>15</v>
      </c>
      <c r="D36" s="99">
        <v>6</v>
      </c>
      <c r="E36" s="99">
        <v>7</v>
      </c>
      <c r="F36" s="99">
        <v>11</v>
      </c>
      <c r="G36" s="99">
        <v>12</v>
      </c>
      <c r="H36" s="99">
        <v>12</v>
      </c>
      <c r="I36" s="100">
        <f t="shared" si="2"/>
        <v>0</v>
      </c>
      <c r="J36" s="99">
        <f t="shared" si="3"/>
        <v>0</v>
      </c>
      <c r="K36" s="100">
        <f>H36/H36</f>
        <v>1</v>
      </c>
      <c r="L36" s="99">
        <v>4</v>
      </c>
      <c r="M36" s="99">
        <v>10</v>
      </c>
      <c r="N36" s="99">
        <v>12</v>
      </c>
      <c r="O36" s="99">
        <v>12</v>
      </c>
      <c r="P36" s="99">
        <v>13</v>
      </c>
      <c r="Q36" s="100">
        <f t="shared" si="0"/>
        <v>8.3333333333333259E-2</v>
      </c>
      <c r="R36" s="99">
        <f t="shared" si="1"/>
        <v>1</v>
      </c>
      <c r="S36" s="100">
        <f>P36/P36</f>
        <v>1</v>
      </c>
    </row>
    <row r="37" spans="2:19" x14ac:dyDescent="0.25">
      <c r="B37" s="94" t="s">
        <v>60</v>
      </c>
      <c r="C37" s="95">
        <v>5</v>
      </c>
      <c r="D37" s="95">
        <v>2</v>
      </c>
      <c r="E37" s="95">
        <v>3</v>
      </c>
      <c r="F37" s="95">
        <v>6</v>
      </c>
      <c r="G37" s="95">
        <v>6</v>
      </c>
      <c r="H37" s="95">
        <v>6</v>
      </c>
      <c r="I37" s="96">
        <f t="shared" si="2"/>
        <v>0</v>
      </c>
      <c r="J37" s="95">
        <f t="shared" si="3"/>
        <v>0</v>
      </c>
      <c r="K37" s="96">
        <f>H37/H36</f>
        <v>0.5</v>
      </c>
      <c r="L37" s="95">
        <v>2</v>
      </c>
      <c r="M37" s="95">
        <v>5</v>
      </c>
      <c r="N37" s="95">
        <v>6</v>
      </c>
      <c r="O37" s="95">
        <v>6</v>
      </c>
      <c r="P37" s="95">
        <v>7</v>
      </c>
      <c r="Q37" s="96">
        <f t="shared" si="0"/>
        <v>0.16666666666666674</v>
      </c>
      <c r="R37" s="95">
        <f t="shared" si="1"/>
        <v>1</v>
      </c>
      <c r="S37" s="96">
        <f>P37/P36</f>
        <v>0.53846153846153844</v>
      </c>
    </row>
    <row r="38" spans="2:19" x14ac:dyDescent="0.25">
      <c r="B38" s="94" t="s">
        <v>63</v>
      </c>
      <c r="C38" s="95">
        <v>10</v>
      </c>
      <c r="D38" s="95">
        <v>3</v>
      </c>
      <c r="E38" s="95">
        <v>3</v>
      </c>
      <c r="F38" s="95">
        <v>5</v>
      </c>
      <c r="G38" s="95">
        <v>6</v>
      </c>
      <c r="H38" s="95">
        <v>6</v>
      </c>
      <c r="I38" s="96">
        <f t="shared" si="2"/>
        <v>0</v>
      </c>
      <c r="J38" s="95">
        <f t="shared" si="3"/>
        <v>0</v>
      </c>
      <c r="K38" s="96">
        <f>H38/H36</f>
        <v>0.5</v>
      </c>
      <c r="L38" s="95">
        <v>2</v>
      </c>
      <c r="M38" s="95">
        <v>5</v>
      </c>
      <c r="N38" s="95">
        <v>6</v>
      </c>
      <c r="O38" s="95">
        <v>6</v>
      </c>
      <c r="P38" s="95">
        <v>6</v>
      </c>
      <c r="Q38" s="96">
        <f t="shared" si="0"/>
        <v>0</v>
      </c>
      <c r="R38" s="95">
        <f t="shared" si="1"/>
        <v>0</v>
      </c>
      <c r="S38" s="96">
        <f>P38/P36</f>
        <v>0.46153846153846156</v>
      </c>
    </row>
    <row r="39" spans="2:19" x14ac:dyDescent="0.25">
      <c r="B39" s="91" t="s">
        <v>51</v>
      </c>
      <c r="C39" s="99">
        <v>23</v>
      </c>
      <c r="D39" s="99">
        <v>11</v>
      </c>
      <c r="E39" s="99">
        <v>12</v>
      </c>
      <c r="F39" s="99">
        <v>17</v>
      </c>
      <c r="G39" s="99">
        <v>19</v>
      </c>
      <c r="H39" s="99">
        <v>20</v>
      </c>
      <c r="I39" s="100">
        <f t="shared" si="2"/>
        <v>5.2631578947368363E-2</v>
      </c>
      <c r="J39" s="99">
        <f t="shared" si="3"/>
        <v>1</v>
      </c>
      <c r="K39" s="93">
        <f>H39/H39</f>
        <v>1</v>
      </c>
      <c r="L39" s="99">
        <v>10</v>
      </c>
      <c r="M39" s="99">
        <v>14</v>
      </c>
      <c r="N39" s="99">
        <v>19</v>
      </c>
      <c r="O39" s="99">
        <v>20</v>
      </c>
      <c r="P39" s="99">
        <v>20</v>
      </c>
      <c r="Q39" s="100">
        <f t="shared" si="0"/>
        <v>0</v>
      </c>
      <c r="R39" s="99">
        <f t="shared" si="1"/>
        <v>0</v>
      </c>
      <c r="S39" s="93">
        <f>P39/P39</f>
        <v>1</v>
      </c>
    </row>
    <row r="40" spans="2:19" x14ac:dyDescent="0.25">
      <c r="B40" s="94" t="s">
        <v>60</v>
      </c>
      <c r="C40" s="95">
        <v>23</v>
      </c>
      <c r="D40" s="95">
        <v>11</v>
      </c>
      <c r="E40" s="95">
        <v>12</v>
      </c>
      <c r="F40" s="95">
        <v>17</v>
      </c>
      <c r="G40" s="95">
        <v>19</v>
      </c>
      <c r="H40" s="95">
        <v>20</v>
      </c>
      <c r="I40" s="96">
        <f t="shared" si="2"/>
        <v>5.2631578947368363E-2</v>
      </c>
      <c r="J40" s="95">
        <f t="shared" si="3"/>
        <v>1</v>
      </c>
      <c r="K40" s="96">
        <f>H40/H39</f>
        <v>1</v>
      </c>
      <c r="L40" s="95">
        <v>10</v>
      </c>
      <c r="M40" s="95">
        <v>14</v>
      </c>
      <c r="N40" s="95">
        <v>19</v>
      </c>
      <c r="O40" s="95">
        <v>20</v>
      </c>
      <c r="P40" s="95">
        <v>20</v>
      </c>
      <c r="Q40" s="96">
        <f t="shared" si="0"/>
        <v>0</v>
      </c>
      <c r="R40" s="95">
        <f t="shared" si="1"/>
        <v>0</v>
      </c>
      <c r="S40" s="96">
        <f>P40/P39</f>
        <v>1</v>
      </c>
    </row>
    <row r="41" spans="2:19" x14ac:dyDescent="0.25">
      <c r="B41" s="97" t="s">
        <v>61</v>
      </c>
      <c r="C41" s="52">
        <v>5</v>
      </c>
      <c r="D41" s="52">
        <v>4</v>
      </c>
      <c r="E41" s="52">
        <v>7</v>
      </c>
      <c r="F41" s="52">
        <v>7</v>
      </c>
      <c r="G41" s="52">
        <v>7</v>
      </c>
      <c r="H41" s="52">
        <v>7</v>
      </c>
      <c r="I41" s="98">
        <f t="shared" si="2"/>
        <v>0</v>
      </c>
      <c r="J41" s="52">
        <f t="shared" si="3"/>
        <v>0</v>
      </c>
      <c r="K41" s="98">
        <f>H41/H39</f>
        <v>0.35</v>
      </c>
      <c r="L41" s="52">
        <v>5</v>
      </c>
      <c r="M41" s="52">
        <v>7</v>
      </c>
      <c r="N41" s="52">
        <v>7</v>
      </c>
      <c r="O41" s="52">
        <v>7</v>
      </c>
      <c r="P41" s="52">
        <v>8</v>
      </c>
      <c r="Q41" s="98">
        <f t="shared" si="0"/>
        <v>0.14285714285714279</v>
      </c>
      <c r="R41" s="52">
        <f t="shared" si="1"/>
        <v>1</v>
      </c>
      <c r="S41" s="98">
        <f>P41/P39</f>
        <v>0.4</v>
      </c>
    </row>
    <row r="42" spans="2:19" x14ac:dyDescent="0.25">
      <c r="B42" s="97" t="s">
        <v>62</v>
      </c>
      <c r="C42" s="52">
        <v>18</v>
      </c>
      <c r="D42" s="52">
        <v>7</v>
      </c>
      <c r="E42" s="52">
        <v>6</v>
      </c>
      <c r="F42" s="52">
        <v>10</v>
      </c>
      <c r="G42" s="52">
        <v>12</v>
      </c>
      <c r="H42" s="52">
        <v>13</v>
      </c>
      <c r="I42" s="98">
        <f t="shared" si="2"/>
        <v>8.3333333333333259E-2</v>
      </c>
      <c r="J42" s="52">
        <f t="shared" si="3"/>
        <v>1</v>
      </c>
      <c r="K42" s="98">
        <f>H42/H39</f>
        <v>0.65</v>
      </c>
      <c r="L42" s="52">
        <v>5</v>
      </c>
      <c r="M42" s="52">
        <v>7</v>
      </c>
      <c r="N42" s="52">
        <v>12</v>
      </c>
      <c r="O42" s="52">
        <v>13</v>
      </c>
      <c r="P42" s="52">
        <v>12</v>
      </c>
      <c r="Q42" s="98">
        <f t="shared" si="0"/>
        <v>-7.6923076923076872E-2</v>
      </c>
      <c r="R42" s="52">
        <f t="shared" si="1"/>
        <v>-1</v>
      </c>
      <c r="S42" s="98">
        <f>P42/P39</f>
        <v>0.6</v>
      </c>
    </row>
    <row r="43" spans="2:19" x14ac:dyDescent="0.25">
      <c r="B43" s="91" t="s">
        <v>52</v>
      </c>
      <c r="C43" s="99">
        <v>19</v>
      </c>
      <c r="D43" s="99">
        <v>9</v>
      </c>
      <c r="E43" s="99">
        <v>11</v>
      </c>
      <c r="F43" s="99">
        <v>14</v>
      </c>
      <c r="G43" s="99">
        <v>14</v>
      </c>
      <c r="H43" s="99">
        <v>14</v>
      </c>
      <c r="I43" s="100">
        <f t="shared" si="2"/>
        <v>0</v>
      </c>
      <c r="J43" s="99">
        <f t="shared" si="3"/>
        <v>0</v>
      </c>
      <c r="K43" s="93">
        <f>H43/H43</f>
        <v>1</v>
      </c>
      <c r="L43" s="99">
        <v>9</v>
      </c>
      <c r="M43" s="99">
        <v>14</v>
      </c>
      <c r="N43" s="99">
        <v>14</v>
      </c>
      <c r="O43" s="99">
        <v>14</v>
      </c>
      <c r="P43" s="99">
        <v>15</v>
      </c>
      <c r="Q43" s="100">
        <f t="shared" si="0"/>
        <v>7.1428571428571397E-2</v>
      </c>
      <c r="R43" s="99">
        <f t="shared" si="1"/>
        <v>1</v>
      </c>
      <c r="S43" s="93">
        <f>P43/P43</f>
        <v>1</v>
      </c>
    </row>
    <row r="44" spans="2:19" x14ac:dyDescent="0.25">
      <c r="B44" s="94" t="s">
        <v>60</v>
      </c>
      <c r="C44" s="95">
        <v>7</v>
      </c>
      <c r="D44" s="95">
        <v>4</v>
      </c>
      <c r="E44" s="95">
        <v>5</v>
      </c>
      <c r="F44" s="95">
        <v>8</v>
      </c>
      <c r="G44" s="95">
        <v>8</v>
      </c>
      <c r="H44" s="95">
        <v>8</v>
      </c>
      <c r="I44" s="96">
        <f t="shared" si="2"/>
        <v>0</v>
      </c>
      <c r="J44" s="95">
        <f t="shared" si="3"/>
        <v>0</v>
      </c>
      <c r="K44" s="96">
        <f>H44/H43</f>
        <v>0.5714285714285714</v>
      </c>
      <c r="L44" s="95">
        <v>4</v>
      </c>
      <c r="M44" s="95">
        <v>8</v>
      </c>
      <c r="N44" s="95">
        <v>8</v>
      </c>
      <c r="O44" s="95">
        <v>8</v>
      </c>
      <c r="P44" s="95">
        <v>8</v>
      </c>
      <c r="Q44" s="96">
        <f t="shared" si="0"/>
        <v>0</v>
      </c>
      <c r="R44" s="95">
        <f t="shared" si="1"/>
        <v>0</v>
      </c>
      <c r="S44" s="96">
        <f>P44/P43</f>
        <v>0.53333333333333333</v>
      </c>
    </row>
    <row r="45" spans="2:19" x14ac:dyDescent="0.25">
      <c r="B45" s="97" t="s">
        <v>61</v>
      </c>
      <c r="C45" s="52">
        <v>5</v>
      </c>
      <c r="D45" s="52">
        <v>0</v>
      </c>
      <c r="E45" s="52">
        <v>4</v>
      </c>
      <c r="F45" s="52">
        <v>6</v>
      </c>
      <c r="G45" s="52">
        <v>6</v>
      </c>
      <c r="H45" s="52">
        <v>6</v>
      </c>
      <c r="I45" s="98">
        <f t="shared" si="2"/>
        <v>0</v>
      </c>
      <c r="J45" s="52">
        <f t="shared" si="3"/>
        <v>0</v>
      </c>
      <c r="K45" s="98">
        <f>H45/H43</f>
        <v>0.42857142857142855</v>
      </c>
      <c r="L45" s="52">
        <v>0</v>
      </c>
      <c r="M45" s="52">
        <v>6</v>
      </c>
      <c r="N45" s="52">
        <v>6</v>
      </c>
      <c r="O45" s="52">
        <v>6</v>
      </c>
      <c r="P45" s="52">
        <v>6</v>
      </c>
      <c r="Q45" s="98">
        <f t="shared" si="0"/>
        <v>0</v>
      </c>
      <c r="R45" s="52">
        <f t="shared" si="1"/>
        <v>0</v>
      </c>
      <c r="S45" s="98">
        <f>P45/P43</f>
        <v>0.4</v>
      </c>
    </row>
    <row r="46" spans="2:19" x14ac:dyDescent="0.25">
      <c r="B46" s="97" t="s">
        <v>62</v>
      </c>
      <c r="C46" s="52">
        <v>2</v>
      </c>
      <c r="D46" s="52">
        <v>0</v>
      </c>
      <c r="E46" s="52">
        <v>2</v>
      </c>
      <c r="F46" s="52">
        <v>2</v>
      </c>
      <c r="G46" s="52">
        <v>2</v>
      </c>
      <c r="H46" s="52">
        <v>2</v>
      </c>
      <c r="I46" s="98">
        <f t="shared" si="2"/>
        <v>0</v>
      </c>
      <c r="J46" s="52">
        <f t="shared" si="3"/>
        <v>0</v>
      </c>
      <c r="K46" s="98">
        <f>H46/H43</f>
        <v>0.14285714285714285</v>
      </c>
      <c r="L46" s="52">
        <v>0</v>
      </c>
      <c r="M46" s="52">
        <v>2</v>
      </c>
      <c r="N46" s="52">
        <v>2</v>
      </c>
      <c r="O46" s="52">
        <v>2</v>
      </c>
      <c r="P46" s="52">
        <v>2</v>
      </c>
      <c r="Q46" s="98">
        <f t="shared" si="0"/>
        <v>0</v>
      </c>
      <c r="R46" s="52">
        <f t="shared" si="1"/>
        <v>0</v>
      </c>
      <c r="S46" s="98">
        <f>P46/P43</f>
        <v>0.13333333333333333</v>
      </c>
    </row>
    <row r="47" spans="2:19" x14ac:dyDescent="0.25">
      <c r="B47" s="94" t="s">
        <v>63</v>
      </c>
      <c r="C47" s="95">
        <v>12</v>
      </c>
      <c r="D47" s="95">
        <v>5</v>
      </c>
      <c r="E47" s="95">
        <v>6</v>
      </c>
      <c r="F47" s="95">
        <v>6</v>
      </c>
      <c r="G47" s="95">
        <v>6</v>
      </c>
      <c r="H47" s="95">
        <v>6</v>
      </c>
      <c r="I47" s="96">
        <f t="shared" si="2"/>
        <v>0</v>
      </c>
      <c r="J47" s="95">
        <f t="shared" si="3"/>
        <v>0</v>
      </c>
      <c r="K47" s="96">
        <f>H47/H43</f>
        <v>0.42857142857142855</v>
      </c>
      <c r="L47" s="95">
        <v>5</v>
      </c>
      <c r="M47" s="95">
        <v>6</v>
      </c>
      <c r="N47" s="95">
        <v>6</v>
      </c>
      <c r="O47" s="95">
        <v>6</v>
      </c>
      <c r="P47" s="95">
        <v>7</v>
      </c>
      <c r="Q47" s="96">
        <f t="shared" si="0"/>
        <v>0.16666666666666674</v>
      </c>
      <c r="R47" s="95">
        <f t="shared" si="1"/>
        <v>1</v>
      </c>
      <c r="S47" s="96">
        <f>P47/P43</f>
        <v>0.46666666666666667</v>
      </c>
    </row>
    <row r="48" spans="2:19" x14ac:dyDescent="0.25">
      <c r="B48" s="91" t="s">
        <v>53</v>
      </c>
      <c r="C48" s="99">
        <v>22</v>
      </c>
      <c r="D48" s="99">
        <v>11</v>
      </c>
      <c r="E48" s="99">
        <v>13</v>
      </c>
      <c r="F48" s="99">
        <v>16</v>
      </c>
      <c r="G48" s="99">
        <v>16</v>
      </c>
      <c r="H48" s="99">
        <v>18</v>
      </c>
      <c r="I48" s="100">
        <f t="shared" si="2"/>
        <v>0.125</v>
      </c>
      <c r="J48" s="99">
        <f t="shared" si="3"/>
        <v>2</v>
      </c>
      <c r="K48" s="93">
        <f>H48/H48</f>
        <v>1</v>
      </c>
      <c r="L48" s="99">
        <v>11</v>
      </c>
      <c r="M48" s="99">
        <v>17</v>
      </c>
      <c r="N48" s="99">
        <v>16</v>
      </c>
      <c r="O48" s="99">
        <v>18</v>
      </c>
      <c r="P48" s="99">
        <v>19</v>
      </c>
      <c r="Q48" s="100">
        <f t="shared" si="0"/>
        <v>5.555555555555558E-2</v>
      </c>
      <c r="R48" s="99">
        <f t="shared" si="1"/>
        <v>1</v>
      </c>
      <c r="S48" s="93">
        <f>P48/P48</f>
        <v>1</v>
      </c>
    </row>
    <row r="49" spans="2:19" x14ac:dyDescent="0.25">
      <c r="B49" s="94" t="s">
        <v>60</v>
      </c>
      <c r="C49" s="95">
        <v>18</v>
      </c>
      <c r="D49" s="95">
        <v>9</v>
      </c>
      <c r="E49" s="95">
        <v>12</v>
      </c>
      <c r="F49" s="95">
        <v>14</v>
      </c>
      <c r="G49" s="95">
        <v>13</v>
      </c>
      <c r="H49" s="95">
        <v>15</v>
      </c>
      <c r="I49" s="96">
        <f t="shared" si="2"/>
        <v>0.15384615384615374</v>
      </c>
      <c r="J49" s="95">
        <f t="shared" si="3"/>
        <v>2</v>
      </c>
      <c r="K49" s="96">
        <f>H49/H48</f>
        <v>0.83333333333333337</v>
      </c>
      <c r="L49" s="95">
        <v>10</v>
      </c>
      <c r="M49" s="95">
        <v>15</v>
      </c>
      <c r="N49" s="95">
        <v>13</v>
      </c>
      <c r="O49" s="95">
        <v>15</v>
      </c>
      <c r="P49" s="95">
        <v>16</v>
      </c>
      <c r="Q49" s="96">
        <f t="shared" si="0"/>
        <v>6.6666666666666652E-2</v>
      </c>
      <c r="R49" s="95">
        <f t="shared" si="1"/>
        <v>1</v>
      </c>
      <c r="S49" s="96">
        <f>P49/P48</f>
        <v>0.84210526315789469</v>
      </c>
    </row>
    <row r="50" spans="2:19" x14ac:dyDescent="0.25">
      <c r="B50" s="97" t="s">
        <v>61</v>
      </c>
      <c r="C50" s="52">
        <v>9</v>
      </c>
      <c r="D50" s="52">
        <v>5</v>
      </c>
      <c r="E50" s="52">
        <v>8</v>
      </c>
      <c r="F50" s="52">
        <v>8</v>
      </c>
      <c r="G50" s="52">
        <v>8</v>
      </c>
      <c r="H50" s="52">
        <v>8</v>
      </c>
      <c r="I50" s="98">
        <f t="shared" si="2"/>
        <v>0</v>
      </c>
      <c r="J50" s="52">
        <f t="shared" si="3"/>
        <v>0</v>
      </c>
      <c r="K50" s="98">
        <f>H50/H48</f>
        <v>0.44444444444444442</v>
      </c>
      <c r="L50" s="52">
        <v>7</v>
      </c>
      <c r="M50" s="52">
        <v>9</v>
      </c>
      <c r="N50" s="52">
        <v>8</v>
      </c>
      <c r="O50" s="52">
        <v>8</v>
      </c>
      <c r="P50" s="52">
        <v>8</v>
      </c>
      <c r="Q50" s="98">
        <f t="shared" si="0"/>
        <v>0</v>
      </c>
      <c r="R50" s="52">
        <f t="shared" si="1"/>
        <v>0</v>
      </c>
      <c r="S50" s="98">
        <f>P50/P48</f>
        <v>0.42105263157894735</v>
      </c>
    </row>
    <row r="51" spans="2:19" x14ac:dyDescent="0.25">
      <c r="B51" s="97" t="s">
        <v>62</v>
      </c>
      <c r="C51" s="52">
        <v>9</v>
      </c>
      <c r="D51" s="52">
        <v>4</v>
      </c>
      <c r="E51" s="52">
        <v>4</v>
      </c>
      <c r="F51" s="52">
        <v>6</v>
      </c>
      <c r="G51" s="52">
        <v>5</v>
      </c>
      <c r="H51" s="52">
        <v>7</v>
      </c>
      <c r="I51" s="98">
        <f t="shared" si="2"/>
        <v>0.39999999999999991</v>
      </c>
      <c r="J51" s="52">
        <f t="shared" si="3"/>
        <v>2</v>
      </c>
      <c r="K51" s="98">
        <f>H51/H48</f>
        <v>0.3888888888888889</v>
      </c>
      <c r="L51" s="52">
        <v>3</v>
      </c>
      <c r="M51" s="52">
        <v>6</v>
      </c>
      <c r="N51" s="52">
        <v>5</v>
      </c>
      <c r="O51" s="52">
        <v>7</v>
      </c>
      <c r="P51" s="52">
        <v>8</v>
      </c>
      <c r="Q51" s="98">
        <f t="shared" si="0"/>
        <v>0.14285714285714279</v>
      </c>
      <c r="R51" s="52">
        <f t="shared" si="1"/>
        <v>1</v>
      </c>
      <c r="S51" s="98">
        <f>P51/P48</f>
        <v>0.42105263157894735</v>
      </c>
    </row>
    <row r="52" spans="2:19" x14ac:dyDescent="0.25">
      <c r="B52" s="94" t="s">
        <v>63</v>
      </c>
      <c r="C52" s="95">
        <v>5</v>
      </c>
      <c r="D52" s="95">
        <v>2</v>
      </c>
      <c r="E52" s="95">
        <v>2</v>
      </c>
      <c r="F52" s="95">
        <v>3</v>
      </c>
      <c r="G52" s="95">
        <v>4</v>
      </c>
      <c r="H52" s="95">
        <v>4</v>
      </c>
      <c r="I52" s="96">
        <f t="shared" si="2"/>
        <v>0</v>
      </c>
      <c r="J52" s="95">
        <f t="shared" si="3"/>
        <v>0</v>
      </c>
      <c r="K52" s="96">
        <f>H52/H48</f>
        <v>0.22222222222222221</v>
      </c>
      <c r="L52" s="95">
        <v>2</v>
      </c>
      <c r="M52" s="95">
        <v>3</v>
      </c>
      <c r="N52" s="95">
        <v>4</v>
      </c>
      <c r="O52" s="95">
        <v>4</v>
      </c>
      <c r="P52" s="95">
        <v>4</v>
      </c>
      <c r="Q52" s="96">
        <f t="shared" si="0"/>
        <v>0</v>
      </c>
      <c r="R52" s="95">
        <f t="shared" si="1"/>
        <v>0</v>
      </c>
      <c r="S52" s="96">
        <f>P52/P48</f>
        <v>0.21052631578947367</v>
      </c>
    </row>
    <row r="53" spans="2:19" ht="4.5" customHeight="1" x14ac:dyDescent="0.25">
      <c r="B53" s="101"/>
      <c r="C53" s="102"/>
      <c r="D53" s="102"/>
      <c r="E53" s="102"/>
      <c r="F53" s="102"/>
      <c r="G53" s="103"/>
      <c r="H53" s="102"/>
      <c r="I53" s="104"/>
      <c r="J53" s="102"/>
      <c r="K53" s="104"/>
      <c r="L53" s="102"/>
      <c r="M53" s="102"/>
      <c r="N53" s="102"/>
      <c r="O53" s="102"/>
      <c r="P53" s="104"/>
      <c r="Q53" s="104"/>
      <c r="R53" s="104"/>
    </row>
    <row r="54" spans="2:19" x14ac:dyDescent="0.25">
      <c r="B54" s="105" t="s">
        <v>55</v>
      </c>
      <c r="C54" s="105"/>
      <c r="D54" s="105"/>
      <c r="E54" s="105"/>
      <c r="F54" s="105"/>
      <c r="G54" s="105"/>
      <c r="H54" s="105"/>
      <c r="I54" s="105"/>
      <c r="J54" s="105"/>
      <c r="K54" s="105"/>
      <c r="L54" s="105"/>
      <c r="M54" s="105"/>
      <c r="N54" s="105"/>
      <c r="O54" s="105"/>
      <c r="P54" s="105"/>
      <c r="Q54" s="105"/>
      <c r="R54" s="105"/>
    </row>
  </sheetData>
  <mergeCells count="2">
    <mergeCell ref="C5:H5"/>
    <mergeCell ref="L5:P5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88D671-B365-4649-89D3-D08ADAA6C32F}">
  <sheetPr codeName="Hoja7">
    <tabColor theme="7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591B3-23B7-4C0F-B807-57C1D0457683}">
  <sheetPr codeName="Hoja15">
    <tabColor theme="7" tint="0.79998168889431442"/>
  </sheetPr>
  <dimension ref="A4:O290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</cols>
  <sheetData>
    <row r="4" spans="1:15" ht="48.75" customHeight="1" thickBot="1" x14ac:dyDescent="0.3">
      <c r="B4" s="265" t="s">
        <v>234</v>
      </c>
      <c r="C4" s="265"/>
      <c r="D4" s="265"/>
      <c r="E4" s="265"/>
      <c r="F4" s="265"/>
      <c r="G4" s="265"/>
      <c r="H4" s="265"/>
      <c r="I4" s="265"/>
      <c r="J4" s="265"/>
      <c r="K4" s="265"/>
      <c r="L4" s="265"/>
      <c r="M4" s="265"/>
      <c r="N4" s="265"/>
      <c r="O4" s="1" t="s">
        <v>66</v>
      </c>
    </row>
    <row r="5" spans="1:15" ht="10.5" customHeight="1" thickBot="1" x14ac:dyDescent="0.3">
      <c r="B5" s="106"/>
      <c r="C5" s="107"/>
      <c r="D5" s="106"/>
      <c r="E5" s="106"/>
      <c r="F5" s="106"/>
      <c r="G5" s="106"/>
      <c r="H5" s="106"/>
      <c r="I5" s="106"/>
      <c r="J5" s="106"/>
      <c r="K5" s="106"/>
      <c r="L5" s="106"/>
      <c r="M5" s="4"/>
      <c r="N5" s="4"/>
      <c r="O5" s="1" t="s">
        <v>67</v>
      </c>
    </row>
    <row r="6" spans="1:15" ht="22.5" thickTop="1" thickBot="1" x14ac:dyDescent="0.3">
      <c r="B6" s="108" t="s">
        <v>30</v>
      </c>
      <c r="C6" s="290" t="s">
        <v>68</v>
      </c>
      <c r="D6" s="291"/>
      <c r="E6" s="291"/>
      <c r="F6" s="291"/>
      <c r="G6" s="291"/>
      <c r="H6" s="291"/>
      <c r="I6" s="291"/>
      <c r="J6" s="291"/>
      <c r="K6" s="291"/>
      <c r="L6" s="291"/>
      <c r="M6" s="291"/>
      <c r="N6" s="291"/>
    </row>
    <row r="7" spans="1:15" ht="22.5" thickTop="1" thickBot="1" x14ac:dyDescent="0.3">
      <c r="B7" s="109"/>
      <c r="C7" s="292">
        <f>E7-1</f>
        <v>2020</v>
      </c>
      <c r="D7" s="293"/>
      <c r="E7" s="294">
        <f>G7-1</f>
        <v>2021</v>
      </c>
      <c r="F7" s="293"/>
      <c r="G7" s="294">
        <f>I7-1</f>
        <v>2022</v>
      </c>
      <c r="H7" s="293"/>
      <c r="I7" s="294">
        <f>K7-1</f>
        <v>2023</v>
      </c>
      <c r="J7" s="293"/>
      <c r="K7" s="294">
        <f>M7-1</f>
        <v>2024</v>
      </c>
      <c r="L7" s="293"/>
      <c r="M7" s="294">
        <v>2025</v>
      </c>
      <c r="N7" s="295"/>
    </row>
    <row r="8" spans="1:15" ht="16.5" thickTop="1" thickBot="1" x14ac:dyDescent="0.3">
      <c r="B8" s="85"/>
      <c r="C8" s="111" t="s">
        <v>69</v>
      </c>
      <c r="D8" s="112" t="str">
        <f>CONCATENATE("var ",RIGHT(C7,2),"/",RIGHT(C7-1,2))</f>
        <v>var 20/19</v>
      </c>
      <c r="E8" s="113" t="s">
        <v>69</v>
      </c>
      <c r="F8" s="112" t="str">
        <f>CONCATENATE("var ",RIGHT(E7,2),"/",RIGHT(E7-1,2))</f>
        <v>var 21/20</v>
      </c>
      <c r="G8" s="113" t="s">
        <v>69</v>
      </c>
      <c r="H8" s="112" t="str">
        <f>CONCATENATE("var ",RIGHT(G7,2),"/",RIGHT(G7-1,2))</f>
        <v>var 22/21</v>
      </c>
      <c r="I8" s="113" t="s">
        <v>69</v>
      </c>
      <c r="J8" s="112" t="str">
        <f>CONCATENATE("var ",RIGHT(I7,2),"/",RIGHT(I7-1,2))</f>
        <v>var 23/22</v>
      </c>
      <c r="K8" s="113" t="s">
        <v>69</v>
      </c>
      <c r="L8" s="112" t="str">
        <f>CONCATENATE("var ",RIGHT(K7,2),"/",RIGHT(K7-1,2))</f>
        <v>var 24/23</v>
      </c>
      <c r="M8" s="113" t="s">
        <v>69</v>
      </c>
      <c r="N8" s="112" t="str">
        <f>CONCATENATE("var ",RIGHT(M7,2),"/",RIGHT(M7-1,2))</f>
        <v>var 25/24</v>
      </c>
    </row>
    <row r="9" spans="1:15" x14ac:dyDescent="0.25">
      <c r="A9" s="1" t="s">
        <v>70</v>
      </c>
      <c r="B9" s="114" t="s">
        <v>71</v>
      </c>
      <c r="C9" s="115">
        <v>61311</v>
      </c>
      <c r="D9" s="116">
        <v>6.9048490871998824E-2</v>
      </c>
      <c r="E9" s="115">
        <v>4603</v>
      </c>
      <c r="F9" s="116">
        <f t="shared" ref="F9:N21" si="0">IFERROR(E9/C9-1,"-")</f>
        <v>-0.9249237494087521</v>
      </c>
      <c r="G9" s="115">
        <v>36105</v>
      </c>
      <c r="H9" s="116">
        <f>IFERROR(G9/E9-1,"-")</f>
        <v>6.8437975233543344</v>
      </c>
      <c r="I9" s="115">
        <v>60088</v>
      </c>
      <c r="J9" s="116">
        <f t="shared" si="0"/>
        <v>0.6642570281124498</v>
      </c>
      <c r="K9" s="115">
        <v>64481</v>
      </c>
      <c r="L9" s="116">
        <f t="shared" si="0"/>
        <v>7.3109439488749928E-2</v>
      </c>
      <c r="M9" s="115">
        <v>65410</v>
      </c>
      <c r="N9" s="116">
        <f t="shared" si="0"/>
        <v>1.4407344799243216E-2</v>
      </c>
    </row>
    <row r="10" spans="1:15" x14ac:dyDescent="0.25">
      <c r="A10" s="1" t="s">
        <v>72</v>
      </c>
      <c r="B10" s="114" t="s">
        <v>73</v>
      </c>
      <c r="C10" s="115">
        <v>57643</v>
      </c>
      <c r="D10" s="116">
        <v>8.7952739557971338E-2</v>
      </c>
      <c r="E10" s="115">
        <v>6183</v>
      </c>
      <c r="F10" s="116">
        <f t="shared" si="0"/>
        <v>-0.89273632531270053</v>
      </c>
      <c r="G10" s="115">
        <v>50459</v>
      </c>
      <c r="H10" s="116">
        <f t="shared" si="0"/>
        <v>7.1609251172569941</v>
      </c>
      <c r="I10" s="115">
        <v>57829</v>
      </c>
      <c r="J10" s="116">
        <f t="shared" si="0"/>
        <v>0.14605917675736735</v>
      </c>
      <c r="K10" s="115">
        <v>66869</v>
      </c>
      <c r="L10" s="116">
        <f t="shared" si="0"/>
        <v>0.1563229521520344</v>
      </c>
      <c r="M10" s="115"/>
      <c r="N10" s="116"/>
    </row>
    <row r="11" spans="1:15" x14ac:dyDescent="0.25">
      <c r="A11" s="1" t="s">
        <v>74</v>
      </c>
      <c r="B11" s="114" t="s">
        <v>75</v>
      </c>
      <c r="C11" s="115">
        <v>23288</v>
      </c>
      <c r="D11" s="116">
        <v>-0.65823304960375695</v>
      </c>
      <c r="E11" s="115">
        <v>8151</v>
      </c>
      <c r="F11" s="116">
        <f t="shared" si="0"/>
        <v>-0.64999141188594978</v>
      </c>
      <c r="G11" s="115">
        <v>57186</v>
      </c>
      <c r="H11" s="116">
        <f t="shared" si="0"/>
        <v>6.0158262789841741</v>
      </c>
      <c r="I11" s="115">
        <v>66430</v>
      </c>
      <c r="J11" s="116">
        <f t="shared" si="0"/>
        <v>0.1616479557933761</v>
      </c>
      <c r="K11" s="115">
        <v>76278</v>
      </c>
      <c r="L11" s="116">
        <f t="shared" si="0"/>
        <v>0.14824627427367143</v>
      </c>
      <c r="M11" s="115"/>
      <c r="N11" s="116"/>
    </row>
    <row r="12" spans="1:15" x14ac:dyDescent="0.25">
      <c r="A12" s="1" t="s">
        <v>76</v>
      </c>
      <c r="B12" s="114" t="s">
        <v>77</v>
      </c>
      <c r="C12" s="115">
        <v>0</v>
      </c>
      <c r="D12" s="116">
        <v>-1</v>
      </c>
      <c r="E12" s="115">
        <v>8112</v>
      </c>
      <c r="F12" s="116" t="str">
        <f t="shared" si="0"/>
        <v>-</v>
      </c>
      <c r="G12" s="115">
        <v>60780</v>
      </c>
      <c r="H12" s="116">
        <f t="shared" si="0"/>
        <v>6.4926035502958577</v>
      </c>
      <c r="I12" s="115">
        <v>65148</v>
      </c>
      <c r="J12" s="116">
        <f t="shared" si="0"/>
        <v>7.1865745310957463E-2</v>
      </c>
      <c r="K12" s="115">
        <v>66545</v>
      </c>
      <c r="L12" s="116">
        <f t="shared" si="0"/>
        <v>2.1443482532080838E-2</v>
      </c>
      <c r="M12" s="115"/>
      <c r="N12" s="116"/>
    </row>
    <row r="13" spans="1:15" x14ac:dyDescent="0.25">
      <c r="A13" s="1" t="s">
        <v>78</v>
      </c>
      <c r="B13" s="114" t="s">
        <v>79</v>
      </c>
      <c r="C13" s="115">
        <v>0</v>
      </c>
      <c r="D13" s="116">
        <v>-1</v>
      </c>
      <c r="E13" s="115">
        <v>18010</v>
      </c>
      <c r="F13" s="116" t="str">
        <f t="shared" si="0"/>
        <v>-</v>
      </c>
      <c r="G13" s="115">
        <v>53595</v>
      </c>
      <c r="H13" s="116">
        <f t="shared" si="0"/>
        <v>1.975846751804553</v>
      </c>
      <c r="I13" s="115">
        <v>58098</v>
      </c>
      <c r="J13" s="116">
        <f t="shared" si="0"/>
        <v>8.4019031626084484E-2</v>
      </c>
      <c r="K13" s="115">
        <v>77065</v>
      </c>
      <c r="L13" s="116">
        <f t="shared" si="0"/>
        <v>0.32646562704396032</v>
      </c>
      <c r="M13" s="115"/>
      <c r="N13" s="116"/>
    </row>
    <row r="14" spans="1:15" x14ac:dyDescent="0.25">
      <c r="A14" s="1" t="s">
        <v>80</v>
      </c>
      <c r="B14" s="114" t="s">
        <v>81</v>
      </c>
      <c r="C14" s="115">
        <v>0</v>
      </c>
      <c r="D14" s="116">
        <v>-1</v>
      </c>
      <c r="E14" s="115">
        <v>25023</v>
      </c>
      <c r="F14" s="116" t="str">
        <f t="shared" si="0"/>
        <v>-</v>
      </c>
      <c r="G14" s="115">
        <v>63207</v>
      </c>
      <c r="H14" s="116">
        <f t="shared" si="0"/>
        <v>1.5259561203692602</v>
      </c>
      <c r="I14" s="115">
        <v>71344</v>
      </c>
      <c r="J14" s="116">
        <f t="shared" si="0"/>
        <v>0.12873574129447696</v>
      </c>
      <c r="K14" s="115">
        <v>83393</v>
      </c>
      <c r="L14" s="116">
        <f t="shared" si="0"/>
        <v>0.16888596097779773</v>
      </c>
      <c r="M14" s="115"/>
      <c r="N14" s="116"/>
    </row>
    <row r="15" spans="1:15" x14ac:dyDescent="0.25">
      <c r="A15" s="1" t="s">
        <v>82</v>
      </c>
      <c r="B15" s="114" t="s">
        <v>83</v>
      </c>
      <c r="C15" s="115">
        <v>0</v>
      </c>
      <c r="D15" s="116">
        <v>-1</v>
      </c>
      <c r="E15" s="115">
        <v>41575</v>
      </c>
      <c r="F15" s="116" t="str">
        <f t="shared" si="0"/>
        <v>-</v>
      </c>
      <c r="G15" s="115">
        <v>73949</v>
      </c>
      <c r="H15" s="116">
        <f t="shared" si="0"/>
        <v>0.77868911605532176</v>
      </c>
      <c r="I15" s="115">
        <v>74357</v>
      </c>
      <c r="J15" s="116">
        <f t="shared" si="0"/>
        <v>5.5173159880457234E-3</v>
      </c>
      <c r="K15" s="115">
        <v>90048</v>
      </c>
      <c r="L15" s="116">
        <f t="shared" si="0"/>
        <v>0.21102249956291952</v>
      </c>
      <c r="M15" s="115"/>
      <c r="N15" s="116"/>
    </row>
    <row r="16" spans="1:15" x14ac:dyDescent="0.25">
      <c r="A16" s="1" t="s">
        <v>84</v>
      </c>
      <c r="B16" s="114" t="s">
        <v>85</v>
      </c>
      <c r="C16" s="115">
        <v>21705</v>
      </c>
      <c r="D16" s="116">
        <v>-0.71468570076504456</v>
      </c>
      <c r="E16" s="115">
        <v>50036</v>
      </c>
      <c r="F16" s="116">
        <f t="shared" si="0"/>
        <v>1.3052752821930431</v>
      </c>
      <c r="G16" s="115">
        <v>65748</v>
      </c>
      <c r="H16" s="116">
        <f t="shared" si="0"/>
        <v>0.31401390998481093</v>
      </c>
      <c r="I16" s="115">
        <v>73184</v>
      </c>
      <c r="J16" s="116">
        <f t="shared" si="0"/>
        <v>0.11309849729269339</v>
      </c>
      <c r="K16" s="115">
        <v>89034</v>
      </c>
      <c r="L16" s="116">
        <f t="shared" si="0"/>
        <v>0.21657739396589415</v>
      </c>
      <c r="M16" s="115"/>
      <c r="N16" s="116"/>
    </row>
    <row r="17" spans="1:15" x14ac:dyDescent="0.25">
      <c r="A17" s="1" t="s">
        <v>86</v>
      </c>
      <c r="B17" s="114" t="s">
        <v>87</v>
      </c>
      <c r="C17" s="115">
        <v>17561</v>
      </c>
      <c r="D17" s="116">
        <v>-0.74576173034325999</v>
      </c>
      <c r="E17" s="115">
        <v>48518</v>
      </c>
      <c r="F17" s="116">
        <f t="shared" si="0"/>
        <v>1.7628267182962247</v>
      </c>
      <c r="G17" s="115">
        <v>62173</v>
      </c>
      <c r="H17" s="116">
        <f t="shared" si="0"/>
        <v>0.28144193907415804</v>
      </c>
      <c r="I17" s="115">
        <v>71851</v>
      </c>
      <c r="J17" s="116">
        <f t="shared" si="0"/>
        <v>0.15566242581184753</v>
      </c>
      <c r="K17" s="115">
        <v>77584</v>
      </c>
      <c r="L17" s="116">
        <f t="shared" si="0"/>
        <v>7.9790121223086707E-2</v>
      </c>
      <c r="M17" s="115"/>
      <c r="N17" s="116"/>
    </row>
    <row r="18" spans="1:15" x14ac:dyDescent="0.25">
      <c r="A18" s="1" t="s">
        <v>88</v>
      </c>
      <c r="B18" s="114" t="s">
        <v>89</v>
      </c>
      <c r="C18" s="115">
        <v>14861</v>
      </c>
      <c r="D18" s="116">
        <v>-0.77816423101610666</v>
      </c>
      <c r="E18" s="115">
        <v>52374</v>
      </c>
      <c r="F18" s="116">
        <f t="shared" si="0"/>
        <v>2.5242581252943945</v>
      </c>
      <c r="G18" s="115">
        <v>64171</v>
      </c>
      <c r="H18" s="116">
        <f t="shared" si="0"/>
        <v>0.22524535074655372</v>
      </c>
      <c r="I18" s="115">
        <v>70925</v>
      </c>
      <c r="J18" s="116">
        <f t="shared" si="0"/>
        <v>0.10525003506256714</v>
      </c>
      <c r="K18" s="115">
        <v>81853</v>
      </c>
      <c r="L18" s="116">
        <f t="shared" si="0"/>
        <v>0.15407825167430378</v>
      </c>
      <c r="M18" s="115"/>
      <c r="N18" s="116"/>
    </row>
    <row r="19" spans="1:15" x14ac:dyDescent="0.25">
      <c r="A19" s="1" t="s">
        <v>90</v>
      </c>
      <c r="B19" s="114" t="s">
        <v>91</v>
      </c>
      <c r="C19" s="115">
        <v>6170</v>
      </c>
      <c r="D19" s="116">
        <v>-0.90751566387864613</v>
      </c>
      <c r="E19" s="115">
        <v>47468</v>
      </c>
      <c r="F19" s="116">
        <f t="shared" si="0"/>
        <v>6.6933549432739063</v>
      </c>
      <c r="G19" s="115">
        <v>61752</v>
      </c>
      <c r="H19" s="116">
        <f t="shared" si="0"/>
        <v>0.30091851352490107</v>
      </c>
      <c r="I19" s="115">
        <v>66055</v>
      </c>
      <c r="J19" s="116">
        <f t="shared" si="0"/>
        <v>6.9681953620935433E-2</v>
      </c>
      <c r="K19" s="115">
        <v>73285</v>
      </c>
      <c r="L19" s="116">
        <f t="shared" si="0"/>
        <v>0.10945424267655746</v>
      </c>
      <c r="M19" s="115"/>
      <c r="N19" s="116"/>
    </row>
    <row r="20" spans="1:15" x14ac:dyDescent="0.25">
      <c r="A20" s="1" t="s">
        <v>92</v>
      </c>
      <c r="B20" s="114" t="s">
        <v>93</v>
      </c>
      <c r="C20" s="115">
        <v>8912</v>
      </c>
      <c r="D20" s="116">
        <v>-0.85629283237926312</v>
      </c>
      <c r="E20" s="115">
        <v>44151</v>
      </c>
      <c r="F20" s="116">
        <f t="shared" si="0"/>
        <v>3.9541068222621183</v>
      </c>
      <c r="G20" s="115">
        <v>61100</v>
      </c>
      <c r="H20" s="116">
        <f t="shared" si="0"/>
        <v>0.38388711467463921</v>
      </c>
      <c r="I20" s="115">
        <v>62539</v>
      </c>
      <c r="J20" s="116">
        <f t="shared" si="0"/>
        <v>2.3551554828150634E-2</v>
      </c>
      <c r="K20" s="115">
        <v>67921</v>
      </c>
      <c r="L20" s="116">
        <f t="shared" si="0"/>
        <v>8.6058299621036394E-2</v>
      </c>
      <c r="M20" s="115"/>
      <c r="N20" s="116"/>
    </row>
    <row r="21" spans="1:15" ht="15.75" x14ac:dyDescent="0.25">
      <c r="A21" s="1" t="s">
        <v>0</v>
      </c>
      <c r="B21" s="117" t="s">
        <v>30</v>
      </c>
      <c r="C21" s="118">
        <v>225835</v>
      </c>
      <c r="D21" s="119">
        <v>-0.71475431370394371</v>
      </c>
      <c r="E21" s="118">
        <v>354204</v>
      </c>
      <c r="F21" s="119">
        <f t="shared" si="0"/>
        <v>0.56841942125888378</v>
      </c>
      <c r="G21" s="118">
        <v>710225</v>
      </c>
      <c r="H21" s="119">
        <f t="shared" si="0"/>
        <v>1.0051298121986201</v>
      </c>
      <c r="I21" s="118">
        <v>797848</v>
      </c>
      <c r="J21" s="119">
        <f t="shared" si="0"/>
        <v>0.12337357879545219</v>
      </c>
      <c r="K21" s="118">
        <v>914356</v>
      </c>
      <c r="L21" s="119">
        <f t="shared" si="0"/>
        <v>0.14602781482187077</v>
      </c>
      <c r="M21" s="118">
        <v>65410</v>
      </c>
      <c r="N21" s="119">
        <v>1.4407344799243216E-2</v>
      </c>
    </row>
    <row r="22" spans="1:15" ht="6" customHeight="1" x14ac:dyDescent="0.25"/>
    <row r="23" spans="1:15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</row>
    <row r="24" spans="1:15" x14ac:dyDescent="0.25">
      <c r="E24" s="120"/>
      <c r="G24" s="120"/>
      <c r="I24" s="120"/>
      <c r="K24" s="120"/>
      <c r="N24" s="79"/>
    </row>
    <row r="26" spans="1:15" ht="48.75" customHeight="1" thickBot="1" x14ac:dyDescent="0.3">
      <c r="B26" s="265" t="s">
        <v>236</v>
      </c>
      <c r="C26" s="265"/>
      <c r="D26" s="265"/>
      <c r="E26" s="265"/>
      <c r="F26" s="265"/>
      <c r="G26" s="265"/>
      <c r="H26" s="265"/>
      <c r="I26" s="265"/>
      <c r="J26" s="265"/>
      <c r="K26" s="265"/>
      <c r="L26" s="265"/>
      <c r="M26" s="265"/>
      <c r="N26" s="265"/>
      <c r="O26" s="1" t="s">
        <v>94</v>
      </c>
    </row>
    <row r="27" spans="1:15" ht="10.5" customHeight="1" thickBot="1" x14ac:dyDescent="0.3">
      <c r="B27" s="106"/>
      <c r="C27" s="107"/>
      <c r="D27" s="106"/>
      <c r="E27" s="106"/>
      <c r="F27" s="106"/>
      <c r="G27" s="106"/>
      <c r="H27" s="106"/>
      <c r="I27" s="106"/>
      <c r="J27" s="106"/>
      <c r="K27" s="106"/>
      <c r="L27" s="106"/>
      <c r="M27" s="4"/>
      <c r="N27" s="4"/>
      <c r="O27" s="1" t="s">
        <v>95</v>
      </c>
    </row>
    <row r="28" spans="1:15" ht="22.5" thickTop="1" thickBot="1" x14ac:dyDescent="0.3">
      <c r="B28" s="121" t="s">
        <v>96</v>
      </c>
      <c r="C28" s="290" t="s">
        <v>97</v>
      </c>
      <c r="D28" s="291"/>
      <c r="E28" s="291"/>
      <c r="F28" s="291"/>
      <c r="G28" s="291"/>
      <c r="H28" s="291"/>
      <c r="I28" s="291"/>
      <c r="J28" s="291"/>
      <c r="K28" s="291"/>
      <c r="L28" s="291"/>
      <c r="M28" s="291"/>
      <c r="N28" s="291"/>
    </row>
    <row r="29" spans="1:15" ht="22.5" thickTop="1" thickBot="1" x14ac:dyDescent="0.3">
      <c r="B29" s="109"/>
      <c r="C29" s="292">
        <f>C$7</f>
        <v>2020</v>
      </c>
      <c r="D29" s="293"/>
      <c r="E29" s="292">
        <f>E$7</f>
        <v>2021</v>
      </c>
      <c r="F29" s="293"/>
      <c r="G29" s="292">
        <f>G$7</f>
        <v>2022</v>
      </c>
      <c r="H29" s="293"/>
      <c r="I29" s="292">
        <f>I$7</f>
        <v>2023</v>
      </c>
      <c r="J29" s="293"/>
      <c r="K29" s="292">
        <f>K$7</f>
        <v>2024</v>
      </c>
      <c r="L29" s="293"/>
      <c r="M29" s="292">
        <f>M$7</f>
        <v>2025</v>
      </c>
      <c r="N29" s="293"/>
    </row>
    <row r="30" spans="1:15" ht="16.5" thickTop="1" thickBot="1" x14ac:dyDescent="0.3">
      <c r="B30" s="85"/>
      <c r="C30" s="111" t="s">
        <v>69</v>
      </c>
      <c r="D30" s="112" t="str">
        <f>CONCATENATE("var ",RIGHT(C29,2),"/",RIGHT(C29-1,2))</f>
        <v>var 20/19</v>
      </c>
      <c r="E30" s="113" t="s">
        <v>69</v>
      </c>
      <c r="F30" s="112" t="str">
        <f>CONCATENATE("var ",RIGHT(E29,2),"/",RIGHT(E29-1,2))</f>
        <v>var 21/20</v>
      </c>
      <c r="G30" s="113" t="s">
        <v>69</v>
      </c>
      <c r="H30" s="112" t="str">
        <f>CONCATENATE("var ",RIGHT(G29,2),"/",RIGHT(G29-1,2))</f>
        <v>var 22/21</v>
      </c>
      <c r="I30" s="113" t="s">
        <v>69</v>
      </c>
      <c r="J30" s="112" t="str">
        <f>CONCATENATE("var ",RIGHT(I29,2),"/",RIGHT(I29-1,2))</f>
        <v>var 23/22</v>
      </c>
      <c r="K30" s="113" t="s">
        <v>69</v>
      </c>
      <c r="L30" s="112" t="str">
        <f>CONCATENATE("var ",RIGHT(K29,2),"/",RIGHT(K29-1,2))</f>
        <v>var 24/23</v>
      </c>
      <c r="M30" s="113" t="s">
        <v>69</v>
      </c>
      <c r="N30" s="112" t="str">
        <f>CONCATENATE("var ",RIGHT(M29,2),"/",RIGHT(M29-1,2))</f>
        <v>var 25/24</v>
      </c>
    </row>
    <row r="31" spans="1:15" x14ac:dyDescent="0.25">
      <c r="B31" s="114" t="s">
        <v>71</v>
      </c>
      <c r="C31" s="115">
        <v>19992</v>
      </c>
      <c r="D31" s="116">
        <v>0.33271115258982742</v>
      </c>
      <c r="E31" s="115">
        <v>2136</v>
      </c>
      <c r="F31" s="116">
        <f t="shared" ref="F31:L43" si="1">IFERROR(E31/C31-1,"-")</f>
        <v>-0.89315726290516206</v>
      </c>
      <c r="G31" s="115">
        <v>12392</v>
      </c>
      <c r="H31" s="116">
        <f t="shared" si="1"/>
        <v>4.8014981273408237</v>
      </c>
      <c r="I31" s="115">
        <v>18745</v>
      </c>
      <c r="J31" s="116">
        <f t="shared" si="1"/>
        <v>0.51266946417043258</v>
      </c>
      <c r="K31" s="115">
        <v>17189</v>
      </c>
      <c r="L31" s="116">
        <f t="shared" si="1"/>
        <v>-8.3008802347292576E-2</v>
      </c>
      <c r="M31" s="115">
        <v>18625</v>
      </c>
      <c r="N31" s="116">
        <f t="shared" ref="N31" si="2">IFERROR(M31/K31-1,"-")</f>
        <v>8.3541799988364751E-2</v>
      </c>
    </row>
    <row r="32" spans="1:15" x14ac:dyDescent="0.25">
      <c r="B32" s="114" t="s">
        <v>73</v>
      </c>
      <c r="C32" s="115">
        <v>19508</v>
      </c>
      <c r="D32" s="116">
        <v>0.23078864353312301</v>
      </c>
      <c r="E32" s="115">
        <v>2964</v>
      </c>
      <c r="F32" s="116">
        <f t="shared" si="1"/>
        <v>-0.84806233340168136</v>
      </c>
      <c r="G32" s="115">
        <v>19887</v>
      </c>
      <c r="H32" s="116">
        <f t="shared" si="1"/>
        <v>5.7095141700404861</v>
      </c>
      <c r="I32" s="115">
        <v>18181</v>
      </c>
      <c r="J32" s="116">
        <f t="shared" si="1"/>
        <v>-8.5784683461557765E-2</v>
      </c>
      <c r="K32" s="115">
        <v>18681</v>
      </c>
      <c r="L32" s="116">
        <f t="shared" si="1"/>
        <v>2.7501237555690006E-2</v>
      </c>
      <c r="M32" s="115"/>
      <c r="N32" s="116"/>
    </row>
    <row r="33" spans="2:15" x14ac:dyDescent="0.25">
      <c r="B33" s="114" t="s">
        <v>75</v>
      </c>
      <c r="C33" s="115">
        <v>7560</v>
      </c>
      <c r="D33" s="116">
        <v>-0.68272620446533483</v>
      </c>
      <c r="E33" s="115">
        <v>3489</v>
      </c>
      <c r="F33" s="116">
        <f t="shared" si="1"/>
        <v>-0.53849206349206347</v>
      </c>
      <c r="G33" s="115">
        <v>21912</v>
      </c>
      <c r="H33" s="116">
        <f t="shared" si="1"/>
        <v>5.2803095442820291</v>
      </c>
      <c r="I33" s="115">
        <v>25120</v>
      </c>
      <c r="J33" s="116">
        <f t="shared" si="1"/>
        <v>0.14640379700620665</v>
      </c>
      <c r="K33" s="115">
        <v>25095</v>
      </c>
      <c r="L33" s="116">
        <f t="shared" si="1"/>
        <v>-9.9522292993625694E-4</v>
      </c>
      <c r="M33" s="115"/>
      <c r="N33" s="116"/>
    </row>
    <row r="34" spans="2:15" x14ac:dyDescent="0.25">
      <c r="B34" s="114" t="s">
        <v>77</v>
      </c>
      <c r="C34" s="115">
        <v>0</v>
      </c>
      <c r="D34" s="116">
        <v>-1</v>
      </c>
      <c r="E34" s="115">
        <v>4130</v>
      </c>
      <c r="F34" s="116" t="str">
        <f t="shared" si="1"/>
        <v>-</v>
      </c>
      <c r="G34" s="115">
        <v>29771</v>
      </c>
      <c r="H34" s="116">
        <f t="shared" si="1"/>
        <v>6.2084745762711862</v>
      </c>
      <c r="I34" s="115">
        <v>30357</v>
      </c>
      <c r="J34" s="116">
        <f t="shared" si="1"/>
        <v>1.9683584696516654E-2</v>
      </c>
      <c r="K34" s="115">
        <v>29692</v>
      </c>
      <c r="L34" s="116">
        <f t="shared" si="1"/>
        <v>-2.1905985439931497E-2</v>
      </c>
      <c r="M34" s="115"/>
      <c r="N34" s="116"/>
    </row>
    <row r="35" spans="2:15" x14ac:dyDescent="0.25">
      <c r="B35" s="114" t="s">
        <v>79</v>
      </c>
      <c r="C35" s="115">
        <v>0</v>
      </c>
      <c r="D35" s="116">
        <v>-1</v>
      </c>
      <c r="E35" s="115">
        <v>10368</v>
      </c>
      <c r="F35" s="116" t="str">
        <f t="shared" si="1"/>
        <v>-</v>
      </c>
      <c r="G35" s="115">
        <v>31151</v>
      </c>
      <c r="H35" s="116">
        <f t="shared" si="1"/>
        <v>2.0045331790123457</v>
      </c>
      <c r="I35" s="115">
        <v>31312</v>
      </c>
      <c r="J35" s="116">
        <f t="shared" si="1"/>
        <v>5.1683734069531972E-3</v>
      </c>
      <c r="K35" s="115">
        <v>41525</v>
      </c>
      <c r="L35" s="116">
        <f t="shared" si="1"/>
        <v>0.32616888094021457</v>
      </c>
      <c r="M35" s="115"/>
      <c r="N35" s="116"/>
    </row>
    <row r="36" spans="2:15" x14ac:dyDescent="0.25">
      <c r="B36" s="114" t="s">
        <v>81</v>
      </c>
      <c r="C36" s="115">
        <v>0</v>
      </c>
      <c r="D36" s="116">
        <v>-1</v>
      </c>
      <c r="E36" s="115">
        <v>16084</v>
      </c>
      <c r="F36" s="116" t="str">
        <f t="shared" si="1"/>
        <v>-</v>
      </c>
      <c r="G36" s="115">
        <v>38004</v>
      </c>
      <c r="H36" s="116">
        <f t="shared" si="1"/>
        <v>1.3628450634170606</v>
      </c>
      <c r="I36" s="115">
        <v>41665</v>
      </c>
      <c r="J36" s="116">
        <f t="shared" si="1"/>
        <v>9.6331965056309921E-2</v>
      </c>
      <c r="K36" s="115">
        <v>44993</v>
      </c>
      <c r="L36" s="116">
        <f t="shared" si="1"/>
        <v>7.987519500780027E-2</v>
      </c>
      <c r="M36" s="115"/>
      <c r="N36" s="116"/>
    </row>
    <row r="37" spans="2:15" x14ac:dyDescent="0.25">
      <c r="B37" s="114" t="s">
        <v>83</v>
      </c>
      <c r="C37" s="115">
        <v>0</v>
      </c>
      <c r="D37" s="116">
        <v>-1</v>
      </c>
      <c r="E37" s="115">
        <v>27705</v>
      </c>
      <c r="F37" s="116" t="str">
        <f t="shared" si="1"/>
        <v>-</v>
      </c>
      <c r="G37" s="115">
        <v>43951</v>
      </c>
      <c r="H37" s="116">
        <f t="shared" si="1"/>
        <v>0.58639234795163331</v>
      </c>
      <c r="I37" s="115">
        <v>40381</v>
      </c>
      <c r="J37" s="116">
        <f t="shared" si="1"/>
        <v>-8.1226820777684283E-2</v>
      </c>
      <c r="K37" s="115">
        <v>46418</v>
      </c>
      <c r="L37" s="116">
        <f t="shared" si="1"/>
        <v>0.14950100294693058</v>
      </c>
      <c r="M37" s="115"/>
      <c r="N37" s="116"/>
    </row>
    <row r="38" spans="2:15" x14ac:dyDescent="0.25">
      <c r="B38" s="114" t="s">
        <v>85</v>
      </c>
      <c r="C38" s="115">
        <v>14514</v>
      </c>
      <c r="D38" s="116">
        <v>-0.64852036615488928</v>
      </c>
      <c r="E38" s="115">
        <v>32855</v>
      </c>
      <c r="F38" s="116">
        <f t="shared" si="1"/>
        <v>1.2636764503238251</v>
      </c>
      <c r="G38" s="115">
        <v>37614</v>
      </c>
      <c r="H38" s="116">
        <f t="shared" si="1"/>
        <v>0.14484857708111409</v>
      </c>
      <c r="I38" s="115">
        <v>37101</v>
      </c>
      <c r="J38" s="116">
        <f t="shared" si="1"/>
        <v>-1.3638538841920567E-2</v>
      </c>
      <c r="K38" s="115">
        <v>47635</v>
      </c>
      <c r="L38" s="116">
        <f t="shared" si="1"/>
        <v>0.28392765693647082</v>
      </c>
      <c r="M38" s="115"/>
      <c r="N38" s="116"/>
    </row>
    <row r="39" spans="2:15" x14ac:dyDescent="0.25">
      <c r="B39" s="114" t="s">
        <v>87</v>
      </c>
      <c r="C39" s="115">
        <v>13494</v>
      </c>
      <c r="D39" s="116">
        <v>-0.58336420896628383</v>
      </c>
      <c r="E39" s="115">
        <v>27292</v>
      </c>
      <c r="F39" s="116">
        <f t="shared" si="1"/>
        <v>1.0225285311990513</v>
      </c>
      <c r="G39" s="115">
        <v>32660</v>
      </c>
      <c r="H39" s="116">
        <f t="shared" si="1"/>
        <v>0.19668767404367582</v>
      </c>
      <c r="I39" s="115">
        <v>34430</v>
      </c>
      <c r="J39" s="116">
        <f t="shared" si="1"/>
        <v>5.4194733619105984E-2</v>
      </c>
      <c r="K39" s="115">
        <v>34597</v>
      </c>
      <c r="L39" s="116">
        <f t="shared" si="1"/>
        <v>4.8504211443507472E-3</v>
      </c>
      <c r="M39" s="115"/>
      <c r="N39" s="116"/>
    </row>
    <row r="40" spans="2:15" x14ac:dyDescent="0.25">
      <c r="B40" s="114" t="s">
        <v>89</v>
      </c>
      <c r="C40" s="115">
        <v>10718</v>
      </c>
      <c r="D40" s="116">
        <v>-0.62713515393981556</v>
      </c>
      <c r="E40" s="115">
        <v>24336</v>
      </c>
      <c r="F40" s="116">
        <f t="shared" si="1"/>
        <v>1.2705728680724016</v>
      </c>
      <c r="G40" s="115">
        <v>30437</v>
      </c>
      <c r="H40" s="116">
        <f t="shared" si="1"/>
        <v>0.25069855358316895</v>
      </c>
      <c r="I40" s="115">
        <v>27145</v>
      </c>
      <c r="J40" s="116">
        <f t="shared" si="1"/>
        <v>-0.10815783421493574</v>
      </c>
      <c r="K40" s="115">
        <v>30970</v>
      </c>
      <c r="L40" s="116">
        <f t="shared" si="1"/>
        <v>0.14090992816356596</v>
      </c>
      <c r="M40" s="115"/>
      <c r="N40" s="116"/>
    </row>
    <row r="41" spans="2:15" x14ac:dyDescent="0.25">
      <c r="B41" s="114" t="s">
        <v>91</v>
      </c>
      <c r="C41" s="115">
        <v>3323</v>
      </c>
      <c r="D41" s="116">
        <v>-0.86370534432549939</v>
      </c>
      <c r="E41" s="115">
        <v>14014</v>
      </c>
      <c r="F41" s="116">
        <f t="shared" si="1"/>
        <v>3.2172735479987962</v>
      </c>
      <c r="G41" s="115">
        <v>21959</v>
      </c>
      <c r="H41" s="116">
        <f t="shared" si="1"/>
        <v>0.566933066933067</v>
      </c>
      <c r="I41" s="115">
        <v>18241</v>
      </c>
      <c r="J41" s="116">
        <f t="shared" si="1"/>
        <v>-0.16931554260212212</v>
      </c>
      <c r="K41" s="115">
        <v>24997</v>
      </c>
      <c r="L41" s="116">
        <f t="shared" si="1"/>
        <v>0.37037443122635816</v>
      </c>
      <c r="M41" s="115"/>
      <c r="N41" s="116"/>
    </row>
    <row r="42" spans="2:15" x14ac:dyDescent="0.25">
      <c r="B42" s="114" t="s">
        <v>93</v>
      </c>
      <c r="C42" s="115">
        <v>4935</v>
      </c>
      <c r="D42" s="116">
        <v>-0.78637288429072338</v>
      </c>
      <c r="E42" s="115">
        <v>16320</v>
      </c>
      <c r="F42" s="116">
        <f t="shared" si="1"/>
        <v>2.3069908814589666</v>
      </c>
      <c r="G42" s="115">
        <v>22605</v>
      </c>
      <c r="H42" s="116">
        <f t="shared" si="1"/>
        <v>0.38511029411764697</v>
      </c>
      <c r="I42" s="115">
        <v>19245</v>
      </c>
      <c r="J42" s="116">
        <f t="shared" si="1"/>
        <v>-0.14863968148639684</v>
      </c>
      <c r="K42" s="115">
        <v>20445</v>
      </c>
      <c r="L42" s="116">
        <f t="shared" si="1"/>
        <v>6.235385814497274E-2</v>
      </c>
      <c r="M42" s="115"/>
      <c r="N42" s="116"/>
    </row>
    <row r="43" spans="2:15" ht="15.75" x14ac:dyDescent="0.25">
      <c r="B43" s="117" t="s">
        <v>30</v>
      </c>
      <c r="C43" s="118">
        <v>103133</v>
      </c>
      <c r="D43" s="119">
        <v>-0.71053067364987943</v>
      </c>
      <c r="E43" s="118">
        <v>181693</v>
      </c>
      <c r="F43" s="119">
        <f t="shared" si="1"/>
        <v>0.76173484723609319</v>
      </c>
      <c r="G43" s="118">
        <v>342343</v>
      </c>
      <c r="H43" s="119">
        <f t="shared" si="1"/>
        <v>0.8841837605191174</v>
      </c>
      <c r="I43" s="118">
        <v>341923</v>
      </c>
      <c r="J43" s="119">
        <f t="shared" si="1"/>
        <v>-1.2268397484394011E-3</v>
      </c>
      <c r="K43" s="118">
        <v>382237</v>
      </c>
      <c r="L43" s="119">
        <f t="shared" si="1"/>
        <v>0.1179037385610211</v>
      </c>
      <c r="M43" s="118">
        <v>18625</v>
      </c>
      <c r="N43" s="119">
        <v>8.3541799988364751E-2</v>
      </c>
    </row>
    <row r="44" spans="2:15" ht="6" customHeight="1" x14ac:dyDescent="0.25"/>
    <row r="45" spans="2:15" x14ac:dyDescent="0.25">
      <c r="B45" s="105" t="s">
        <v>55</v>
      </c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</row>
    <row r="46" spans="2:15" x14ac:dyDescent="0.25">
      <c r="C46" s="120"/>
    </row>
    <row r="47" spans="2:15" x14ac:dyDescent="0.25">
      <c r="E47" s="120"/>
      <c r="G47" s="120"/>
      <c r="I47" s="120"/>
      <c r="K47" s="122"/>
    </row>
    <row r="48" spans="2:15" ht="48.75" customHeight="1" thickBot="1" x14ac:dyDescent="0.3">
      <c r="B48" s="265" t="s">
        <v>237</v>
      </c>
      <c r="C48" s="265"/>
      <c r="D48" s="265"/>
      <c r="E48" s="265"/>
      <c r="F48" s="265"/>
      <c r="G48" s="265"/>
      <c r="H48" s="265"/>
      <c r="I48" s="265"/>
      <c r="J48" s="265"/>
      <c r="K48" s="265"/>
      <c r="L48" s="265"/>
      <c r="M48" s="265"/>
      <c r="N48" s="265"/>
      <c r="O48" s="1" t="s">
        <v>98</v>
      </c>
    </row>
    <row r="49" spans="1:15" ht="10.5" customHeight="1" thickBot="1" x14ac:dyDescent="0.3">
      <c r="B49" s="106"/>
      <c r="C49" s="107"/>
      <c r="D49" s="106"/>
      <c r="E49" s="106"/>
      <c r="F49" s="106"/>
      <c r="G49" s="106"/>
      <c r="H49" s="106"/>
      <c r="I49" s="106"/>
      <c r="J49" s="106"/>
      <c r="K49" s="106"/>
      <c r="L49" s="106"/>
      <c r="M49" s="4"/>
      <c r="N49" s="4"/>
      <c r="O49" s="1" t="s">
        <v>99</v>
      </c>
    </row>
    <row r="50" spans="1:15" ht="22.5" thickTop="1" thickBot="1" x14ac:dyDescent="0.3">
      <c r="B50" s="109"/>
      <c r="C50" s="290" t="s">
        <v>100</v>
      </c>
      <c r="D50" s="291"/>
      <c r="E50" s="291"/>
      <c r="F50" s="291"/>
      <c r="G50" s="291"/>
      <c r="H50" s="291"/>
      <c r="I50" s="291"/>
      <c r="J50" s="291"/>
      <c r="K50" s="291"/>
      <c r="L50" s="291"/>
      <c r="M50" s="291"/>
      <c r="N50" s="291"/>
    </row>
    <row r="51" spans="1:15" ht="22.5" thickTop="1" thickBot="1" x14ac:dyDescent="0.3">
      <c r="B51" s="109"/>
      <c r="C51" s="292">
        <f>C$7</f>
        <v>2020</v>
      </c>
      <c r="D51" s="293"/>
      <c r="E51" s="292">
        <f>E$7</f>
        <v>2021</v>
      </c>
      <c r="F51" s="293"/>
      <c r="G51" s="292">
        <f>G$7</f>
        <v>2022</v>
      </c>
      <c r="H51" s="293"/>
      <c r="I51" s="292">
        <f>I$7</f>
        <v>2023</v>
      </c>
      <c r="J51" s="293"/>
      <c r="K51" s="292">
        <f>K$7</f>
        <v>2024</v>
      </c>
      <c r="L51" s="293"/>
      <c r="M51" s="292">
        <f>M$7</f>
        <v>2025</v>
      </c>
      <c r="N51" s="293"/>
    </row>
    <row r="52" spans="1:15" ht="16.5" thickTop="1" thickBot="1" x14ac:dyDescent="0.3">
      <c r="B52" s="85"/>
      <c r="C52" s="111" t="s">
        <v>69</v>
      </c>
      <c r="D52" s="112" t="str">
        <f>CONCATENATE("var ",RIGHT(C51,2),"/",RIGHT(C51-1,2))</f>
        <v>var 20/19</v>
      </c>
      <c r="E52" s="113" t="s">
        <v>69</v>
      </c>
      <c r="F52" s="112" t="str">
        <f>CONCATENATE("var ",RIGHT(E51,2),"/",RIGHT(E51-1,2))</f>
        <v>var 21/20</v>
      </c>
      <c r="G52" s="113" t="s">
        <v>69</v>
      </c>
      <c r="H52" s="112" t="str">
        <f>CONCATENATE("var ",RIGHT(G51,2),"/",RIGHT(G51-1,2))</f>
        <v>var 22/21</v>
      </c>
      <c r="I52" s="113" t="s">
        <v>69</v>
      </c>
      <c r="J52" s="112" t="str">
        <f>CONCATENATE("var ",RIGHT(I51,2),"/",RIGHT(I51-1,2))</f>
        <v>var 23/22</v>
      </c>
      <c r="K52" s="113" t="s">
        <v>69</v>
      </c>
      <c r="L52" s="112" t="str">
        <f>CONCATENATE("var ",RIGHT(K51,2),"/",RIGHT(K51-1,2))</f>
        <v>var 24/23</v>
      </c>
      <c r="M52" s="113" t="s">
        <v>69</v>
      </c>
      <c r="N52" s="112" t="str">
        <f>CONCATENATE("var ",RIGHT(M51,2),"/",RIGHT(M51-1,2))</f>
        <v>var 25/24</v>
      </c>
    </row>
    <row r="53" spans="1:15" x14ac:dyDescent="0.25">
      <c r="A53" s="1">
        <v>1</v>
      </c>
      <c r="B53" s="114" t="s">
        <v>71</v>
      </c>
      <c r="C53" s="115">
        <v>16449</v>
      </c>
      <c r="D53" s="116">
        <v>0.31771208844027887</v>
      </c>
      <c r="E53" s="115">
        <v>1035</v>
      </c>
      <c r="F53" s="116">
        <f>IFERROR(E53/C53-1,"-")</f>
        <v>-0.9370782418384096</v>
      </c>
      <c r="G53" s="115">
        <v>9244</v>
      </c>
      <c r="H53" s="116">
        <f>IFERROR(G53/E53-1,"-")</f>
        <v>7.931400966183574</v>
      </c>
      <c r="I53" s="115">
        <v>15131</v>
      </c>
      <c r="J53" s="116">
        <f>IFERROR(I53/G53-1,"-")</f>
        <v>0.63684552141929895</v>
      </c>
      <c r="K53" s="115">
        <v>13891</v>
      </c>
      <c r="L53" s="116">
        <f>IFERROR(K53/I53-1,"-")</f>
        <v>-8.1950961602009098E-2</v>
      </c>
      <c r="M53" s="115">
        <v>14812</v>
      </c>
      <c r="N53" s="116">
        <f t="shared" ref="N53" si="3">IFERROR(M53/K53-1,"-")</f>
        <v>6.6301922107839584E-2</v>
      </c>
    </row>
    <row r="54" spans="1:15" x14ac:dyDescent="0.25">
      <c r="A54" s="1">
        <v>2</v>
      </c>
      <c r="B54" s="114" t="s">
        <v>73</v>
      </c>
      <c r="C54" s="115">
        <v>15519</v>
      </c>
      <c r="D54" s="116">
        <v>0.17943456452348383</v>
      </c>
      <c r="E54" s="115">
        <v>1123</v>
      </c>
      <c r="F54" s="116">
        <f t="shared" ref="F54:L65" si="4">IFERROR(E54/C54-1,"-")</f>
        <v>-0.92763709001868677</v>
      </c>
      <c r="G54" s="115">
        <v>13995</v>
      </c>
      <c r="H54" s="116">
        <f t="shared" si="4"/>
        <v>11.462154942119323</v>
      </c>
      <c r="I54" s="115">
        <v>15141</v>
      </c>
      <c r="J54" s="116">
        <f t="shared" si="4"/>
        <v>8.1886387995712795E-2</v>
      </c>
      <c r="K54" s="115">
        <v>15143</v>
      </c>
      <c r="L54" s="116">
        <f t="shared" si="4"/>
        <v>1.3209167162009372E-4</v>
      </c>
      <c r="M54" s="115"/>
      <c r="N54" s="116"/>
    </row>
    <row r="55" spans="1:15" x14ac:dyDescent="0.25">
      <c r="A55" s="1">
        <v>3</v>
      </c>
      <c r="B55" s="114" t="s">
        <v>75</v>
      </c>
      <c r="C55" s="115">
        <v>6340</v>
      </c>
      <c r="D55" s="116">
        <v>-0.68174288439335373</v>
      </c>
      <c r="E55" s="115">
        <v>1764</v>
      </c>
      <c r="F55" s="116">
        <f t="shared" si="4"/>
        <v>-0.7217665615141956</v>
      </c>
      <c r="G55" s="115">
        <v>16558</v>
      </c>
      <c r="H55" s="116">
        <f t="shared" si="4"/>
        <v>8.3866213151927429</v>
      </c>
      <c r="I55" s="115">
        <v>19982</v>
      </c>
      <c r="J55" s="116">
        <f t="shared" si="4"/>
        <v>0.2067882594516246</v>
      </c>
      <c r="K55" s="115">
        <v>19127</v>
      </c>
      <c r="L55" s="116">
        <f t="shared" si="4"/>
        <v>-4.2788509658692853E-2</v>
      </c>
      <c r="M55" s="115"/>
      <c r="N55" s="116"/>
    </row>
    <row r="56" spans="1:15" x14ac:dyDescent="0.25">
      <c r="A56" s="1">
        <v>4</v>
      </c>
      <c r="B56" s="114" t="s">
        <v>77</v>
      </c>
      <c r="C56" s="115">
        <v>0</v>
      </c>
      <c r="D56" s="116">
        <v>-1</v>
      </c>
      <c r="E56" s="115">
        <v>2509</v>
      </c>
      <c r="F56" s="116" t="str">
        <f t="shared" si="4"/>
        <v>-</v>
      </c>
      <c r="G56" s="115">
        <v>19780</v>
      </c>
      <c r="H56" s="116">
        <f t="shared" si="4"/>
        <v>6.883618971701873</v>
      </c>
      <c r="I56" s="115">
        <v>21271</v>
      </c>
      <c r="J56" s="116">
        <f t="shared" si="4"/>
        <v>7.5379170879676494E-2</v>
      </c>
      <c r="K56" s="115">
        <v>21707</v>
      </c>
      <c r="L56" s="116">
        <f t="shared" si="4"/>
        <v>2.0497390813783989E-2</v>
      </c>
      <c r="M56" s="115"/>
      <c r="N56" s="116"/>
    </row>
    <row r="57" spans="1:15" x14ac:dyDescent="0.25">
      <c r="A57" s="1">
        <v>5</v>
      </c>
      <c r="B57" s="114" t="s">
        <v>79</v>
      </c>
      <c r="C57" s="115">
        <v>0</v>
      </c>
      <c r="D57" s="116">
        <v>-1</v>
      </c>
      <c r="E57" s="115">
        <v>5166</v>
      </c>
      <c r="F57" s="116" t="str">
        <f t="shared" si="4"/>
        <v>-</v>
      </c>
      <c r="G57" s="115">
        <v>22561</v>
      </c>
      <c r="H57" s="116">
        <f t="shared" si="4"/>
        <v>3.3672086720867211</v>
      </c>
      <c r="I57" s="115">
        <v>22383</v>
      </c>
      <c r="J57" s="116">
        <f t="shared" si="4"/>
        <v>-7.8897212003014028E-3</v>
      </c>
      <c r="K57" s="115">
        <v>27547</v>
      </c>
      <c r="L57" s="116">
        <f t="shared" si="4"/>
        <v>0.23071080730911864</v>
      </c>
      <c r="M57" s="115"/>
      <c r="N57" s="116"/>
    </row>
    <row r="58" spans="1:15" x14ac:dyDescent="0.25">
      <c r="A58" s="1">
        <v>6</v>
      </c>
      <c r="B58" s="114" t="s">
        <v>81</v>
      </c>
      <c r="C58" s="115">
        <v>0</v>
      </c>
      <c r="D58" s="116">
        <v>-1</v>
      </c>
      <c r="E58" s="115">
        <v>9694</v>
      </c>
      <c r="F58" s="116" t="str">
        <f t="shared" si="4"/>
        <v>-</v>
      </c>
      <c r="G58" s="115">
        <v>29162</v>
      </c>
      <c r="H58" s="116">
        <f t="shared" si="4"/>
        <v>2.0082525273364968</v>
      </c>
      <c r="I58" s="115">
        <v>28739</v>
      </c>
      <c r="J58" s="116">
        <f t="shared" si="4"/>
        <v>-1.450517797133255E-2</v>
      </c>
      <c r="K58" s="115">
        <v>29587</v>
      </c>
      <c r="L58" s="116">
        <f t="shared" si="4"/>
        <v>2.9506941786422658E-2</v>
      </c>
      <c r="M58" s="115"/>
      <c r="N58" s="116"/>
    </row>
    <row r="59" spans="1:15" x14ac:dyDescent="0.25">
      <c r="A59" s="1">
        <v>7</v>
      </c>
      <c r="B59" s="114" t="s">
        <v>83</v>
      </c>
      <c r="C59" s="115">
        <v>0</v>
      </c>
      <c r="D59" s="116">
        <v>-1</v>
      </c>
      <c r="E59" s="115">
        <v>17914</v>
      </c>
      <c r="F59" s="116" t="str">
        <f t="shared" si="4"/>
        <v>-</v>
      </c>
      <c r="G59" s="115">
        <v>27917</v>
      </c>
      <c r="H59" s="116">
        <f t="shared" si="4"/>
        <v>0.55839008596628337</v>
      </c>
      <c r="I59" s="115">
        <v>27261</v>
      </c>
      <c r="J59" s="116">
        <f t="shared" si="4"/>
        <v>-2.349822688684311E-2</v>
      </c>
      <c r="K59" s="115">
        <v>31281</v>
      </c>
      <c r="L59" s="116">
        <f t="shared" si="4"/>
        <v>0.14746340926598434</v>
      </c>
      <c r="M59" s="115"/>
      <c r="N59" s="116"/>
    </row>
    <row r="60" spans="1:15" x14ac:dyDescent="0.25">
      <c r="A60" s="1">
        <v>8</v>
      </c>
      <c r="B60" s="114" t="s">
        <v>85</v>
      </c>
      <c r="C60" s="115">
        <v>10383</v>
      </c>
      <c r="D60" s="116">
        <v>-0.68135645235537823</v>
      </c>
      <c r="E60" s="115">
        <v>23069</v>
      </c>
      <c r="F60" s="116">
        <f t="shared" si="4"/>
        <v>1.2218048733506692</v>
      </c>
      <c r="G60" s="115">
        <v>27261</v>
      </c>
      <c r="H60" s="116">
        <f t="shared" si="4"/>
        <v>0.18171572239802325</v>
      </c>
      <c r="I60" s="115">
        <v>28059</v>
      </c>
      <c r="J60" s="116">
        <f t="shared" si="4"/>
        <v>2.9272587212501477E-2</v>
      </c>
      <c r="K60" s="115">
        <v>34534</v>
      </c>
      <c r="L60" s="116">
        <f t="shared" si="4"/>
        <v>0.23076374781709963</v>
      </c>
      <c r="M60" s="115"/>
      <c r="N60" s="116"/>
    </row>
    <row r="61" spans="1:15" x14ac:dyDescent="0.25">
      <c r="A61" s="1">
        <v>9</v>
      </c>
      <c r="B61" s="114" t="s">
        <v>87</v>
      </c>
      <c r="C61" s="115">
        <v>10136</v>
      </c>
      <c r="D61" s="116">
        <v>-0.5994309200126462</v>
      </c>
      <c r="E61" s="115">
        <v>18763</v>
      </c>
      <c r="F61" s="116">
        <f t="shared" si="4"/>
        <v>0.85112470402525653</v>
      </c>
      <c r="G61" s="115">
        <v>24649</v>
      </c>
      <c r="H61" s="116">
        <f t="shared" si="4"/>
        <v>0.31370249960027707</v>
      </c>
      <c r="I61" s="115">
        <v>23246</v>
      </c>
      <c r="J61" s="116">
        <f t="shared" si="4"/>
        <v>-5.6919144792892173E-2</v>
      </c>
      <c r="K61" s="115">
        <v>26626</v>
      </c>
      <c r="L61" s="116">
        <f t="shared" si="4"/>
        <v>0.14540135937365561</v>
      </c>
      <c r="M61" s="115"/>
      <c r="N61" s="116"/>
    </row>
    <row r="62" spans="1:15" x14ac:dyDescent="0.25">
      <c r="A62" s="1">
        <v>10</v>
      </c>
      <c r="B62" s="114" t="s">
        <v>89</v>
      </c>
      <c r="C62" s="115">
        <v>6283</v>
      </c>
      <c r="D62" s="116">
        <v>-0.71787157611136054</v>
      </c>
      <c r="E62" s="115">
        <v>14277</v>
      </c>
      <c r="F62" s="116">
        <f t="shared" si="4"/>
        <v>1.2723221391055231</v>
      </c>
      <c r="G62" s="115">
        <v>19972</v>
      </c>
      <c r="H62" s="116">
        <f t="shared" si="4"/>
        <v>0.39889332492820628</v>
      </c>
      <c r="I62" s="115">
        <v>20489</v>
      </c>
      <c r="J62" s="116">
        <f t="shared" si="4"/>
        <v>2.588624073703194E-2</v>
      </c>
      <c r="K62" s="115">
        <v>22936</v>
      </c>
      <c r="L62" s="116">
        <f t="shared" si="4"/>
        <v>0.1194299380155206</v>
      </c>
      <c r="M62" s="115"/>
      <c r="N62" s="116"/>
    </row>
    <row r="63" spans="1:15" x14ac:dyDescent="0.25">
      <c r="A63" s="1">
        <v>11</v>
      </c>
      <c r="B63" s="114" t="s">
        <v>91</v>
      </c>
      <c r="C63" s="115">
        <v>1583</v>
      </c>
      <c r="D63" s="116">
        <v>-0.917642162218407</v>
      </c>
      <c r="E63" s="115">
        <v>9457</v>
      </c>
      <c r="F63" s="116">
        <f t="shared" si="4"/>
        <v>4.9740998104864182</v>
      </c>
      <c r="G63" s="115">
        <v>16997</v>
      </c>
      <c r="H63" s="116">
        <f t="shared" si="4"/>
        <v>0.79729301046843615</v>
      </c>
      <c r="I63" s="115">
        <v>13792</v>
      </c>
      <c r="J63" s="116">
        <f t="shared" si="4"/>
        <v>-0.18856268753309402</v>
      </c>
      <c r="K63" s="115">
        <v>18518</v>
      </c>
      <c r="L63" s="116">
        <f t="shared" si="4"/>
        <v>0.34266241299303934</v>
      </c>
      <c r="M63" s="115"/>
      <c r="N63" s="116"/>
    </row>
    <row r="64" spans="1:15" x14ac:dyDescent="0.25">
      <c r="A64" s="1">
        <v>12</v>
      </c>
      <c r="B64" s="114" t="s">
        <v>93</v>
      </c>
      <c r="C64" s="115">
        <v>1958</v>
      </c>
      <c r="D64" s="116">
        <v>-0.8961713861491144</v>
      </c>
      <c r="E64" s="115">
        <v>9933</v>
      </c>
      <c r="F64" s="116">
        <f t="shared" si="4"/>
        <v>4.0730337078651688</v>
      </c>
      <c r="G64" s="115">
        <v>16856</v>
      </c>
      <c r="H64" s="116">
        <f t="shared" si="4"/>
        <v>0.69696969696969702</v>
      </c>
      <c r="I64" s="115">
        <v>14326</v>
      </c>
      <c r="J64" s="116">
        <f t="shared" si="4"/>
        <v>-0.15009492168960603</v>
      </c>
      <c r="K64" s="115">
        <v>15056</v>
      </c>
      <c r="L64" s="116">
        <f t="shared" si="4"/>
        <v>5.0956303224905852E-2</v>
      </c>
      <c r="M64" s="115"/>
      <c r="N64" s="116"/>
    </row>
    <row r="65" spans="1:15" ht="15.75" x14ac:dyDescent="0.25">
      <c r="B65" s="117" t="s">
        <v>30</v>
      </c>
      <c r="C65" s="118">
        <v>74813</v>
      </c>
      <c r="D65" s="119">
        <v>-0.73677692202139899</v>
      </c>
      <c r="E65" s="118">
        <v>114704</v>
      </c>
      <c r="F65" s="119">
        <f t="shared" si="4"/>
        <v>0.53320946894256349</v>
      </c>
      <c r="G65" s="118">
        <v>244952</v>
      </c>
      <c r="H65" s="119">
        <f t="shared" si="4"/>
        <v>1.1355140186915889</v>
      </c>
      <c r="I65" s="118">
        <v>249820</v>
      </c>
      <c r="J65" s="119">
        <f t="shared" si="4"/>
        <v>1.987328129592747E-2</v>
      </c>
      <c r="K65" s="118">
        <v>275953</v>
      </c>
      <c r="L65" s="119">
        <f t="shared" si="4"/>
        <v>0.1046073172684332</v>
      </c>
      <c r="M65" s="118">
        <v>14812</v>
      </c>
      <c r="N65" s="119">
        <v>6.6301922107839584E-2</v>
      </c>
    </row>
    <row r="66" spans="1:15" ht="6" customHeight="1" x14ac:dyDescent="0.25"/>
    <row r="67" spans="1:15" x14ac:dyDescent="0.25">
      <c r="B67" s="105" t="s">
        <v>55</v>
      </c>
      <c r="C67" s="105"/>
      <c r="D67" s="105"/>
      <c r="E67" s="105"/>
      <c r="F67" s="105"/>
      <c r="G67" s="105"/>
      <c r="H67" s="105"/>
      <c r="I67" s="105"/>
      <c r="J67" s="105"/>
      <c r="K67" s="105"/>
      <c r="L67" s="105"/>
      <c r="M67" s="105"/>
      <c r="N67" s="105"/>
    </row>
    <row r="68" spans="1:15" x14ac:dyDescent="0.25">
      <c r="C68" s="120"/>
    </row>
    <row r="70" spans="1:15" ht="48.75" customHeight="1" thickBot="1" x14ac:dyDescent="0.3">
      <c r="B70" s="265" t="s">
        <v>238</v>
      </c>
      <c r="C70" s="265"/>
      <c r="D70" s="265"/>
      <c r="E70" s="265"/>
      <c r="F70" s="265"/>
      <c r="G70" s="265"/>
      <c r="H70" s="265"/>
      <c r="I70" s="265"/>
      <c r="J70" s="265"/>
      <c r="K70" s="265"/>
      <c r="L70" s="265"/>
      <c r="M70" s="265"/>
      <c r="N70" s="265"/>
      <c r="O70" s="1" t="s">
        <v>101</v>
      </c>
    </row>
    <row r="71" spans="1:15" ht="10.5" customHeight="1" thickBot="1" x14ac:dyDescent="0.3">
      <c r="B71" s="106"/>
      <c r="C71" s="107"/>
      <c r="D71" s="106"/>
      <c r="E71" s="106"/>
      <c r="F71" s="106"/>
      <c r="G71" s="106"/>
      <c r="H71" s="106"/>
      <c r="I71" s="106"/>
      <c r="J71" s="106"/>
      <c r="K71" s="106"/>
      <c r="L71" s="106"/>
      <c r="M71" s="4"/>
      <c r="N71" s="4"/>
      <c r="O71" s="1" t="s">
        <v>102</v>
      </c>
    </row>
    <row r="72" spans="1:15" ht="22.5" thickTop="1" thickBot="1" x14ac:dyDescent="0.3">
      <c r="B72" s="109"/>
      <c r="C72" s="290" t="s">
        <v>103</v>
      </c>
      <c r="D72" s="291"/>
      <c r="E72" s="291"/>
      <c r="F72" s="291"/>
      <c r="G72" s="291"/>
      <c r="H72" s="291"/>
      <c r="I72" s="291"/>
      <c r="J72" s="291"/>
      <c r="K72" s="291"/>
      <c r="L72" s="291"/>
      <c r="M72" s="291"/>
      <c r="N72" s="291"/>
    </row>
    <row r="73" spans="1:15" ht="22.5" thickTop="1" thickBot="1" x14ac:dyDescent="0.3">
      <c r="B73" s="109"/>
      <c r="C73" s="292">
        <f>C$7</f>
        <v>2020</v>
      </c>
      <c r="D73" s="293"/>
      <c r="E73" s="292">
        <f>E$7</f>
        <v>2021</v>
      </c>
      <c r="F73" s="293"/>
      <c r="G73" s="292">
        <f>G$7</f>
        <v>2022</v>
      </c>
      <c r="H73" s="293"/>
      <c r="I73" s="292">
        <f>I$7</f>
        <v>2023</v>
      </c>
      <c r="J73" s="293"/>
      <c r="K73" s="292">
        <f>K$7</f>
        <v>2024</v>
      </c>
      <c r="L73" s="293"/>
      <c r="M73" s="292">
        <f>M$7</f>
        <v>2025</v>
      </c>
      <c r="N73" s="293"/>
    </row>
    <row r="74" spans="1:15" ht="16.5" thickTop="1" thickBot="1" x14ac:dyDescent="0.3">
      <c r="B74" s="85"/>
      <c r="C74" s="111" t="s">
        <v>69</v>
      </c>
      <c r="D74" s="112" t="str">
        <f>CONCATENATE("var ",RIGHT(C73,2),"/",RIGHT(C73-1,2))</f>
        <v>var 20/19</v>
      </c>
      <c r="E74" s="113" t="s">
        <v>69</v>
      </c>
      <c r="F74" s="112" t="str">
        <f>CONCATENATE("var ",RIGHT(E73,2),"/",RIGHT(E73-1,2))</f>
        <v>var 21/20</v>
      </c>
      <c r="G74" s="113" t="s">
        <v>69</v>
      </c>
      <c r="H74" s="112" t="str">
        <f>CONCATENATE("var ",RIGHT(G73,2),"/",RIGHT(G73-1,2))</f>
        <v>var 22/21</v>
      </c>
      <c r="I74" s="113" t="s">
        <v>69</v>
      </c>
      <c r="J74" s="112" t="str">
        <f>CONCATENATE("var ",RIGHT(I73,2),"/",RIGHT(I73-1,2))</f>
        <v>var 23/22</v>
      </c>
      <c r="K74" s="113" t="s">
        <v>69</v>
      </c>
      <c r="L74" s="112" t="str">
        <f>CONCATENATE("var ",RIGHT(K73,2),"/",RIGHT(K73-1,2))</f>
        <v>var 24/23</v>
      </c>
      <c r="M74" s="113" t="s">
        <v>69</v>
      </c>
      <c r="N74" s="112" t="str">
        <f>CONCATENATE("var ",RIGHT(M73,2),"/",RIGHT(M73-1,2))</f>
        <v>var 25/24</v>
      </c>
    </row>
    <row r="75" spans="1:15" x14ac:dyDescent="0.25">
      <c r="A75" s="1">
        <v>1</v>
      </c>
      <c r="B75" s="114" t="s">
        <v>71</v>
      </c>
      <c r="C75" s="115">
        <v>3543</v>
      </c>
      <c r="D75" s="116">
        <v>0.40706910246227168</v>
      </c>
      <c r="E75" s="115">
        <v>1101</v>
      </c>
      <c r="F75" s="116">
        <f>IFERROR(E75/C75-1,"-")</f>
        <v>-0.6892464013547841</v>
      </c>
      <c r="G75" s="115">
        <v>3148</v>
      </c>
      <c r="H75" s="116">
        <f>IFERROR(G75/E75-1,"-")</f>
        <v>1.8592188919164396</v>
      </c>
      <c r="I75" s="115">
        <v>3614</v>
      </c>
      <c r="J75" s="116">
        <f>IFERROR(I75/G75-1,"-")</f>
        <v>0.14803049555273184</v>
      </c>
      <c r="K75" s="115">
        <v>3298</v>
      </c>
      <c r="L75" s="116">
        <f>IFERROR(K75/I75-1,"-")</f>
        <v>-8.7437742114001127E-2</v>
      </c>
      <c r="M75" s="115">
        <v>3813</v>
      </c>
      <c r="N75" s="116">
        <f t="shared" ref="N75" si="5">IFERROR(M75/K75-1,"-")</f>
        <v>0.15615524560339589</v>
      </c>
    </row>
    <row r="76" spans="1:15" x14ac:dyDescent="0.25">
      <c r="A76" s="1">
        <v>2</v>
      </c>
      <c r="B76" s="114" t="s">
        <v>73</v>
      </c>
      <c r="C76" s="115">
        <v>3989</v>
      </c>
      <c r="D76" s="116">
        <v>0.48179791976225861</v>
      </c>
      <c r="E76" s="115">
        <v>1841</v>
      </c>
      <c r="F76" s="116">
        <f t="shared" ref="F76:L87" si="6">IFERROR(E76/C76-1,"-")</f>
        <v>-0.53848082226121829</v>
      </c>
      <c r="G76" s="115">
        <v>5892</v>
      </c>
      <c r="H76" s="116">
        <f t="shared" si="6"/>
        <v>2.2004345464421511</v>
      </c>
      <c r="I76" s="115">
        <v>3040</v>
      </c>
      <c r="J76" s="116">
        <f t="shared" si="6"/>
        <v>-0.48404616429056346</v>
      </c>
      <c r="K76" s="115">
        <v>3538</v>
      </c>
      <c r="L76" s="116">
        <f t="shared" si="6"/>
        <v>0.16381578947368425</v>
      </c>
      <c r="M76" s="115"/>
      <c r="N76" s="116"/>
    </row>
    <row r="77" spans="1:15" x14ac:dyDescent="0.25">
      <c r="A77" s="1">
        <v>3</v>
      </c>
      <c r="B77" s="114" t="s">
        <v>75</v>
      </c>
      <c r="C77" s="115">
        <v>1220</v>
      </c>
      <c r="D77" s="116">
        <v>-0.68773995392884568</v>
      </c>
      <c r="E77" s="115">
        <v>1725</v>
      </c>
      <c r="F77" s="116">
        <f t="shared" si="6"/>
        <v>0.41393442622950816</v>
      </c>
      <c r="G77" s="115">
        <v>5354</v>
      </c>
      <c r="H77" s="116">
        <f t="shared" si="6"/>
        <v>2.1037681159420289</v>
      </c>
      <c r="I77" s="115">
        <v>5138</v>
      </c>
      <c r="J77" s="116">
        <f t="shared" si="6"/>
        <v>-4.0343668285394152E-2</v>
      </c>
      <c r="K77" s="115">
        <v>5968</v>
      </c>
      <c r="L77" s="116">
        <f t="shared" si="6"/>
        <v>0.16154145581938506</v>
      </c>
      <c r="M77" s="115"/>
      <c r="N77" s="116"/>
    </row>
    <row r="78" spans="1:15" x14ac:dyDescent="0.25">
      <c r="A78" s="1">
        <v>4</v>
      </c>
      <c r="B78" s="114" t="s">
        <v>77</v>
      </c>
      <c r="C78" s="115">
        <v>0</v>
      </c>
      <c r="D78" s="116">
        <v>-1</v>
      </c>
      <c r="E78" s="115">
        <v>1621</v>
      </c>
      <c r="F78" s="116" t="str">
        <f t="shared" si="6"/>
        <v>-</v>
      </c>
      <c r="G78" s="115">
        <v>9991</v>
      </c>
      <c r="H78" s="116">
        <f t="shared" si="6"/>
        <v>5.1634793337446023</v>
      </c>
      <c r="I78" s="115">
        <v>9086</v>
      </c>
      <c r="J78" s="116">
        <f t="shared" si="6"/>
        <v>-9.0581523371033978E-2</v>
      </c>
      <c r="K78" s="115">
        <v>7985</v>
      </c>
      <c r="L78" s="116">
        <f t="shared" si="6"/>
        <v>-0.12117543473475678</v>
      </c>
      <c r="M78" s="115"/>
      <c r="N78" s="116"/>
    </row>
    <row r="79" spans="1:15" x14ac:dyDescent="0.25">
      <c r="A79" s="1">
        <v>5</v>
      </c>
      <c r="B79" s="114" t="s">
        <v>79</v>
      </c>
      <c r="C79" s="115">
        <v>0</v>
      </c>
      <c r="D79" s="116">
        <v>-1</v>
      </c>
      <c r="E79" s="115">
        <v>5202</v>
      </c>
      <c r="F79" s="116" t="str">
        <f t="shared" si="6"/>
        <v>-</v>
      </c>
      <c r="G79" s="115">
        <v>8590</v>
      </c>
      <c r="H79" s="116">
        <f t="shared" si="6"/>
        <v>0.65128796616685891</v>
      </c>
      <c r="I79" s="115">
        <v>8929</v>
      </c>
      <c r="J79" s="116">
        <f t="shared" si="6"/>
        <v>3.9464493597206163E-2</v>
      </c>
      <c r="K79" s="115">
        <v>13978</v>
      </c>
      <c r="L79" s="116">
        <f t="shared" si="6"/>
        <v>0.56546085787882183</v>
      </c>
      <c r="M79" s="115"/>
      <c r="N79" s="116"/>
    </row>
    <row r="80" spans="1:15" x14ac:dyDescent="0.25">
      <c r="A80" s="1">
        <v>6</v>
      </c>
      <c r="B80" s="114" t="s">
        <v>81</v>
      </c>
      <c r="C80" s="115">
        <v>0</v>
      </c>
      <c r="D80" s="116">
        <v>-1</v>
      </c>
      <c r="E80" s="115">
        <v>6390</v>
      </c>
      <c r="F80" s="116" t="str">
        <f t="shared" si="6"/>
        <v>-</v>
      </c>
      <c r="G80" s="115">
        <v>8842</v>
      </c>
      <c r="H80" s="116">
        <f t="shared" si="6"/>
        <v>0.38372456964006263</v>
      </c>
      <c r="I80" s="115">
        <v>12926</v>
      </c>
      <c r="J80" s="116">
        <f t="shared" si="6"/>
        <v>0.46188645102917891</v>
      </c>
      <c r="K80" s="115">
        <v>15406</v>
      </c>
      <c r="L80" s="116">
        <f t="shared" si="6"/>
        <v>0.19186136469131987</v>
      </c>
      <c r="M80" s="115"/>
      <c r="N80" s="116"/>
    </row>
    <row r="81" spans="1:15" x14ac:dyDescent="0.25">
      <c r="A81" s="1">
        <v>7</v>
      </c>
      <c r="B81" s="114" t="s">
        <v>83</v>
      </c>
      <c r="C81" s="115">
        <v>0</v>
      </c>
      <c r="D81" s="116">
        <v>-1</v>
      </c>
      <c r="E81" s="115">
        <v>9791</v>
      </c>
      <c r="F81" s="116" t="str">
        <f t="shared" si="6"/>
        <v>-</v>
      </c>
      <c r="G81" s="115">
        <v>16034</v>
      </c>
      <c r="H81" s="116">
        <f t="shared" si="6"/>
        <v>0.63762639158410783</v>
      </c>
      <c r="I81" s="115">
        <v>13120</v>
      </c>
      <c r="J81" s="116">
        <f t="shared" si="6"/>
        <v>-0.18173880503929152</v>
      </c>
      <c r="K81" s="115">
        <v>15137</v>
      </c>
      <c r="L81" s="116">
        <f t="shared" si="6"/>
        <v>0.15373475609756104</v>
      </c>
      <c r="M81" s="115"/>
      <c r="N81" s="116"/>
    </row>
    <row r="82" spans="1:15" x14ac:dyDescent="0.25">
      <c r="A82" s="1">
        <v>8</v>
      </c>
      <c r="B82" s="114" t="s">
        <v>85</v>
      </c>
      <c r="C82" s="115">
        <v>4131</v>
      </c>
      <c r="D82" s="116">
        <v>-0.52566310713055464</v>
      </c>
      <c r="E82" s="115">
        <v>9786</v>
      </c>
      <c r="F82" s="116">
        <f t="shared" si="6"/>
        <v>1.3689179375453886</v>
      </c>
      <c r="G82" s="115">
        <v>10353</v>
      </c>
      <c r="H82" s="116">
        <f t="shared" si="6"/>
        <v>5.7939914163090078E-2</v>
      </c>
      <c r="I82" s="115">
        <v>9042</v>
      </c>
      <c r="J82" s="116">
        <f t="shared" si="6"/>
        <v>-0.12662996232975954</v>
      </c>
      <c r="K82" s="115">
        <v>13101</v>
      </c>
      <c r="L82" s="116">
        <f t="shared" si="6"/>
        <v>0.44890510948905105</v>
      </c>
      <c r="M82" s="115"/>
      <c r="N82" s="116"/>
    </row>
    <row r="83" spans="1:15" x14ac:dyDescent="0.25">
      <c r="A83" s="1">
        <v>9</v>
      </c>
      <c r="B83" s="114" t="s">
        <v>87</v>
      </c>
      <c r="C83" s="115">
        <v>3358</v>
      </c>
      <c r="D83" s="116">
        <v>-0.52597402597402598</v>
      </c>
      <c r="E83" s="115">
        <v>8529</v>
      </c>
      <c r="F83" s="116">
        <f t="shared" si="6"/>
        <v>1.5399047051816557</v>
      </c>
      <c r="G83" s="115">
        <v>8011</v>
      </c>
      <c r="H83" s="116">
        <f t="shared" si="6"/>
        <v>-6.0733966467346745E-2</v>
      </c>
      <c r="I83" s="115">
        <v>11184</v>
      </c>
      <c r="J83" s="116">
        <f t="shared" si="6"/>
        <v>0.39608038946448643</v>
      </c>
      <c r="K83" s="115">
        <v>7971</v>
      </c>
      <c r="L83" s="116">
        <f t="shared" si="6"/>
        <v>-0.28728540772532185</v>
      </c>
      <c r="M83" s="115"/>
      <c r="N83" s="116"/>
    </row>
    <row r="84" spans="1:15" x14ac:dyDescent="0.25">
      <c r="A84" s="1">
        <v>10</v>
      </c>
      <c r="B84" s="114" t="s">
        <v>89</v>
      </c>
      <c r="C84" s="115">
        <v>4435</v>
      </c>
      <c r="D84" s="116">
        <v>-0.31505791505791503</v>
      </c>
      <c r="E84" s="115">
        <v>10059</v>
      </c>
      <c r="F84" s="116">
        <f t="shared" si="6"/>
        <v>1.2680947012401353</v>
      </c>
      <c r="G84" s="115">
        <v>10465</v>
      </c>
      <c r="H84" s="116">
        <f t="shared" si="6"/>
        <v>4.0361864996520502E-2</v>
      </c>
      <c r="I84" s="115">
        <v>6656</v>
      </c>
      <c r="J84" s="116">
        <f t="shared" si="6"/>
        <v>-0.36397515527950308</v>
      </c>
      <c r="K84" s="115">
        <v>8034</v>
      </c>
      <c r="L84" s="116">
        <f t="shared" si="6"/>
        <v>0.20703125</v>
      </c>
      <c r="M84" s="115"/>
      <c r="N84" s="116"/>
    </row>
    <row r="85" spans="1:15" x14ac:dyDescent="0.25">
      <c r="A85" s="1">
        <v>11</v>
      </c>
      <c r="B85" s="114" t="s">
        <v>91</v>
      </c>
      <c r="C85" s="115">
        <v>1740</v>
      </c>
      <c r="D85" s="116">
        <v>-0.66279069767441867</v>
      </c>
      <c r="E85" s="115">
        <v>4557</v>
      </c>
      <c r="F85" s="116">
        <f t="shared" si="6"/>
        <v>1.6189655172413793</v>
      </c>
      <c r="G85" s="115">
        <v>4962</v>
      </c>
      <c r="H85" s="116">
        <f t="shared" si="6"/>
        <v>8.8874259381171772E-2</v>
      </c>
      <c r="I85" s="115">
        <v>4449</v>
      </c>
      <c r="J85" s="116">
        <f t="shared" si="6"/>
        <v>-0.10338573155985487</v>
      </c>
      <c r="K85" s="115">
        <v>6479</v>
      </c>
      <c r="L85" s="116">
        <f t="shared" si="6"/>
        <v>0.45628231063160252</v>
      </c>
      <c r="M85" s="115"/>
      <c r="N85" s="116"/>
    </row>
    <row r="86" spans="1:15" x14ac:dyDescent="0.25">
      <c r="A86" s="1">
        <v>12</v>
      </c>
      <c r="B86" s="114" t="s">
        <v>93</v>
      </c>
      <c r="C86" s="115">
        <v>2977</v>
      </c>
      <c r="D86" s="116">
        <v>-0.29837379212821113</v>
      </c>
      <c r="E86" s="115">
        <v>6387</v>
      </c>
      <c r="F86" s="116">
        <f t="shared" si="6"/>
        <v>1.1454484380248573</v>
      </c>
      <c r="G86" s="115">
        <v>5749</v>
      </c>
      <c r="H86" s="116">
        <f t="shared" si="6"/>
        <v>-9.9890402379834042E-2</v>
      </c>
      <c r="I86" s="115">
        <v>4919</v>
      </c>
      <c r="J86" s="116">
        <f t="shared" si="6"/>
        <v>-0.14437293442337795</v>
      </c>
      <c r="K86" s="115">
        <v>5389</v>
      </c>
      <c r="L86" s="116">
        <f t="shared" si="6"/>
        <v>9.5547875584468311E-2</v>
      </c>
      <c r="M86" s="115"/>
      <c r="N86" s="116"/>
    </row>
    <row r="87" spans="1:15" ht="15.75" x14ac:dyDescent="0.25">
      <c r="B87" s="117" t="s">
        <v>30</v>
      </c>
      <c r="C87" s="118">
        <v>28320</v>
      </c>
      <c r="D87" s="119">
        <v>-0.6070159857904085</v>
      </c>
      <c r="E87" s="118">
        <v>66989</v>
      </c>
      <c r="F87" s="119">
        <f t="shared" si="6"/>
        <v>1.3654307909604522</v>
      </c>
      <c r="G87" s="118">
        <v>97391</v>
      </c>
      <c r="H87" s="119">
        <f t="shared" si="6"/>
        <v>0.45383570436937415</v>
      </c>
      <c r="I87" s="118">
        <v>92103</v>
      </c>
      <c r="J87" s="119">
        <f t="shared" si="6"/>
        <v>-5.4296598248298134E-2</v>
      </c>
      <c r="K87" s="118">
        <v>106284</v>
      </c>
      <c r="L87" s="119">
        <f t="shared" si="6"/>
        <v>0.15396892609361257</v>
      </c>
      <c r="M87" s="118">
        <v>3813</v>
      </c>
      <c r="N87" s="119">
        <v>0.15615524560339589</v>
      </c>
    </row>
    <row r="88" spans="1:15" ht="6" customHeight="1" x14ac:dyDescent="0.25"/>
    <row r="89" spans="1:15" x14ac:dyDescent="0.25">
      <c r="B89" s="105" t="s">
        <v>55</v>
      </c>
      <c r="C89" s="105"/>
      <c r="D89" s="105"/>
      <c r="E89" s="105"/>
      <c r="F89" s="105"/>
      <c r="G89" s="105"/>
      <c r="H89" s="105"/>
      <c r="I89" s="105"/>
      <c r="J89" s="105"/>
      <c r="K89" s="105"/>
      <c r="L89" s="105"/>
      <c r="M89" s="105"/>
      <c r="N89" s="105"/>
    </row>
    <row r="90" spans="1:15" x14ac:dyDescent="0.25">
      <c r="C90" s="120"/>
    </row>
    <row r="92" spans="1:15" ht="48.75" customHeight="1" thickBot="1" x14ac:dyDescent="0.3">
      <c r="B92" s="265" t="s">
        <v>239</v>
      </c>
      <c r="C92" s="265"/>
      <c r="D92" s="265"/>
      <c r="E92" s="265"/>
      <c r="F92" s="265"/>
      <c r="G92" s="265"/>
      <c r="H92" s="265"/>
      <c r="I92" s="265"/>
      <c r="J92" s="265"/>
      <c r="K92" s="265"/>
      <c r="L92" s="265"/>
      <c r="M92" s="265"/>
      <c r="N92" s="265"/>
      <c r="O92" s="1" t="s">
        <v>104</v>
      </c>
    </row>
    <row r="93" spans="1:15" ht="10.5" customHeight="1" thickBot="1" x14ac:dyDescent="0.3">
      <c r="B93" s="106"/>
      <c r="C93" s="107"/>
      <c r="D93" s="106"/>
      <c r="E93" s="106"/>
      <c r="F93" s="106"/>
      <c r="G93" s="106"/>
      <c r="H93" s="106"/>
      <c r="I93" s="106"/>
      <c r="J93" s="106"/>
      <c r="K93" s="106"/>
      <c r="L93" s="106"/>
      <c r="M93" s="4"/>
      <c r="N93" s="4"/>
      <c r="O93" s="1" t="s">
        <v>105</v>
      </c>
    </row>
    <row r="94" spans="1:15" ht="22.5" thickTop="1" thickBot="1" x14ac:dyDescent="0.3">
      <c r="B94" s="121" t="s">
        <v>106</v>
      </c>
      <c r="C94" s="290" t="s">
        <v>107</v>
      </c>
      <c r="D94" s="291"/>
      <c r="E94" s="291"/>
      <c r="F94" s="291"/>
      <c r="G94" s="291"/>
      <c r="H94" s="291"/>
      <c r="I94" s="291"/>
      <c r="J94" s="291"/>
      <c r="K94" s="291"/>
      <c r="L94" s="291"/>
      <c r="M94" s="291"/>
      <c r="N94" s="291"/>
    </row>
    <row r="95" spans="1:15" ht="22.5" thickTop="1" thickBot="1" x14ac:dyDescent="0.3">
      <c r="B95" s="109"/>
      <c r="C95" s="292">
        <f>C$7</f>
        <v>2020</v>
      </c>
      <c r="D95" s="293"/>
      <c r="E95" s="292">
        <f>E$7</f>
        <v>2021</v>
      </c>
      <c r="F95" s="293"/>
      <c r="G95" s="292">
        <f>G$7</f>
        <v>2022</v>
      </c>
      <c r="H95" s="293"/>
      <c r="I95" s="292">
        <f>I$7</f>
        <v>2023</v>
      </c>
      <c r="J95" s="293"/>
      <c r="K95" s="292">
        <f>K$7</f>
        <v>2024</v>
      </c>
      <c r="L95" s="293"/>
      <c r="M95" s="292">
        <f>M$7</f>
        <v>2025</v>
      </c>
      <c r="N95" s="293"/>
    </row>
    <row r="96" spans="1:15" ht="16.5" thickTop="1" thickBot="1" x14ac:dyDescent="0.3">
      <c r="B96" s="85"/>
      <c r="C96" s="111" t="s">
        <v>69</v>
      </c>
      <c r="D96" s="112" t="str">
        <f>CONCATENATE("var ",RIGHT(C95,2),"/",RIGHT(C95-1,2))</f>
        <v>var 20/19</v>
      </c>
      <c r="E96" s="113" t="s">
        <v>69</v>
      </c>
      <c r="F96" s="112" t="str">
        <f>CONCATENATE("var ",RIGHT(E95,2),"/",RIGHT(E95-1,2))</f>
        <v>var 21/20</v>
      </c>
      <c r="G96" s="113" t="s">
        <v>69</v>
      </c>
      <c r="H96" s="112" t="str">
        <f>CONCATENATE("var ",RIGHT(G95,2),"/",RIGHT(G95-1,2))</f>
        <v>var 22/21</v>
      </c>
      <c r="I96" s="113" t="s">
        <v>69</v>
      </c>
      <c r="J96" s="112" t="str">
        <f>CONCATENATE("var ",RIGHT(I95,2),"/",RIGHT(I95-1,2))</f>
        <v>var 23/22</v>
      </c>
      <c r="K96" s="113" t="s">
        <v>69</v>
      </c>
      <c r="L96" s="112" t="str">
        <f>CONCATENATE("var ",RIGHT(K95,2),"/",RIGHT(K95-1,2))</f>
        <v>var 24/23</v>
      </c>
      <c r="M96" s="113" t="s">
        <v>69</v>
      </c>
      <c r="N96" s="112" t="str">
        <f>CONCATENATE("var ",RIGHT(M95,2),"/",RIGHT(M95-1,2))</f>
        <v>var 25/24</v>
      </c>
    </row>
    <row r="97" spans="2:14" x14ac:dyDescent="0.25">
      <c r="B97" s="114" t="s">
        <v>71</v>
      </c>
      <c r="C97" s="115">
        <v>41319</v>
      </c>
      <c r="D97" s="116">
        <v>-2.4344746162928033E-2</v>
      </c>
      <c r="E97" s="115">
        <v>2467</v>
      </c>
      <c r="F97" s="116">
        <f t="shared" ref="F97:L109" si="7">IFERROR(E97/C97-1,"-")</f>
        <v>-0.94029381156368741</v>
      </c>
      <c r="G97" s="115">
        <v>23713</v>
      </c>
      <c r="H97" s="116">
        <f t="shared" si="7"/>
        <v>8.6120794487231453</v>
      </c>
      <c r="I97" s="115">
        <v>41343</v>
      </c>
      <c r="J97" s="116">
        <f t="shared" si="7"/>
        <v>0.74347404377345749</v>
      </c>
      <c r="K97" s="115">
        <v>47292</v>
      </c>
      <c r="L97" s="116">
        <f t="shared" si="7"/>
        <v>0.14389376678034971</v>
      </c>
      <c r="M97" s="115">
        <v>46785</v>
      </c>
      <c r="N97" s="116">
        <f t="shared" ref="N97" si="8">IFERROR(M97/K97-1,"-")</f>
        <v>-1.0720629281908201E-2</v>
      </c>
    </row>
    <row r="98" spans="2:14" x14ac:dyDescent="0.25">
      <c r="B98" s="114" t="s">
        <v>73</v>
      </c>
      <c r="C98" s="115">
        <v>38135</v>
      </c>
      <c r="D98" s="116">
        <v>2.6984084237740014E-2</v>
      </c>
      <c r="E98" s="115">
        <v>3219</v>
      </c>
      <c r="F98" s="116">
        <f t="shared" si="7"/>
        <v>-0.91558935361216731</v>
      </c>
      <c r="G98" s="115">
        <v>30572</v>
      </c>
      <c r="H98" s="116">
        <f t="shared" si="7"/>
        <v>8.4973594283939118</v>
      </c>
      <c r="I98" s="115">
        <v>39648</v>
      </c>
      <c r="J98" s="116">
        <f t="shared" si="7"/>
        <v>0.29687295564568883</v>
      </c>
      <c r="K98" s="115">
        <v>48188</v>
      </c>
      <c r="L98" s="116">
        <f t="shared" si="7"/>
        <v>0.21539548022598876</v>
      </c>
      <c r="M98" s="115"/>
      <c r="N98" s="116"/>
    </row>
    <row r="99" spans="2:14" x14ac:dyDescent="0.25">
      <c r="B99" s="114" t="s">
        <v>75</v>
      </c>
      <c r="C99" s="115">
        <v>15728</v>
      </c>
      <c r="D99" s="116">
        <v>-0.64506228561112122</v>
      </c>
      <c r="E99" s="115">
        <v>4662</v>
      </c>
      <c r="F99" s="116">
        <f t="shared" si="7"/>
        <v>-0.70358596134282814</v>
      </c>
      <c r="G99" s="115">
        <v>35274</v>
      </c>
      <c r="H99" s="116">
        <f t="shared" si="7"/>
        <v>6.5662805662805663</v>
      </c>
      <c r="I99" s="115">
        <v>41310</v>
      </c>
      <c r="J99" s="116">
        <f t="shared" si="7"/>
        <v>0.17111753699608778</v>
      </c>
      <c r="K99" s="115">
        <v>51183</v>
      </c>
      <c r="L99" s="116">
        <f t="shared" si="7"/>
        <v>0.23899782135076242</v>
      </c>
      <c r="M99" s="115"/>
      <c r="N99" s="116"/>
    </row>
    <row r="100" spans="2:14" x14ac:dyDescent="0.25">
      <c r="B100" s="114" t="s">
        <v>77</v>
      </c>
      <c r="C100" s="115">
        <v>0</v>
      </c>
      <c r="D100" s="116">
        <v>-1</v>
      </c>
      <c r="E100" s="115">
        <v>3982</v>
      </c>
      <c r="F100" s="116" t="str">
        <f t="shared" si="7"/>
        <v>-</v>
      </c>
      <c r="G100" s="115">
        <v>31009</v>
      </c>
      <c r="H100" s="116">
        <f t="shared" si="7"/>
        <v>6.7872928176795577</v>
      </c>
      <c r="I100" s="115">
        <v>34791</v>
      </c>
      <c r="J100" s="116">
        <f t="shared" si="7"/>
        <v>0.12196459092521517</v>
      </c>
      <c r="K100" s="115">
        <v>36853</v>
      </c>
      <c r="L100" s="116">
        <f t="shared" si="7"/>
        <v>5.926820154637702E-2</v>
      </c>
      <c r="M100" s="115"/>
      <c r="N100" s="116"/>
    </row>
    <row r="101" spans="2:14" x14ac:dyDescent="0.25">
      <c r="B101" s="114" t="s">
        <v>79</v>
      </c>
      <c r="C101" s="115">
        <v>0</v>
      </c>
      <c r="D101" s="116">
        <v>-1</v>
      </c>
      <c r="E101" s="115">
        <v>7642</v>
      </c>
      <c r="F101" s="116" t="str">
        <f t="shared" si="7"/>
        <v>-</v>
      </c>
      <c r="G101" s="115">
        <v>22444</v>
      </c>
      <c r="H101" s="116">
        <f t="shared" si="7"/>
        <v>1.9369275058885109</v>
      </c>
      <c r="I101" s="115">
        <v>26786</v>
      </c>
      <c r="J101" s="116">
        <f t="shared" si="7"/>
        <v>0.19345927642131522</v>
      </c>
      <c r="K101" s="115">
        <v>35540</v>
      </c>
      <c r="L101" s="116">
        <f t="shared" si="7"/>
        <v>0.32681251399985056</v>
      </c>
      <c r="M101" s="115"/>
      <c r="N101" s="116"/>
    </row>
    <row r="102" spans="2:14" x14ac:dyDescent="0.25">
      <c r="B102" s="114" t="s">
        <v>81</v>
      </c>
      <c r="C102" s="115">
        <v>0</v>
      </c>
      <c r="D102" s="116">
        <v>-1</v>
      </c>
      <c r="E102" s="115">
        <v>8939</v>
      </c>
      <c r="F102" s="116" t="str">
        <f t="shared" si="7"/>
        <v>-</v>
      </c>
      <c r="G102" s="115">
        <v>25203</v>
      </c>
      <c r="H102" s="116">
        <f t="shared" si="7"/>
        <v>1.8194428907036579</v>
      </c>
      <c r="I102" s="115">
        <v>29679</v>
      </c>
      <c r="J102" s="116">
        <f t="shared" si="7"/>
        <v>0.17759790501130812</v>
      </c>
      <c r="K102" s="115">
        <v>38400</v>
      </c>
      <c r="L102" s="116">
        <f t="shared" si="7"/>
        <v>0.29384413221469718</v>
      </c>
      <c r="M102" s="115"/>
      <c r="N102" s="116"/>
    </row>
    <row r="103" spans="2:14" x14ac:dyDescent="0.25">
      <c r="B103" s="114" t="s">
        <v>83</v>
      </c>
      <c r="C103" s="115">
        <v>0</v>
      </c>
      <c r="D103" s="116">
        <v>-1</v>
      </c>
      <c r="E103" s="115">
        <v>13870</v>
      </c>
      <c r="F103" s="116" t="str">
        <f t="shared" si="7"/>
        <v>-</v>
      </c>
      <c r="G103" s="115">
        <v>29998</v>
      </c>
      <c r="H103" s="116">
        <f t="shared" si="7"/>
        <v>1.1627974044700795</v>
      </c>
      <c r="I103" s="115">
        <v>33976</v>
      </c>
      <c r="J103" s="116">
        <f t="shared" si="7"/>
        <v>0.13260884058937261</v>
      </c>
      <c r="K103" s="115">
        <v>43630</v>
      </c>
      <c r="L103" s="116">
        <f t="shared" si="7"/>
        <v>0.28414174711561091</v>
      </c>
      <c r="M103" s="115"/>
      <c r="N103" s="116"/>
    </row>
    <row r="104" spans="2:14" x14ac:dyDescent="0.25">
      <c r="B104" s="114" t="s">
        <v>85</v>
      </c>
      <c r="C104" s="115">
        <v>7191</v>
      </c>
      <c r="D104" s="116">
        <v>-0.79324324324324325</v>
      </c>
      <c r="E104" s="115">
        <v>17181</v>
      </c>
      <c r="F104" s="116">
        <f t="shared" si="7"/>
        <v>1.3892365456821025</v>
      </c>
      <c r="G104" s="115">
        <v>28134</v>
      </c>
      <c r="H104" s="116">
        <f t="shared" si="7"/>
        <v>0.63750654793085393</v>
      </c>
      <c r="I104" s="115">
        <v>36083</v>
      </c>
      <c r="J104" s="116">
        <f t="shared" si="7"/>
        <v>0.28254069808772297</v>
      </c>
      <c r="K104" s="115">
        <v>41399</v>
      </c>
      <c r="L104" s="116">
        <f t="shared" si="7"/>
        <v>0.14732699609234268</v>
      </c>
      <c r="M104" s="115"/>
      <c r="N104" s="116"/>
    </row>
    <row r="105" spans="2:14" x14ac:dyDescent="0.25">
      <c r="B105" s="114" t="s">
        <v>87</v>
      </c>
      <c r="C105" s="115">
        <v>4067</v>
      </c>
      <c r="D105" s="116">
        <v>-0.88913724955703966</v>
      </c>
      <c r="E105" s="115">
        <v>21226</v>
      </c>
      <c r="F105" s="116">
        <f t="shared" si="7"/>
        <v>4.2190804032456359</v>
      </c>
      <c r="G105" s="115">
        <v>29513</v>
      </c>
      <c r="H105" s="116">
        <f t="shared" si="7"/>
        <v>0.39041741260717977</v>
      </c>
      <c r="I105" s="115">
        <v>37421</v>
      </c>
      <c r="J105" s="116">
        <f t="shared" si="7"/>
        <v>0.26794971707383186</v>
      </c>
      <c r="K105" s="115">
        <v>42987</v>
      </c>
      <c r="L105" s="116">
        <f t="shared" si="7"/>
        <v>0.14874001229256306</v>
      </c>
      <c r="M105" s="115"/>
      <c r="N105" s="116"/>
    </row>
    <row r="106" spans="2:14" x14ac:dyDescent="0.25">
      <c r="B106" s="114" t="s">
        <v>89</v>
      </c>
      <c r="C106" s="115">
        <v>4143</v>
      </c>
      <c r="D106" s="116">
        <v>-0.89167494639962352</v>
      </c>
      <c r="E106" s="115">
        <v>28038</v>
      </c>
      <c r="F106" s="116">
        <f t="shared" si="7"/>
        <v>5.7675597393193341</v>
      </c>
      <c r="G106" s="115">
        <v>33734</v>
      </c>
      <c r="H106" s="116">
        <f t="shared" si="7"/>
        <v>0.20315286397032595</v>
      </c>
      <c r="I106" s="115">
        <v>43780</v>
      </c>
      <c r="J106" s="116">
        <f t="shared" si="7"/>
        <v>0.29780043872650741</v>
      </c>
      <c r="K106" s="115">
        <v>50883</v>
      </c>
      <c r="L106" s="116">
        <f t="shared" si="7"/>
        <v>0.16224303334856094</v>
      </c>
      <c r="M106" s="115"/>
      <c r="N106" s="116"/>
    </row>
    <row r="107" spans="2:14" x14ac:dyDescent="0.25">
      <c r="B107" s="114" t="s">
        <v>91</v>
      </c>
      <c r="C107" s="115">
        <v>2847</v>
      </c>
      <c r="D107" s="116">
        <v>-0.93274750194883427</v>
      </c>
      <c r="E107" s="115">
        <v>33454</v>
      </c>
      <c r="F107" s="116">
        <f t="shared" si="7"/>
        <v>10.750614682121531</v>
      </c>
      <c r="G107" s="115">
        <v>39793</v>
      </c>
      <c r="H107" s="116">
        <f t="shared" si="7"/>
        <v>0.18948406767501647</v>
      </c>
      <c r="I107" s="115">
        <v>47814</v>
      </c>
      <c r="J107" s="116">
        <f t="shared" si="7"/>
        <v>0.20156811499509963</v>
      </c>
      <c r="K107" s="115">
        <v>48288</v>
      </c>
      <c r="L107" s="116">
        <f t="shared" si="7"/>
        <v>9.9134144811143798E-3</v>
      </c>
      <c r="M107" s="115"/>
      <c r="N107" s="116"/>
    </row>
    <row r="108" spans="2:14" x14ac:dyDescent="0.25">
      <c r="B108" s="114" t="s">
        <v>93</v>
      </c>
      <c r="C108" s="115">
        <v>3977</v>
      </c>
      <c r="D108" s="116">
        <v>-0.8978002775350773</v>
      </c>
      <c r="E108" s="115">
        <v>27831</v>
      </c>
      <c r="F108" s="116">
        <f t="shared" si="7"/>
        <v>5.9979884334925826</v>
      </c>
      <c r="G108" s="115">
        <v>38495</v>
      </c>
      <c r="H108" s="116">
        <f t="shared" si="7"/>
        <v>0.38316984657396436</v>
      </c>
      <c r="I108" s="115">
        <v>43294</v>
      </c>
      <c r="J108" s="116">
        <f t="shared" si="7"/>
        <v>0.12466554097934801</v>
      </c>
      <c r="K108" s="115">
        <v>47476</v>
      </c>
      <c r="L108" s="116">
        <f t="shared" si="7"/>
        <v>9.6595371183073819E-2</v>
      </c>
      <c r="M108" s="115"/>
      <c r="N108" s="116"/>
    </row>
    <row r="109" spans="2:14" ht="15.75" x14ac:dyDescent="0.25">
      <c r="B109" s="117" t="s">
        <v>30</v>
      </c>
      <c r="C109" s="118">
        <v>122702</v>
      </c>
      <c r="D109" s="119">
        <v>-0.7182101699897574</v>
      </c>
      <c r="E109" s="118">
        <v>172511</v>
      </c>
      <c r="F109" s="119">
        <f t="shared" si="7"/>
        <v>0.40593470359081341</v>
      </c>
      <c r="G109" s="118">
        <v>367882</v>
      </c>
      <c r="H109" s="119">
        <f t="shared" si="7"/>
        <v>1.1325132890076577</v>
      </c>
      <c r="I109" s="118">
        <v>455925</v>
      </c>
      <c r="J109" s="119">
        <f t="shared" si="7"/>
        <v>0.23932402237674033</v>
      </c>
      <c r="K109" s="118">
        <v>532119</v>
      </c>
      <c r="L109" s="119">
        <f t="shared" si="7"/>
        <v>0.16711959203816407</v>
      </c>
      <c r="M109" s="118">
        <v>46785</v>
      </c>
      <c r="N109" s="119">
        <v>-1.0720629281908201E-2</v>
      </c>
    </row>
    <row r="110" spans="2:14" ht="6" customHeight="1" x14ac:dyDescent="0.25"/>
    <row r="111" spans="2:14" x14ac:dyDescent="0.25">
      <c r="B111" s="105" t="s">
        <v>55</v>
      </c>
      <c r="C111" s="105"/>
      <c r="D111" s="105"/>
      <c r="E111" s="105"/>
      <c r="F111" s="105"/>
      <c r="G111" s="105"/>
      <c r="H111" s="105"/>
      <c r="I111" s="105"/>
      <c r="J111" s="105"/>
      <c r="K111" s="105"/>
      <c r="L111" s="105"/>
      <c r="M111" s="105"/>
      <c r="N111" s="105"/>
    </row>
    <row r="112" spans="2:14" x14ac:dyDescent="0.25">
      <c r="C112" s="120"/>
    </row>
    <row r="114" spans="1:15" ht="48.75" customHeight="1" thickBot="1" x14ac:dyDescent="0.3">
      <c r="B114" s="265" t="s">
        <v>240</v>
      </c>
      <c r="C114" s="265"/>
      <c r="D114" s="265"/>
      <c r="E114" s="265"/>
      <c r="F114" s="265"/>
      <c r="G114" s="265"/>
      <c r="H114" s="265"/>
      <c r="I114" s="265"/>
      <c r="J114" s="265"/>
      <c r="K114" s="265"/>
      <c r="L114" s="265"/>
      <c r="M114" s="265"/>
      <c r="N114" s="265"/>
      <c r="O114" s="1" t="s">
        <v>108</v>
      </c>
    </row>
    <row r="115" spans="1:15" ht="10.5" customHeight="1" thickBot="1" x14ac:dyDescent="0.3">
      <c r="B115" s="106"/>
      <c r="C115" s="107"/>
      <c r="D115" s="106"/>
      <c r="E115" s="106"/>
      <c r="F115" s="106"/>
      <c r="G115" s="106"/>
      <c r="H115" s="106"/>
      <c r="I115" s="106"/>
      <c r="J115" s="106"/>
      <c r="K115" s="106"/>
      <c r="L115" s="106"/>
      <c r="M115" s="4"/>
      <c r="N115" s="4"/>
      <c r="O115" s="1" t="s">
        <v>109</v>
      </c>
    </row>
    <row r="116" spans="1:15" ht="22.5" thickTop="1" thickBot="1" x14ac:dyDescent="0.3">
      <c r="B116" s="121" t="str">
        <f>C116</f>
        <v>Reino Unido</v>
      </c>
      <c r="C116" s="290" t="s">
        <v>110</v>
      </c>
      <c r="D116" s="291"/>
      <c r="E116" s="291"/>
      <c r="F116" s="291"/>
      <c r="G116" s="291"/>
      <c r="H116" s="291"/>
      <c r="I116" s="291"/>
      <c r="J116" s="291"/>
      <c r="K116" s="291"/>
      <c r="L116" s="291"/>
      <c r="M116" s="291"/>
      <c r="N116" s="291"/>
    </row>
    <row r="117" spans="1:15" ht="22.5" thickTop="1" thickBot="1" x14ac:dyDescent="0.3">
      <c r="B117" s="109"/>
      <c r="C117" s="292">
        <f>C$7</f>
        <v>2020</v>
      </c>
      <c r="D117" s="293"/>
      <c r="E117" s="292">
        <f>E$7</f>
        <v>2021</v>
      </c>
      <c r="F117" s="293"/>
      <c r="G117" s="292">
        <f>G$7</f>
        <v>2022</v>
      </c>
      <c r="H117" s="293"/>
      <c r="I117" s="292">
        <f>I$7</f>
        <v>2023</v>
      </c>
      <c r="J117" s="293"/>
      <c r="K117" s="292">
        <f>K$7</f>
        <v>2024</v>
      </c>
      <c r="L117" s="293"/>
      <c r="M117" s="292">
        <f>M$7</f>
        <v>2025</v>
      </c>
      <c r="N117" s="293"/>
    </row>
    <row r="118" spans="1:15" ht="16.5" thickTop="1" thickBot="1" x14ac:dyDescent="0.3">
      <c r="B118" s="85"/>
      <c r="C118" s="111" t="s">
        <v>69</v>
      </c>
      <c r="D118" s="112" t="str">
        <f>CONCATENATE("var ",RIGHT(C117,2),"/",RIGHT(C117-1,2))</f>
        <v>var 20/19</v>
      </c>
      <c r="E118" s="113" t="s">
        <v>69</v>
      </c>
      <c r="F118" s="112" t="str">
        <f>CONCATENATE("var ",RIGHT(E117,2),"/",RIGHT(E117-1,2))</f>
        <v>var 21/20</v>
      </c>
      <c r="G118" s="113" t="s">
        <v>69</v>
      </c>
      <c r="H118" s="112" t="str">
        <f>CONCATENATE("var ",RIGHT(G117,2),"/",RIGHT(G117-1,2))</f>
        <v>var 22/21</v>
      </c>
      <c r="I118" s="113" t="s">
        <v>69</v>
      </c>
      <c r="J118" s="112" t="str">
        <f>CONCATENATE("var ",RIGHT(I117,2),"/",RIGHT(I117-1,2))</f>
        <v>var 23/22</v>
      </c>
      <c r="K118" s="113" t="s">
        <v>69</v>
      </c>
      <c r="L118" s="112" t="str">
        <f>CONCATENATE("var ",RIGHT(K117,2),"/",RIGHT(K117-1,2))</f>
        <v>var 24/23</v>
      </c>
      <c r="M118" s="113" t="s">
        <v>69</v>
      </c>
      <c r="N118" s="112" t="str">
        <f>CONCATENATE("var ",RIGHT(M117,2),"/",RIGHT(M117-1,2))</f>
        <v>var 25/24</v>
      </c>
    </row>
    <row r="119" spans="1:15" x14ac:dyDescent="0.25">
      <c r="B119" s="114" t="s">
        <v>71</v>
      </c>
      <c r="C119" s="115">
        <v>7157</v>
      </c>
      <c r="D119" s="116">
        <v>0.13118381539434165</v>
      </c>
      <c r="E119" s="115">
        <v>221</v>
      </c>
      <c r="F119" s="116">
        <f t="shared" ref="F119:L131" si="9">IFERROR(E119/C119-1,"-")</f>
        <v>-0.96912114014251782</v>
      </c>
      <c r="G119" s="115">
        <v>2891</v>
      </c>
      <c r="H119" s="116">
        <f t="shared" si="9"/>
        <v>12.081447963800905</v>
      </c>
      <c r="I119" s="115">
        <v>7281</v>
      </c>
      <c r="J119" s="116">
        <f t="shared" si="9"/>
        <v>1.5185057073676926</v>
      </c>
      <c r="K119" s="115">
        <v>9178</v>
      </c>
      <c r="L119" s="116">
        <f t="shared" si="9"/>
        <v>0.26054113445955229</v>
      </c>
      <c r="M119" s="115">
        <v>8953</v>
      </c>
      <c r="N119" s="116">
        <f t="shared" ref="N119" si="10">IFERROR(M119/K119-1,"-")</f>
        <v>-2.4515144911745446E-2</v>
      </c>
    </row>
    <row r="120" spans="1:15" x14ac:dyDescent="0.25">
      <c r="B120" s="114" t="s">
        <v>73</v>
      </c>
      <c r="C120" s="115">
        <v>6693</v>
      </c>
      <c r="D120" s="116">
        <v>7.0537428023032644E-2</v>
      </c>
      <c r="E120" s="115">
        <v>193</v>
      </c>
      <c r="F120" s="116">
        <f t="shared" si="9"/>
        <v>-0.97116390258479013</v>
      </c>
      <c r="G120" s="115">
        <v>5005</v>
      </c>
      <c r="H120" s="116">
        <f t="shared" si="9"/>
        <v>24.932642487046632</v>
      </c>
      <c r="I120" s="115">
        <v>7345</v>
      </c>
      <c r="J120" s="116">
        <f t="shared" si="9"/>
        <v>0.46753246753246747</v>
      </c>
      <c r="K120" s="115">
        <v>9359</v>
      </c>
      <c r="L120" s="116">
        <f t="shared" si="9"/>
        <v>0.27420013614703875</v>
      </c>
      <c r="M120" s="115"/>
      <c r="N120" s="116"/>
    </row>
    <row r="121" spans="1:15" x14ac:dyDescent="0.25">
      <c r="B121" s="114" t="s">
        <v>75</v>
      </c>
      <c r="C121" s="115">
        <v>2950</v>
      </c>
      <c r="D121" s="116">
        <v>-0.55672426746806913</v>
      </c>
      <c r="E121" s="115">
        <v>274</v>
      </c>
      <c r="F121" s="116">
        <f t="shared" si="9"/>
        <v>-0.90711864406779663</v>
      </c>
      <c r="G121" s="115">
        <v>5912</v>
      </c>
      <c r="H121" s="116">
        <f t="shared" si="9"/>
        <v>20.576642335766422</v>
      </c>
      <c r="I121" s="115">
        <v>7695</v>
      </c>
      <c r="J121" s="116">
        <f t="shared" si="9"/>
        <v>0.30158998646820034</v>
      </c>
      <c r="K121" s="115">
        <v>9705</v>
      </c>
      <c r="L121" s="116">
        <f t="shared" si="9"/>
        <v>0.26120857699805078</v>
      </c>
      <c r="M121" s="115"/>
      <c r="N121" s="116"/>
    </row>
    <row r="122" spans="1:15" x14ac:dyDescent="0.25">
      <c r="B122" s="114" t="s">
        <v>77</v>
      </c>
      <c r="C122" s="115">
        <v>0</v>
      </c>
      <c r="D122" s="116">
        <v>-1</v>
      </c>
      <c r="E122" s="115">
        <v>223</v>
      </c>
      <c r="F122" s="116" t="str">
        <f t="shared" si="9"/>
        <v>-</v>
      </c>
      <c r="G122" s="115">
        <v>5980</v>
      </c>
      <c r="H122" s="116">
        <f t="shared" si="9"/>
        <v>25.816143497757846</v>
      </c>
      <c r="I122" s="115">
        <v>6310</v>
      </c>
      <c r="J122" s="116">
        <f t="shared" si="9"/>
        <v>5.5183946488294389E-2</v>
      </c>
      <c r="K122" s="115">
        <v>6601</v>
      </c>
      <c r="L122" s="116">
        <f t="shared" si="9"/>
        <v>4.6117274167987388E-2</v>
      </c>
      <c r="M122" s="115"/>
      <c r="N122" s="116"/>
    </row>
    <row r="123" spans="1:15" x14ac:dyDescent="0.25">
      <c r="B123" s="114" t="s">
        <v>79</v>
      </c>
      <c r="C123" s="115">
        <v>0</v>
      </c>
      <c r="D123" s="116">
        <v>-1</v>
      </c>
      <c r="E123" s="115">
        <v>497</v>
      </c>
      <c r="F123" s="116" t="str">
        <f t="shared" si="9"/>
        <v>-</v>
      </c>
      <c r="G123" s="115">
        <v>4239</v>
      </c>
      <c r="H123" s="116">
        <f t="shared" si="9"/>
        <v>7.5291750503018111</v>
      </c>
      <c r="I123" s="115">
        <v>5598</v>
      </c>
      <c r="J123" s="116">
        <f t="shared" si="9"/>
        <v>0.32059447983014855</v>
      </c>
      <c r="K123" s="115">
        <v>7123</v>
      </c>
      <c r="L123" s="116">
        <f t="shared" si="9"/>
        <v>0.27241872097177566</v>
      </c>
      <c r="M123" s="115"/>
      <c r="N123" s="116"/>
    </row>
    <row r="124" spans="1:15" x14ac:dyDescent="0.25">
      <c r="B124" s="114" t="s">
        <v>81</v>
      </c>
      <c r="C124" s="115">
        <v>0</v>
      </c>
      <c r="D124" s="116">
        <v>-1</v>
      </c>
      <c r="E124" s="115">
        <v>665</v>
      </c>
      <c r="F124" s="116" t="str">
        <f t="shared" si="9"/>
        <v>-</v>
      </c>
      <c r="G124" s="115">
        <v>6003</v>
      </c>
      <c r="H124" s="116">
        <f t="shared" si="9"/>
        <v>8.0270676691729328</v>
      </c>
      <c r="I124" s="115">
        <v>6492</v>
      </c>
      <c r="J124" s="116">
        <f t="shared" si="9"/>
        <v>8.1459270364817593E-2</v>
      </c>
      <c r="K124" s="115">
        <v>8890</v>
      </c>
      <c r="L124" s="116">
        <f t="shared" si="9"/>
        <v>0.36937769562538514</v>
      </c>
      <c r="M124" s="115"/>
      <c r="N124" s="116"/>
    </row>
    <row r="125" spans="1:15" x14ac:dyDescent="0.25">
      <c r="B125" s="114" t="s">
        <v>83</v>
      </c>
      <c r="C125" s="115">
        <v>0</v>
      </c>
      <c r="D125" s="116">
        <v>-1</v>
      </c>
      <c r="E125" s="115">
        <v>888</v>
      </c>
      <c r="F125" s="116" t="str">
        <f t="shared" si="9"/>
        <v>-</v>
      </c>
      <c r="G125" s="115">
        <v>7721</v>
      </c>
      <c r="H125" s="116">
        <f t="shared" si="9"/>
        <v>7.6948198198198199</v>
      </c>
      <c r="I125" s="115">
        <v>8234</v>
      </c>
      <c r="J125" s="116">
        <f t="shared" si="9"/>
        <v>6.6442170703276737E-2</v>
      </c>
      <c r="K125" s="115">
        <v>10473</v>
      </c>
      <c r="L125" s="116">
        <f t="shared" si="9"/>
        <v>0.27192130191887287</v>
      </c>
      <c r="M125" s="115"/>
      <c r="N125" s="116"/>
    </row>
    <row r="126" spans="1:15" x14ac:dyDescent="0.25">
      <c r="B126" s="114" t="s">
        <v>85</v>
      </c>
      <c r="C126" s="115">
        <v>642</v>
      </c>
      <c r="D126" s="116">
        <v>-0.89938881053126474</v>
      </c>
      <c r="E126" s="115">
        <v>1309</v>
      </c>
      <c r="F126" s="116">
        <f t="shared" si="9"/>
        <v>1.0389408099688473</v>
      </c>
      <c r="G126" s="115">
        <v>7303</v>
      </c>
      <c r="H126" s="116">
        <f t="shared" si="9"/>
        <v>4.579067990832697</v>
      </c>
      <c r="I126" s="115">
        <v>8909</v>
      </c>
      <c r="J126" s="116">
        <f t="shared" si="9"/>
        <v>0.21990962618102139</v>
      </c>
      <c r="K126" s="115">
        <v>9992</v>
      </c>
      <c r="L126" s="116">
        <f t="shared" si="9"/>
        <v>0.12156246492311151</v>
      </c>
      <c r="M126" s="115"/>
      <c r="N126" s="116"/>
    </row>
    <row r="127" spans="1:15" x14ac:dyDescent="0.25">
      <c r="B127" s="114" t="s">
        <v>87</v>
      </c>
      <c r="C127" s="115">
        <v>721</v>
      </c>
      <c r="D127" s="116">
        <v>-0.9075877980005127</v>
      </c>
      <c r="E127" s="115">
        <v>2089</v>
      </c>
      <c r="F127" s="116">
        <f t="shared" si="9"/>
        <v>1.897364771151179</v>
      </c>
      <c r="G127" s="115">
        <v>6158</v>
      </c>
      <c r="H127" s="116">
        <f t="shared" si="9"/>
        <v>1.9478219243657251</v>
      </c>
      <c r="I127" s="115">
        <v>9384</v>
      </c>
      <c r="J127" s="116">
        <f t="shared" si="9"/>
        <v>0.52387138681390066</v>
      </c>
      <c r="K127" s="115">
        <v>10580</v>
      </c>
      <c r="L127" s="116">
        <f t="shared" si="9"/>
        <v>0.12745098039215685</v>
      </c>
      <c r="M127" s="115"/>
      <c r="N127" s="116"/>
    </row>
    <row r="128" spans="1:15" x14ac:dyDescent="0.25">
      <c r="A128" s="120"/>
      <c r="B128" s="114" t="s">
        <v>89</v>
      </c>
      <c r="C128" s="115">
        <v>677</v>
      </c>
      <c r="D128" s="116">
        <v>-0.8975329196306947</v>
      </c>
      <c r="E128" s="115">
        <v>4120</v>
      </c>
      <c r="F128" s="116">
        <f t="shared" si="9"/>
        <v>5.0856720827178732</v>
      </c>
      <c r="G128" s="115">
        <v>6898</v>
      </c>
      <c r="H128" s="116">
        <f t="shared" si="9"/>
        <v>0.67427184466019408</v>
      </c>
      <c r="I128" s="115">
        <v>9558</v>
      </c>
      <c r="J128" s="116">
        <f t="shared" si="9"/>
        <v>0.38561902000579873</v>
      </c>
      <c r="K128" s="115">
        <v>10747</v>
      </c>
      <c r="L128" s="116">
        <f t="shared" si="9"/>
        <v>0.12439840970914418</v>
      </c>
      <c r="M128" s="115"/>
      <c r="N128" s="116"/>
    </row>
    <row r="129" spans="2:15" x14ac:dyDescent="0.25">
      <c r="B129" s="114" t="s">
        <v>91</v>
      </c>
      <c r="C129" s="115">
        <v>468</v>
      </c>
      <c r="D129" s="116">
        <v>-0.92640352256644132</v>
      </c>
      <c r="E129" s="115">
        <v>3596</v>
      </c>
      <c r="F129" s="116">
        <f t="shared" si="9"/>
        <v>6.683760683760684</v>
      </c>
      <c r="G129" s="115">
        <v>6752</v>
      </c>
      <c r="H129" s="116">
        <f t="shared" si="9"/>
        <v>0.8776418242491657</v>
      </c>
      <c r="I129" s="115">
        <v>8753</v>
      </c>
      <c r="J129" s="116">
        <f t="shared" si="9"/>
        <v>0.29635663507109</v>
      </c>
      <c r="K129" s="115">
        <v>8740</v>
      </c>
      <c r="L129" s="116">
        <f t="shared" si="9"/>
        <v>-1.4852050725465693E-3</v>
      </c>
      <c r="M129" s="115"/>
      <c r="N129" s="116"/>
    </row>
    <row r="130" spans="2:15" x14ac:dyDescent="0.25">
      <c r="B130" s="114" t="s">
        <v>93</v>
      </c>
      <c r="C130" s="115">
        <v>669</v>
      </c>
      <c r="D130" s="116">
        <v>-0.90074183976261124</v>
      </c>
      <c r="E130" s="115">
        <v>2620</v>
      </c>
      <c r="F130" s="116">
        <f t="shared" si="9"/>
        <v>2.9162929745889388</v>
      </c>
      <c r="G130" s="115">
        <v>6692</v>
      </c>
      <c r="H130" s="116">
        <f t="shared" si="9"/>
        <v>1.5541984732824425</v>
      </c>
      <c r="I130" s="115">
        <v>8301</v>
      </c>
      <c r="J130" s="116">
        <f t="shared" si="9"/>
        <v>0.24043634190077712</v>
      </c>
      <c r="K130" s="115">
        <v>8925</v>
      </c>
      <c r="L130" s="116">
        <f t="shared" si="9"/>
        <v>7.5171666064329568E-2</v>
      </c>
      <c r="M130" s="115"/>
      <c r="N130" s="116"/>
    </row>
    <row r="131" spans="2:15" ht="15.75" x14ac:dyDescent="0.25">
      <c r="B131" s="117" t="s">
        <v>30</v>
      </c>
      <c r="C131" s="118">
        <v>21332</v>
      </c>
      <c r="D131" s="119">
        <v>-0.71575903742887981</v>
      </c>
      <c r="E131" s="118">
        <v>16695</v>
      </c>
      <c r="F131" s="119">
        <f t="shared" si="9"/>
        <v>-0.21737296081005064</v>
      </c>
      <c r="G131" s="118">
        <v>71554</v>
      </c>
      <c r="H131" s="119">
        <f t="shared" si="9"/>
        <v>3.2859538784067084</v>
      </c>
      <c r="I131" s="118">
        <v>93860</v>
      </c>
      <c r="J131" s="119">
        <f t="shared" si="9"/>
        <v>0.31173659054699954</v>
      </c>
      <c r="K131" s="118">
        <v>110313</v>
      </c>
      <c r="L131" s="119">
        <f t="shared" si="9"/>
        <v>0.17529298955891748</v>
      </c>
      <c r="M131" s="118">
        <v>8953</v>
      </c>
      <c r="N131" s="119">
        <v>-2.4515144911745446E-2</v>
      </c>
    </row>
    <row r="132" spans="2:15" ht="6" customHeight="1" x14ac:dyDescent="0.25"/>
    <row r="133" spans="2:15" x14ac:dyDescent="0.25">
      <c r="B133" s="105" t="s">
        <v>55</v>
      </c>
      <c r="C133" s="105"/>
      <c r="D133" s="105"/>
      <c r="E133" s="105"/>
      <c r="F133" s="105"/>
      <c r="G133" s="105"/>
      <c r="H133" s="105"/>
      <c r="I133" s="105"/>
      <c r="J133" s="105"/>
      <c r="K133" s="105"/>
      <c r="L133" s="105"/>
      <c r="M133" s="105"/>
      <c r="N133" s="105"/>
    </row>
    <row r="134" spans="2:15" x14ac:dyDescent="0.25">
      <c r="K134" s="120"/>
      <c r="M134" s="120"/>
      <c r="N134" s="122"/>
    </row>
    <row r="136" spans="2:15" ht="48.75" customHeight="1" thickBot="1" x14ac:dyDescent="0.3">
      <c r="B136" s="265" t="s">
        <v>241</v>
      </c>
      <c r="C136" s="265"/>
      <c r="D136" s="265"/>
      <c r="E136" s="265"/>
      <c r="F136" s="265"/>
      <c r="G136" s="265"/>
      <c r="H136" s="265"/>
      <c r="I136" s="265"/>
      <c r="J136" s="265"/>
      <c r="K136" s="265"/>
      <c r="L136" s="265"/>
      <c r="M136" s="265"/>
      <c r="N136" s="265"/>
      <c r="O136" s="1" t="s">
        <v>111</v>
      </c>
    </row>
    <row r="137" spans="2:15" ht="10.5" customHeight="1" thickBot="1" x14ac:dyDescent="0.3">
      <c r="B137" s="106"/>
      <c r="C137" s="107"/>
      <c r="D137" s="106"/>
      <c r="E137" s="106"/>
      <c r="F137" s="106"/>
      <c r="G137" s="106"/>
      <c r="H137" s="106"/>
      <c r="I137" s="106"/>
      <c r="J137" s="106"/>
      <c r="K137" s="106"/>
      <c r="L137" s="106"/>
      <c r="M137" s="4"/>
      <c r="N137" s="4"/>
      <c r="O137" s="1" t="s">
        <v>112</v>
      </c>
    </row>
    <row r="138" spans="2:15" ht="22.5" thickTop="1" thickBot="1" x14ac:dyDescent="0.3">
      <c r="B138" s="121" t="str">
        <f>C138</f>
        <v>Alemania</v>
      </c>
      <c r="C138" s="290" t="s">
        <v>113</v>
      </c>
      <c r="D138" s="291"/>
      <c r="E138" s="291"/>
      <c r="F138" s="291"/>
      <c r="G138" s="291"/>
      <c r="H138" s="291"/>
      <c r="I138" s="291"/>
      <c r="J138" s="291"/>
      <c r="K138" s="291"/>
      <c r="L138" s="291"/>
      <c r="M138" s="291"/>
      <c r="N138" s="291"/>
    </row>
    <row r="139" spans="2:15" ht="22.5" thickTop="1" thickBot="1" x14ac:dyDescent="0.3">
      <c r="B139" s="109"/>
      <c r="C139" s="292">
        <f>C$7</f>
        <v>2020</v>
      </c>
      <c r="D139" s="293"/>
      <c r="E139" s="292">
        <f>E$7</f>
        <v>2021</v>
      </c>
      <c r="F139" s="293"/>
      <c r="G139" s="292">
        <f>G$7</f>
        <v>2022</v>
      </c>
      <c r="H139" s="293"/>
      <c r="I139" s="292">
        <f>I$7</f>
        <v>2023</v>
      </c>
      <c r="J139" s="293"/>
      <c r="K139" s="292">
        <f>K$7</f>
        <v>2024</v>
      </c>
      <c r="L139" s="293"/>
      <c r="M139" s="292">
        <f>M$7</f>
        <v>2025</v>
      </c>
      <c r="N139" s="293"/>
    </row>
    <row r="140" spans="2:15" ht="16.5" thickTop="1" thickBot="1" x14ac:dyDescent="0.3">
      <c r="B140" s="85"/>
      <c r="C140" s="111" t="s">
        <v>69</v>
      </c>
      <c r="D140" s="112" t="str">
        <f>CONCATENATE("var ",RIGHT(C139,2),"/",RIGHT(C139-1,2))</f>
        <v>var 20/19</v>
      </c>
      <c r="E140" s="113" t="s">
        <v>69</v>
      </c>
      <c r="F140" s="112" t="str">
        <f>CONCATENATE("var ",RIGHT(E139,2),"/",RIGHT(E139-1,2))</f>
        <v>var 21/20</v>
      </c>
      <c r="G140" s="113" t="s">
        <v>69</v>
      </c>
      <c r="H140" s="112" t="str">
        <f>CONCATENATE("var ",RIGHT(G139,2),"/",RIGHT(G139-1,2))</f>
        <v>var 22/21</v>
      </c>
      <c r="I140" s="113" t="s">
        <v>69</v>
      </c>
      <c r="J140" s="112" t="str">
        <f>CONCATENATE("var ",RIGHT(I139,2),"/",RIGHT(I139-1,2))</f>
        <v>var 23/22</v>
      </c>
      <c r="K140" s="113" t="s">
        <v>69</v>
      </c>
      <c r="L140" s="112" t="str">
        <f>CONCATENATE("var ",RIGHT(K139,2),"/",RIGHT(K139-1,2))</f>
        <v>var 24/23</v>
      </c>
      <c r="M140" s="113" t="s">
        <v>69</v>
      </c>
      <c r="N140" s="112" t="str">
        <f>CONCATENATE("var ",RIGHT(M139,2),"/",RIGHT(M139-1,2))</f>
        <v>var 25/24</v>
      </c>
    </row>
    <row r="141" spans="2:15" x14ac:dyDescent="0.25">
      <c r="B141" s="114" t="s">
        <v>71</v>
      </c>
      <c r="C141" s="115">
        <v>14156</v>
      </c>
      <c r="D141" s="116">
        <v>-0.16763685541247719</v>
      </c>
      <c r="E141" s="115">
        <v>532</v>
      </c>
      <c r="F141" s="116">
        <f t="shared" ref="F141:L153" si="11">IFERROR(E141/C141-1,"-")</f>
        <v>-0.96241876236224921</v>
      </c>
      <c r="G141" s="115">
        <v>7114</v>
      </c>
      <c r="H141" s="116">
        <f t="shared" si="11"/>
        <v>12.37218045112782</v>
      </c>
      <c r="I141" s="115">
        <v>12895</v>
      </c>
      <c r="J141" s="116">
        <f t="shared" si="11"/>
        <v>0.81262299690750628</v>
      </c>
      <c r="K141" s="115">
        <v>14175</v>
      </c>
      <c r="L141" s="116">
        <f t="shared" si="11"/>
        <v>9.9263280341217452E-2</v>
      </c>
      <c r="M141" s="115">
        <v>14162</v>
      </c>
      <c r="N141" s="116">
        <f t="shared" ref="N141" si="12">IFERROR(M141/K141-1,"-")</f>
        <v>-9.1710758377427926E-4</v>
      </c>
    </row>
    <row r="142" spans="2:15" x14ac:dyDescent="0.25">
      <c r="B142" s="114" t="s">
        <v>73</v>
      </c>
      <c r="C142" s="115">
        <v>12909</v>
      </c>
      <c r="D142" s="116">
        <v>-7.0358634595996006E-2</v>
      </c>
      <c r="E142" s="115">
        <v>682</v>
      </c>
      <c r="F142" s="116">
        <f t="shared" si="11"/>
        <v>-0.94716864203269036</v>
      </c>
      <c r="G142" s="115">
        <v>8736</v>
      </c>
      <c r="H142" s="116">
        <f t="shared" si="11"/>
        <v>11.809384164222873</v>
      </c>
      <c r="I142" s="115">
        <v>11990</v>
      </c>
      <c r="J142" s="116">
        <f t="shared" si="11"/>
        <v>0.37248168498168499</v>
      </c>
      <c r="K142" s="115">
        <v>14402</v>
      </c>
      <c r="L142" s="116">
        <f t="shared" si="11"/>
        <v>0.20116763969974971</v>
      </c>
      <c r="M142" s="115"/>
      <c r="N142" s="116"/>
    </row>
    <row r="143" spans="2:15" x14ac:dyDescent="0.25">
      <c r="B143" s="114" t="s">
        <v>75</v>
      </c>
      <c r="C143" s="115">
        <v>5816</v>
      </c>
      <c r="D143" s="116">
        <v>-0.65886562261716231</v>
      </c>
      <c r="E143" s="115">
        <v>1017</v>
      </c>
      <c r="F143" s="116">
        <f t="shared" si="11"/>
        <v>-0.82513755158184321</v>
      </c>
      <c r="G143" s="115">
        <v>11732</v>
      </c>
      <c r="H143" s="116">
        <f t="shared" si="11"/>
        <v>10.535889872173058</v>
      </c>
      <c r="I143" s="115">
        <v>13300</v>
      </c>
      <c r="J143" s="116">
        <f t="shared" si="11"/>
        <v>0.13365155131264927</v>
      </c>
      <c r="K143" s="115">
        <v>16585</v>
      </c>
      <c r="L143" s="116">
        <f t="shared" si="11"/>
        <v>0.24699248120300754</v>
      </c>
      <c r="M143" s="115"/>
      <c r="N143" s="116"/>
    </row>
    <row r="144" spans="2:15" x14ac:dyDescent="0.25">
      <c r="B144" s="114" t="s">
        <v>77</v>
      </c>
      <c r="C144" s="115">
        <v>0</v>
      </c>
      <c r="D144" s="116">
        <v>-1</v>
      </c>
      <c r="E144" s="115">
        <v>670</v>
      </c>
      <c r="F144" s="116" t="str">
        <f t="shared" si="11"/>
        <v>-</v>
      </c>
      <c r="G144" s="115">
        <v>10086</v>
      </c>
      <c r="H144" s="116">
        <f t="shared" si="11"/>
        <v>14.053731343283582</v>
      </c>
      <c r="I144" s="115">
        <v>10947</v>
      </c>
      <c r="J144" s="116">
        <f t="shared" si="11"/>
        <v>8.5365853658536661E-2</v>
      </c>
      <c r="K144" s="115">
        <v>10802</v>
      </c>
      <c r="L144" s="116">
        <f t="shared" si="11"/>
        <v>-1.3245638074358301E-2</v>
      </c>
      <c r="M144" s="115"/>
      <c r="N144" s="116"/>
    </row>
    <row r="145" spans="1:15" x14ac:dyDescent="0.25">
      <c r="B145" s="114" t="s">
        <v>79</v>
      </c>
      <c r="C145" s="115">
        <v>0</v>
      </c>
      <c r="D145" s="116">
        <v>-1</v>
      </c>
      <c r="E145" s="115">
        <v>1334</v>
      </c>
      <c r="F145" s="116" t="str">
        <f t="shared" si="11"/>
        <v>-</v>
      </c>
      <c r="G145" s="115">
        <v>7619</v>
      </c>
      <c r="H145" s="116">
        <f t="shared" si="11"/>
        <v>4.7113943028485759</v>
      </c>
      <c r="I145" s="115">
        <v>7834</v>
      </c>
      <c r="J145" s="116">
        <f t="shared" si="11"/>
        <v>2.821892636828971E-2</v>
      </c>
      <c r="K145" s="115">
        <v>9191</v>
      </c>
      <c r="L145" s="116">
        <f t="shared" si="11"/>
        <v>0.17321930048506506</v>
      </c>
      <c r="M145" s="115"/>
      <c r="N145" s="116"/>
    </row>
    <row r="146" spans="1:15" x14ac:dyDescent="0.25">
      <c r="B146" s="114" t="s">
        <v>81</v>
      </c>
      <c r="C146" s="115">
        <v>0</v>
      </c>
      <c r="D146" s="116">
        <v>-1</v>
      </c>
      <c r="E146" s="115">
        <v>2166</v>
      </c>
      <c r="F146" s="116" t="str">
        <f t="shared" si="11"/>
        <v>-</v>
      </c>
      <c r="G146" s="115">
        <v>7897</v>
      </c>
      <c r="H146" s="116">
        <f t="shared" si="11"/>
        <v>2.6458910433979685</v>
      </c>
      <c r="I146" s="115">
        <v>7571</v>
      </c>
      <c r="J146" s="116">
        <f t="shared" si="11"/>
        <v>-4.1281499303532976E-2</v>
      </c>
      <c r="K146" s="115">
        <v>8315</v>
      </c>
      <c r="L146" s="116">
        <f t="shared" si="11"/>
        <v>9.8269713380002566E-2</v>
      </c>
      <c r="M146" s="115"/>
      <c r="N146" s="116"/>
    </row>
    <row r="147" spans="1:15" x14ac:dyDescent="0.25">
      <c r="B147" s="114" t="s">
        <v>83</v>
      </c>
      <c r="C147" s="115">
        <v>0</v>
      </c>
      <c r="D147" s="116">
        <v>-1</v>
      </c>
      <c r="E147" s="115">
        <v>3531</v>
      </c>
      <c r="F147" s="116" t="str">
        <f t="shared" si="11"/>
        <v>-</v>
      </c>
      <c r="G147" s="115">
        <v>7419</v>
      </c>
      <c r="H147" s="116">
        <f t="shared" si="11"/>
        <v>1.1011045029736617</v>
      </c>
      <c r="I147" s="115">
        <v>7114</v>
      </c>
      <c r="J147" s="116">
        <f t="shared" si="11"/>
        <v>-4.1110661814260707E-2</v>
      </c>
      <c r="K147" s="115">
        <v>7892</v>
      </c>
      <c r="L147" s="116">
        <f t="shared" si="11"/>
        <v>0.10936182175990994</v>
      </c>
      <c r="M147" s="115"/>
      <c r="N147" s="116"/>
    </row>
    <row r="148" spans="1:15" x14ac:dyDescent="0.25">
      <c r="B148" s="114" t="s">
        <v>85</v>
      </c>
      <c r="C148" s="115">
        <v>2117</v>
      </c>
      <c r="D148" s="116">
        <v>-0.82230988752727885</v>
      </c>
      <c r="E148" s="115">
        <v>4311</v>
      </c>
      <c r="F148" s="116">
        <f t="shared" si="11"/>
        <v>1.0363722248464811</v>
      </c>
      <c r="G148" s="115">
        <v>7234</v>
      </c>
      <c r="H148" s="116">
        <f t="shared" si="11"/>
        <v>0.6780329389932731</v>
      </c>
      <c r="I148" s="115">
        <v>7492</v>
      </c>
      <c r="J148" s="116">
        <f t="shared" si="11"/>
        <v>3.5664915675974518E-2</v>
      </c>
      <c r="K148" s="115">
        <v>7549</v>
      </c>
      <c r="L148" s="116">
        <f t="shared" si="11"/>
        <v>7.6081153230111997E-3</v>
      </c>
      <c r="M148" s="115"/>
      <c r="N148" s="116"/>
    </row>
    <row r="149" spans="1:15" x14ac:dyDescent="0.25">
      <c r="B149" s="114" t="s">
        <v>87</v>
      </c>
      <c r="C149" s="115">
        <v>355</v>
      </c>
      <c r="D149" s="116">
        <v>-0.97159318236376735</v>
      </c>
      <c r="E149" s="115">
        <v>6864</v>
      </c>
      <c r="F149" s="116">
        <f t="shared" si="11"/>
        <v>18.335211267605633</v>
      </c>
      <c r="G149" s="115">
        <v>9313</v>
      </c>
      <c r="H149" s="116">
        <f t="shared" si="11"/>
        <v>0.35678904428904423</v>
      </c>
      <c r="I149" s="115">
        <v>9338</v>
      </c>
      <c r="J149" s="116">
        <f t="shared" si="11"/>
        <v>2.68441962847632E-3</v>
      </c>
      <c r="K149" s="115">
        <v>10044</v>
      </c>
      <c r="L149" s="116">
        <f t="shared" si="11"/>
        <v>7.5605054615549339E-2</v>
      </c>
      <c r="M149" s="115"/>
      <c r="N149" s="116"/>
    </row>
    <row r="150" spans="1:15" x14ac:dyDescent="0.25">
      <c r="A150" s="120"/>
      <c r="B150" s="114" t="s">
        <v>89</v>
      </c>
      <c r="C150" s="115">
        <v>396</v>
      </c>
      <c r="D150" s="116">
        <v>-0.96822594880847312</v>
      </c>
      <c r="E150" s="115">
        <v>9102</v>
      </c>
      <c r="F150" s="116">
        <f t="shared" si="11"/>
        <v>21.984848484848484</v>
      </c>
      <c r="G150" s="115">
        <v>9337</v>
      </c>
      <c r="H150" s="116">
        <f t="shared" si="11"/>
        <v>2.5818501428257479E-2</v>
      </c>
      <c r="I150" s="115">
        <v>10604</v>
      </c>
      <c r="J150" s="116">
        <f t="shared" si="11"/>
        <v>0.13569669058584122</v>
      </c>
      <c r="K150" s="115">
        <v>12680</v>
      </c>
      <c r="L150" s="116">
        <f t="shared" si="11"/>
        <v>0.19577517917766873</v>
      </c>
      <c r="M150" s="115"/>
      <c r="N150" s="116"/>
    </row>
    <row r="151" spans="1:15" x14ac:dyDescent="0.25">
      <c r="B151" s="114" t="s">
        <v>91</v>
      </c>
      <c r="C151" s="115">
        <v>1144</v>
      </c>
      <c r="D151" s="116">
        <v>-0.9278643041805914</v>
      </c>
      <c r="E151" s="115">
        <v>12855</v>
      </c>
      <c r="F151" s="116">
        <f t="shared" si="11"/>
        <v>10.236888111888112</v>
      </c>
      <c r="G151" s="115">
        <v>14128</v>
      </c>
      <c r="H151" s="116">
        <f t="shared" si="11"/>
        <v>9.9027615713729977E-2</v>
      </c>
      <c r="I151" s="115">
        <v>15608</v>
      </c>
      <c r="J151" s="116">
        <f t="shared" si="11"/>
        <v>0.10475651189127966</v>
      </c>
      <c r="K151" s="115">
        <v>15786</v>
      </c>
      <c r="L151" s="116">
        <f t="shared" si="11"/>
        <v>1.1404407995899479E-2</v>
      </c>
      <c r="M151" s="115"/>
      <c r="N151" s="116"/>
    </row>
    <row r="152" spans="1:15" x14ac:dyDescent="0.25">
      <c r="B152" s="114" t="s">
        <v>93</v>
      </c>
      <c r="C152" s="115">
        <v>1122</v>
      </c>
      <c r="D152" s="116">
        <v>-0.91628115206685568</v>
      </c>
      <c r="E152" s="115">
        <v>10163</v>
      </c>
      <c r="F152" s="116">
        <f t="shared" si="11"/>
        <v>8.0579322638146174</v>
      </c>
      <c r="G152" s="115">
        <v>12505</v>
      </c>
      <c r="H152" s="116">
        <f t="shared" si="11"/>
        <v>0.23044376660434907</v>
      </c>
      <c r="I152" s="115">
        <v>12656</v>
      </c>
      <c r="J152" s="116">
        <f t="shared" si="11"/>
        <v>1.2075169932027174E-2</v>
      </c>
      <c r="K152" s="115">
        <v>13943</v>
      </c>
      <c r="L152" s="116">
        <f t="shared" si="11"/>
        <v>0.10169089759797734</v>
      </c>
      <c r="M152" s="115"/>
      <c r="N152" s="116"/>
    </row>
    <row r="153" spans="1:15" ht="15.75" x14ac:dyDescent="0.25">
      <c r="B153" s="117" t="s">
        <v>30</v>
      </c>
      <c r="C153" s="118">
        <v>39522</v>
      </c>
      <c r="D153" s="119">
        <v>-0.75198614405662867</v>
      </c>
      <c r="E153" s="118">
        <v>53227</v>
      </c>
      <c r="F153" s="119">
        <f t="shared" si="11"/>
        <v>0.3467688882141593</v>
      </c>
      <c r="G153" s="118">
        <v>113120</v>
      </c>
      <c r="H153" s="119">
        <f t="shared" si="11"/>
        <v>1.1252371916508537</v>
      </c>
      <c r="I153" s="118">
        <v>127349</v>
      </c>
      <c r="J153" s="119">
        <f t="shared" si="11"/>
        <v>0.12578677510608194</v>
      </c>
      <c r="K153" s="118">
        <v>141364</v>
      </c>
      <c r="L153" s="119">
        <f t="shared" si="11"/>
        <v>0.11005190460859526</v>
      </c>
      <c r="M153" s="118">
        <v>14162</v>
      </c>
      <c r="N153" s="119">
        <v>-9.1710758377427926E-4</v>
      </c>
    </row>
    <row r="154" spans="1:15" ht="6" customHeight="1" x14ac:dyDescent="0.25"/>
    <row r="155" spans="1:15" x14ac:dyDescent="0.25">
      <c r="B155" s="105" t="s">
        <v>55</v>
      </c>
      <c r="C155" s="105"/>
      <c r="D155" s="105"/>
      <c r="E155" s="105"/>
      <c r="F155" s="105"/>
      <c r="G155" s="105"/>
      <c r="H155" s="105"/>
      <c r="I155" s="105"/>
      <c r="J155" s="105"/>
      <c r="K155" s="105"/>
      <c r="L155" s="105"/>
      <c r="M155" s="105"/>
      <c r="N155" s="105"/>
    </row>
    <row r="156" spans="1:15" x14ac:dyDescent="0.25">
      <c r="K156" s="120"/>
      <c r="N156" s="123"/>
    </row>
    <row r="158" spans="1:15" ht="48.75" customHeight="1" thickBot="1" x14ac:dyDescent="0.3">
      <c r="B158" s="265" t="s">
        <v>242</v>
      </c>
      <c r="C158" s="265"/>
      <c r="D158" s="265"/>
      <c r="E158" s="265"/>
      <c r="F158" s="265"/>
      <c r="G158" s="265"/>
      <c r="H158" s="265"/>
      <c r="I158" s="265"/>
      <c r="J158" s="265"/>
      <c r="K158" s="265"/>
      <c r="L158" s="265"/>
      <c r="M158" s="265"/>
      <c r="N158" s="265"/>
      <c r="O158" s="1" t="s">
        <v>114</v>
      </c>
    </row>
    <row r="159" spans="1:15" ht="10.5" customHeight="1" thickBot="1" x14ac:dyDescent="0.3">
      <c r="B159" s="106"/>
      <c r="C159" s="107"/>
      <c r="D159" s="106"/>
      <c r="E159" s="106"/>
      <c r="F159" s="106"/>
      <c r="G159" s="106"/>
      <c r="H159" s="106"/>
      <c r="I159" s="106"/>
      <c r="J159" s="106"/>
      <c r="K159" s="106"/>
      <c r="L159" s="106"/>
      <c r="M159" s="4"/>
      <c r="N159" s="4"/>
      <c r="O159" s="1" t="s">
        <v>115</v>
      </c>
    </row>
    <row r="160" spans="1:15" ht="22.5" thickTop="1" thickBot="1" x14ac:dyDescent="0.3">
      <c r="B160" s="121" t="str">
        <f>C160</f>
        <v>Francia</v>
      </c>
      <c r="C160" s="290" t="s">
        <v>116</v>
      </c>
      <c r="D160" s="291"/>
      <c r="E160" s="291"/>
      <c r="F160" s="291"/>
      <c r="G160" s="291"/>
      <c r="H160" s="291"/>
      <c r="I160" s="291"/>
      <c r="J160" s="291"/>
      <c r="K160" s="291"/>
      <c r="L160" s="291"/>
      <c r="M160" s="291"/>
      <c r="N160" s="291"/>
    </row>
    <row r="161" spans="2:14" ht="22.5" thickTop="1" thickBot="1" x14ac:dyDescent="0.3">
      <c r="B161" s="109"/>
      <c r="C161" s="292">
        <f>C$7</f>
        <v>2020</v>
      </c>
      <c r="D161" s="293"/>
      <c r="E161" s="292">
        <f>E$7</f>
        <v>2021</v>
      </c>
      <c r="F161" s="293"/>
      <c r="G161" s="292">
        <f>G$7</f>
        <v>2022</v>
      </c>
      <c r="H161" s="293"/>
      <c r="I161" s="292">
        <f>I$7</f>
        <v>2023</v>
      </c>
      <c r="J161" s="293"/>
      <c r="K161" s="292">
        <f>K$7</f>
        <v>2024</v>
      </c>
      <c r="L161" s="293"/>
      <c r="M161" s="292">
        <f>M$7</f>
        <v>2025</v>
      </c>
      <c r="N161" s="293"/>
    </row>
    <row r="162" spans="2:14" ht="16.5" thickTop="1" thickBot="1" x14ac:dyDescent="0.3">
      <c r="B162" s="85"/>
      <c r="C162" s="111" t="s">
        <v>69</v>
      </c>
      <c r="D162" s="112" t="str">
        <f>CONCATENATE("var ",RIGHT(C161,2),"/",RIGHT(C161-1,2))</f>
        <v>var 20/19</v>
      </c>
      <c r="E162" s="113" t="s">
        <v>69</v>
      </c>
      <c r="F162" s="112" t="str">
        <f>CONCATENATE("var ",RIGHT(E161,2),"/",RIGHT(E161-1,2))</f>
        <v>var 21/20</v>
      </c>
      <c r="G162" s="113" t="s">
        <v>69</v>
      </c>
      <c r="H162" s="112" t="str">
        <f>CONCATENATE("var ",RIGHT(G161,2),"/",RIGHT(G161-1,2))</f>
        <v>var 22/21</v>
      </c>
      <c r="I162" s="113" t="s">
        <v>69</v>
      </c>
      <c r="J162" s="112" t="str">
        <f>CONCATENATE("var ",RIGHT(I161,2),"/",RIGHT(I161-1,2))</f>
        <v>var 23/22</v>
      </c>
      <c r="K162" s="113" t="s">
        <v>69</v>
      </c>
      <c r="L162" s="112" t="str">
        <f>CONCATENATE("var ",RIGHT(K161,2),"/",RIGHT(K161-1,2))</f>
        <v>var 24/23</v>
      </c>
      <c r="M162" s="113" t="s">
        <v>69</v>
      </c>
      <c r="N162" s="112" t="str">
        <f>CONCATENATE("var ",RIGHT(M161,2),"/",RIGHT(M161-1,2))</f>
        <v>var 25/24</v>
      </c>
    </row>
    <row r="163" spans="2:14" x14ac:dyDescent="0.25">
      <c r="B163" s="114" t="s">
        <v>71</v>
      </c>
      <c r="C163" s="115">
        <v>2065</v>
      </c>
      <c r="D163" s="116">
        <v>0.28660436137071654</v>
      </c>
      <c r="E163" s="115">
        <v>561</v>
      </c>
      <c r="F163" s="116">
        <f t="shared" ref="F163:L175" si="13">IFERROR(E163/C163-1,"-")</f>
        <v>-0.72832929782082323</v>
      </c>
      <c r="G163" s="115">
        <v>1736</v>
      </c>
      <c r="H163" s="116">
        <f t="shared" si="13"/>
        <v>2.0944741532976825</v>
      </c>
      <c r="I163" s="115">
        <v>3060</v>
      </c>
      <c r="J163" s="116">
        <f t="shared" si="13"/>
        <v>0.76267281105990792</v>
      </c>
      <c r="K163" s="115">
        <v>3566</v>
      </c>
      <c r="L163" s="116">
        <f t="shared" si="13"/>
        <v>0.16535947712418309</v>
      </c>
      <c r="M163" s="115">
        <v>3619</v>
      </c>
      <c r="N163" s="116">
        <f t="shared" ref="N163" si="14">IFERROR(M163/K163-1,"-")</f>
        <v>1.4862591138530501E-2</v>
      </c>
    </row>
    <row r="164" spans="2:14" x14ac:dyDescent="0.25">
      <c r="B164" s="114" t="s">
        <v>73</v>
      </c>
      <c r="C164" s="115">
        <v>2993</v>
      </c>
      <c r="D164" s="116">
        <v>0.75234192037470726</v>
      </c>
      <c r="E164" s="115">
        <v>694</v>
      </c>
      <c r="F164" s="116">
        <f t="shared" si="13"/>
        <v>-0.76812562646174409</v>
      </c>
      <c r="G164" s="115">
        <v>3013</v>
      </c>
      <c r="H164" s="116">
        <f t="shared" si="13"/>
        <v>3.3414985590778095</v>
      </c>
      <c r="I164" s="115">
        <v>3296</v>
      </c>
      <c r="J164" s="116">
        <f t="shared" si="13"/>
        <v>9.3926319283106574E-2</v>
      </c>
      <c r="K164" s="115">
        <v>4901</v>
      </c>
      <c r="L164" s="116">
        <f t="shared" si="13"/>
        <v>0.48695388349514568</v>
      </c>
      <c r="M164" s="115"/>
      <c r="N164" s="116"/>
    </row>
    <row r="165" spans="2:14" x14ac:dyDescent="0.25">
      <c r="B165" s="114" t="s">
        <v>75</v>
      </c>
      <c r="C165" s="115">
        <v>794</v>
      </c>
      <c r="D165" s="116">
        <v>-0.59817813765182182</v>
      </c>
      <c r="E165" s="115">
        <v>1289</v>
      </c>
      <c r="F165" s="116">
        <f t="shared" si="13"/>
        <v>0.6234256926952142</v>
      </c>
      <c r="G165" s="115">
        <v>3335</v>
      </c>
      <c r="H165" s="116">
        <f t="shared" si="13"/>
        <v>1.587276958882855</v>
      </c>
      <c r="I165" s="115">
        <v>3835</v>
      </c>
      <c r="J165" s="116">
        <f t="shared" si="13"/>
        <v>0.14992503748125929</v>
      </c>
      <c r="K165" s="115">
        <v>5266</v>
      </c>
      <c r="L165" s="116">
        <f t="shared" si="13"/>
        <v>0.37314211212516302</v>
      </c>
      <c r="M165" s="115"/>
      <c r="N165" s="116"/>
    </row>
    <row r="166" spans="2:14" x14ac:dyDescent="0.25">
      <c r="B166" s="114" t="s">
        <v>77</v>
      </c>
      <c r="C166" s="115">
        <v>0</v>
      </c>
      <c r="D166" s="116">
        <v>-1</v>
      </c>
      <c r="E166" s="115">
        <v>595</v>
      </c>
      <c r="F166" s="116" t="str">
        <f t="shared" si="13"/>
        <v>-</v>
      </c>
      <c r="G166" s="115">
        <v>3289</v>
      </c>
      <c r="H166" s="116">
        <f t="shared" si="13"/>
        <v>4.5277310924369747</v>
      </c>
      <c r="I166" s="115">
        <v>3992</v>
      </c>
      <c r="J166" s="116">
        <f t="shared" si="13"/>
        <v>0.21374277896017024</v>
      </c>
      <c r="K166" s="115">
        <v>5053</v>
      </c>
      <c r="L166" s="116">
        <f t="shared" si="13"/>
        <v>0.26578156312625256</v>
      </c>
      <c r="M166" s="115"/>
      <c r="N166" s="116"/>
    </row>
    <row r="167" spans="2:14" x14ac:dyDescent="0.25">
      <c r="B167" s="114" t="s">
        <v>79</v>
      </c>
      <c r="C167" s="115">
        <v>0</v>
      </c>
      <c r="D167" s="116">
        <v>-1</v>
      </c>
      <c r="E167" s="115">
        <v>1601</v>
      </c>
      <c r="F167" s="116" t="str">
        <f t="shared" si="13"/>
        <v>-</v>
      </c>
      <c r="G167" s="115">
        <v>2303</v>
      </c>
      <c r="H167" s="116">
        <f t="shared" si="13"/>
        <v>0.43847595252966887</v>
      </c>
      <c r="I167" s="115">
        <v>2825</v>
      </c>
      <c r="J167" s="116">
        <f t="shared" si="13"/>
        <v>0.22666087711680416</v>
      </c>
      <c r="K167" s="115">
        <v>4892</v>
      </c>
      <c r="L167" s="116">
        <f t="shared" si="13"/>
        <v>0.73168141592920355</v>
      </c>
      <c r="M167" s="115"/>
      <c r="N167" s="116"/>
    </row>
    <row r="168" spans="2:14" x14ac:dyDescent="0.25">
      <c r="B168" s="114" t="s">
        <v>81</v>
      </c>
      <c r="C168" s="115">
        <v>0</v>
      </c>
      <c r="D168" s="116">
        <v>-1</v>
      </c>
      <c r="E168" s="115">
        <v>1182</v>
      </c>
      <c r="F168" s="116" t="str">
        <f t="shared" si="13"/>
        <v>-</v>
      </c>
      <c r="G168" s="115">
        <v>1777</v>
      </c>
      <c r="H168" s="116">
        <f t="shared" si="13"/>
        <v>0.50338409475465307</v>
      </c>
      <c r="I168" s="115">
        <v>2564</v>
      </c>
      <c r="J168" s="116">
        <f t="shared" si="13"/>
        <v>0.44288126055149135</v>
      </c>
      <c r="K168" s="115">
        <v>5187</v>
      </c>
      <c r="L168" s="116">
        <f t="shared" si="13"/>
        <v>1.0230109204368176</v>
      </c>
      <c r="M168" s="115"/>
      <c r="N168" s="116"/>
    </row>
    <row r="169" spans="2:14" x14ac:dyDescent="0.25">
      <c r="B169" s="114" t="s">
        <v>83</v>
      </c>
      <c r="C169" s="115">
        <v>0</v>
      </c>
      <c r="D169" s="116">
        <v>-1</v>
      </c>
      <c r="E169" s="115">
        <v>2026</v>
      </c>
      <c r="F169" s="116" t="str">
        <f t="shared" si="13"/>
        <v>-</v>
      </c>
      <c r="G169" s="115">
        <v>2337</v>
      </c>
      <c r="H169" s="116">
        <f t="shared" si="13"/>
        <v>0.15350444225074034</v>
      </c>
      <c r="I169" s="115">
        <v>3169</v>
      </c>
      <c r="J169" s="116">
        <f t="shared" si="13"/>
        <v>0.35601198117244337</v>
      </c>
      <c r="K169" s="115">
        <v>5388</v>
      </c>
      <c r="L169" s="116">
        <f t="shared" si="13"/>
        <v>0.7002208898706217</v>
      </c>
      <c r="M169" s="115"/>
      <c r="N169" s="116"/>
    </row>
    <row r="170" spans="2:14" x14ac:dyDescent="0.25">
      <c r="B170" s="114" t="s">
        <v>85</v>
      </c>
      <c r="C170" s="115">
        <v>599</v>
      </c>
      <c r="D170" s="116">
        <v>-0.77084927314460594</v>
      </c>
      <c r="E170" s="115">
        <v>2204</v>
      </c>
      <c r="F170" s="116">
        <f t="shared" si="13"/>
        <v>2.679465776293823</v>
      </c>
      <c r="G170" s="115">
        <v>2265</v>
      </c>
      <c r="H170" s="116">
        <f t="shared" si="13"/>
        <v>2.7676950998185124E-2</v>
      </c>
      <c r="I170" s="115">
        <v>4052</v>
      </c>
      <c r="J170" s="116">
        <f t="shared" si="13"/>
        <v>0.788962472406181</v>
      </c>
      <c r="K170" s="115">
        <v>5505</v>
      </c>
      <c r="L170" s="116">
        <f t="shared" si="13"/>
        <v>0.35858835143139189</v>
      </c>
      <c r="M170" s="115"/>
      <c r="N170" s="116"/>
    </row>
    <row r="171" spans="2:14" x14ac:dyDescent="0.25">
      <c r="B171" s="114" t="s">
        <v>87</v>
      </c>
      <c r="C171" s="115">
        <v>234</v>
      </c>
      <c r="D171" s="116">
        <v>-0.89586114819759677</v>
      </c>
      <c r="E171" s="115">
        <v>2090</v>
      </c>
      <c r="F171" s="116">
        <f t="shared" si="13"/>
        <v>7.9316239316239319</v>
      </c>
      <c r="G171" s="115">
        <v>2484</v>
      </c>
      <c r="H171" s="116">
        <f t="shared" si="13"/>
        <v>0.18851674641148319</v>
      </c>
      <c r="I171" s="115">
        <v>3816</v>
      </c>
      <c r="J171" s="116">
        <f t="shared" si="13"/>
        <v>0.53623188405797095</v>
      </c>
      <c r="K171" s="115">
        <v>4449</v>
      </c>
      <c r="L171" s="116">
        <f t="shared" si="13"/>
        <v>0.16588050314465419</v>
      </c>
      <c r="M171" s="115"/>
      <c r="N171" s="116"/>
    </row>
    <row r="172" spans="2:14" x14ac:dyDescent="0.25">
      <c r="B172" s="114" t="s">
        <v>89</v>
      </c>
      <c r="C172" s="115">
        <v>872</v>
      </c>
      <c r="D172" s="116">
        <v>-0.66932119833143722</v>
      </c>
      <c r="E172" s="115">
        <v>2935</v>
      </c>
      <c r="F172" s="116">
        <f t="shared" si="13"/>
        <v>2.3658256880733943</v>
      </c>
      <c r="G172" s="115">
        <v>2881</v>
      </c>
      <c r="H172" s="116">
        <f t="shared" si="13"/>
        <v>-1.8398637137989726E-2</v>
      </c>
      <c r="I172" s="115">
        <v>4916</v>
      </c>
      <c r="J172" s="116">
        <f t="shared" si="13"/>
        <v>0.70635196112460941</v>
      </c>
      <c r="K172" s="115">
        <v>5925</v>
      </c>
      <c r="L172" s="116">
        <f t="shared" si="13"/>
        <v>0.20524816924328726</v>
      </c>
      <c r="M172" s="115"/>
      <c r="N172" s="116"/>
    </row>
    <row r="173" spans="2:14" x14ac:dyDescent="0.25">
      <c r="B173" s="114" t="s">
        <v>91</v>
      </c>
      <c r="C173" s="115">
        <v>86</v>
      </c>
      <c r="D173" s="116">
        <v>-0.95990675990675989</v>
      </c>
      <c r="E173" s="115">
        <v>2657</v>
      </c>
      <c r="F173" s="116">
        <f t="shared" si="13"/>
        <v>29.895348837209301</v>
      </c>
      <c r="G173" s="115">
        <v>2543</v>
      </c>
      <c r="H173" s="116">
        <f t="shared" si="13"/>
        <v>-4.290553255551377E-2</v>
      </c>
      <c r="I173" s="115">
        <v>3401</v>
      </c>
      <c r="J173" s="116">
        <f t="shared" si="13"/>
        <v>0.3373967754620526</v>
      </c>
      <c r="K173" s="115">
        <v>3939</v>
      </c>
      <c r="L173" s="116">
        <f t="shared" si="13"/>
        <v>0.15818876800940895</v>
      </c>
      <c r="M173" s="115"/>
      <c r="N173" s="116"/>
    </row>
    <row r="174" spans="2:14" x14ac:dyDescent="0.25">
      <c r="B174" s="114" t="s">
        <v>93</v>
      </c>
      <c r="C174" s="115">
        <v>484</v>
      </c>
      <c r="D174" s="116">
        <v>-0.72295363480251862</v>
      </c>
      <c r="E174" s="115">
        <v>2093</v>
      </c>
      <c r="F174" s="116">
        <f t="shared" si="13"/>
        <v>3.3243801652892566</v>
      </c>
      <c r="G174" s="115">
        <v>2795</v>
      </c>
      <c r="H174" s="116">
        <f t="shared" si="13"/>
        <v>0.3354037267080745</v>
      </c>
      <c r="I174" s="115">
        <v>3613</v>
      </c>
      <c r="J174" s="116">
        <f t="shared" si="13"/>
        <v>0.29266547406082299</v>
      </c>
      <c r="K174" s="115">
        <v>3854</v>
      </c>
      <c r="L174" s="116">
        <f t="shared" si="13"/>
        <v>6.6703570440077575E-2</v>
      </c>
      <c r="M174" s="115"/>
      <c r="N174" s="116"/>
    </row>
    <row r="175" spans="2:14" ht="15.75" x14ac:dyDescent="0.25">
      <c r="B175" s="117" t="s">
        <v>30</v>
      </c>
      <c r="C175" s="118">
        <v>8286</v>
      </c>
      <c r="D175" s="119">
        <v>-0.67438204896451448</v>
      </c>
      <c r="E175" s="118">
        <v>19927</v>
      </c>
      <c r="F175" s="119">
        <f t="shared" si="13"/>
        <v>1.4048998310403089</v>
      </c>
      <c r="G175" s="118">
        <v>30758</v>
      </c>
      <c r="H175" s="119">
        <f t="shared" si="13"/>
        <v>0.54353389873036573</v>
      </c>
      <c r="I175" s="118">
        <v>42539</v>
      </c>
      <c r="J175" s="119">
        <f t="shared" si="13"/>
        <v>0.38302230314064634</v>
      </c>
      <c r="K175" s="118">
        <v>57925</v>
      </c>
      <c r="L175" s="119">
        <f t="shared" si="13"/>
        <v>0.36169162415665634</v>
      </c>
      <c r="M175" s="118">
        <v>3619</v>
      </c>
      <c r="N175" s="119">
        <v>1.4862591138530501E-2</v>
      </c>
    </row>
    <row r="176" spans="2:14" ht="6" customHeight="1" x14ac:dyDescent="0.25"/>
    <row r="177" spans="1:15" x14ac:dyDescent="0.25">
      <c r="B177" s="105" t="s">
        <v>55</v>
      </c>
      <c r="C177" s="105"/>
      <c r="D177" s="105"/>
      <c r="E177" s="105"/>
      <c r="F177" s="105"/>
      <c r="G177" s="105"/>
      <c r="H177" s="105"/>
      <c r="I177" s="105"/>
      <c r="J177" s="105"/>
      <c r="K177" s="124"/>
      <c r="L177" s="105"/>
      <c r="M177" s="105"/>
      <c r="N177" s="105"/>
    </row>
    <row r="180" spans="1:15" ht="48.75" customHeight="1" thickBot="1" x14ac:dyDescent="0.3">
      <c r="B180" s="265" t="s">
        <v>243</v>
      </c>
      <c r="C180" s="265"/>
      <c r="D180" s="265"/>
      <c r="E180" s="265"/>
      <c r="F180" s="265"/>
      <c r="G180" s="265"/>
      <c r="H180" s="265"/>
      <c r="I180" s="265"/>
      <c r="J180" s="265"/>
      <c r="K180" s="265"/>
      <c r="L180" s="265"/>
      <c r="M180" s="265"/>
      <c r="N180" s="265"/>
      <c r="O180" s="1" t="s">
        <v>117</v>
      </c>
    </row>
    <row r="181" spans="1:15" ht="10.5" customHeight="1" thickBot="1" x14ac:dyDescent="0.3">
      <c r="B181" s="106"/>
      <c r="C181" s="107"/>
      <c r="D181" s="106"/>
      <c r="E181" s="106"/>
      <c r="F181" s="106"/>
      <c r="G181" s="106"/>
      <c r="H181" s="106"/>
      <c r="I181" s="106"/>
      <c r="J181" s="106"/>
      <c r="K181" s="106"/>
      <c r="L181" s="106"/>
      <c r="M181" s="4"/>
      <c r="N181" s="4"/>
      <c r="O181" s="1" t="s">
        <v>118</v>
      </c>
    </row>
    <row r="182" spans="1:15" ht="22.5" thickTop="1" thickBot="1" x14ac:dyDescent="0.3">
      <c r="B182" s="121" t="str">
        <f>C182</f>
        <v>Bélgica</v>
      </c>
      <c r="C182" s="290" t="s">
        <v>119</v>
      </c>
      <c r="D182" s="291"/>
      <c r="E182" s="291"/>
      <c r="F182" s="291"/>
      <c r="G182" s="291"/>
      <c r="H182" s="291"/>
      <c r="I182" s="291"/>
      <c r="J182" s="291"/>
      <c r="K182" s="291"/>
      <c r="L182" s="291"/>
      <c r="M182" s="291"/>
      <c r="N182" s="291"/>
    </row>
    <row r="183" spans="1:15" ht="22.5" thickTop="1" thickBot="1" x14ac:dyDescent="0.3">
      <c r="B183" s="109"/>
      <c r="C183" s="292">
        <f>C$7</f>
        <v>2020</v>
      </c>
      <c r="D183" s="293"/>
      <c r="E183" s="292">
        <f>E$7</f>
        <v>2021</v>
      </c>
      <c r="F183" s="293"/>
      <c r="G183" s="292">
        <f>G$7</f>
        <v>2022</v>
      </c>
      <c r="H183" s="293"/>
      <c r="I183" s="292">
        <f>I$7</f>
        <v>2023</v>
      </c>
      <c r="J183" s="293"/>
      <c r="K183" s="292">
        <f>K$7</f>
        <v>2024</v>
      </c>
      <c r="L183" s="293"/>
      <c r="M183" s="292">
        <f>M$7</f>
        <v>2025</v>
      </c>
      <c r="N183" s="293"/>
    </row>
    <row r="184" spans="1:15" ht="16.5" thickTop="1" thickBot="1" x14ac:dyDescent="0.3">
      <c r="B184" s="85"/>
      <c r="C184" s="111" t="s">
        <v>69</v>
      </c>
      <c r="D184" s="112" t="str">
        <f>CONCATENATE("var ",RIGHT(C183,2),"/",RIGHT(C183-1,2))</f>
        <v>var 20/19</v>
      </c>
      <c r="E184" s="113" t="s">
        <v>69</v>
      </c>
      <c r="F184" s="112" t="str">
        <f>CONCATENATE("var ",RIGHT(E183,2),"/",RIGHT(E183-1,2))</f>
        <v>var 21/20</v>
      </c>
      <c r="G184" s="113" t="s">
        <v>69</v>
      </c>
      <c r="H184" s="112" t="str">
        <f>CONCATENATE("var ",RIGHT(G183,2),"/",RIGHT(G183-1,2))</f>
        <v>var 22/21</v>
      </c>
      <c r="I184" s="113" t="s">
        <v>69</v>
      </c>
      <c r="J184" s="112" t="str">
        <f>CONCATENATE("var ",RIGHT(I183,2),"/",RIGHT(I183-1,2))</f>
        <v>var 23/22</v>
      </c>
      <c r="K184" s="113" t="s">
        <v>69</v>
      </c>
      <c r="L184" s="112" t="str">
        <f>CONCATENATE("var ",RIGHT(K183,2),"/",RIGHT(K183-1,2))</f>
        <v>var 24/23</v>
      </c>
      <c r="M184" s="113" t="s">
        <v>69</v>
      </c>
      <c r="N184" s="112" t="str">
        <f>CONCATENATE("var ",RIGHT(M183,2),"/",RIGHT(M183-1,2))</f>
        <v>var 25/24</v>
      </c>
    </row>
    <row r="185" spans="1:15" x14ac:dyDescent="0.25">
      <c r="A185" s="120"/>
      <c r="B185" s="114" t="s">
        <v>71</v>
      </c>
      <c r="C185" s="115">
        <v>433</v>
      </c>
      <c r="D185" s="116">
        <v>-0.26734348561759724</v>
      </c>
      <c r="E185" s="115">
        <v>79</v>
      </c>
      <c r="F185" s="116">
        <f t="shared" ref="F185:L197" si="15">IFERROR(E185/C185-1,"-")</f>
        <v>-0.81755196304849886</v>
      </c>
      <c r="G185" s="115">
        <v>563</v>
      </c>
      <c r="H185" s="116">
        <f t="shared" si="15"/>
        <v>6.1265822784810124</v>
      </c>
      <c r="I185" s="115">
        <v>577</v>
      </c>
      <c r="J185" s="116">
        <f t="shared" si="15"/>
        <v>2.4866785079928899E-2</v>
      </c>
      <c r="K185" s="115">
        <v>552</v>
      </c>
      <c r="L185" s="116">
        <f t="shared" si="15"/>
        <v>-4.3327556325823191E-2</v>
      </c>
      <c r="M185" s="115">
        <v>792</v>
      </c>
      <c r="N185" s="116">
        <f t="shared" ref="N185" si="16">IFERROR(M185/K185-1,"-")</f>
        <v>0.43478260869565211</v>
      </c>
    </row>
    <row r="186" spans="1:15" x14ac:dyDescent="0.25">
      <c r="B186" s="114" t="s">
        <v>73</v>
      </c>
      <c r="C186" s="115">
        <v>399</v>
      </c>
      <c r="D186" s="116">
        <v>7.2580645161290258E-2</v>
      </c>
      <c r="E186" s="115">
        <v>53</v>
      </c>
      <c r="F186" s="116">
        <f t="shared" si="15"/>
        <v>-0.86716791979949881</v>
      </c>
      <c r="G186" s="115">
        <v>604</v>
      </c>
      <c r="H186" s="116">
        <f t="shared" si="15"/>
        <v>10.39622641509434</v>
      </c>
      <c r="I186" s="115">
        <v>464</v>
      </c>
      <c r="J186" s="116">
        <f t="shared" si="15"/>
        <v>-0.23178807947019864</v>
      </c>
      <c r="K186" s="115">
        <v>653</v>
      </c>
      <c r="L186" s="116">
        <f t="shared" si="15"/>
        <v>0.40732758620689657</v>
      </c>
      <c r="M186" s="115"/>
      <c r="N186" s="116"/>
    </row>
    <row r="187" spans="1:15" x14ac:dyDescent="0.25">
      <c r="B187" s="114" t="s">
        <v>75</v>
      </c>
      <c r="C187" s="115">
        <v>255</v>
      </c>
      <c r="D187" s="116">
        <v>-0.48692152917505027</v>
      </c>
      <c r="E187" s="115">
        <v>27</v>
      </c>
      <c r="F187" s="116">
        <f t="shared" si="15"/>
        <v>-0.89411764705882357</v>
      </c>
      <c r="G187" s="115">
        <v>493</v>
      </c>
      <c r="H187" s="116">
        <f t="shared" si="15"/>
        <v>17.25925925925926</v>
      </c>
      <c r="I187" s="115">
        <v>655</v>
      </c>
      <c r="J187" s="116">
        <f t="shared" si="15"/>
        <v>0.3286004056795131</v>
      </c>
      <c r="K187" s="115">
        <v>624</v>
      </c>
      <c r="L187" s="116">
        <f t="shared" si="15"/>
        <v>-4.7328244274809195E-2</v>
      </c>
      <c r="M187" s="115"/>
      <c r="N187" s="116"/>
    </row>
    <row r="188" spans="1:15" x14ac:dyDescent="0.25">
      <c r="B188" s="114" t="s">
        <v>77</v>
      </c>
      <c r="C188" s="115">
        <v>0</v>
      </c>
      <c r="D188" s="116">
        <v>-1</v>
      </c>
      <c r="E188" s="115">
        <v>44</v>
      </c>
      <c r="F188" s="116" t="str">
        <f t="shared" si="15"/>
        <v>-</v>
      </c>
      <c r="G188" s="115">
        <v>523</v>
      </c>
      <c r="H188" s="116">
        <f t="shared" si="15"/>
        <v>10.886363636363637</v>
      </c>
      <c r="I188" s="115">
        <v>328</v>
      </c>
      <c r="J188" s="116">
        <f t="shared" si="15"/>
        <v>-0.37284894837476101</v>
      </c>
      <c r="K188" s="115">
        <v>505</v>
      </c>
      <c r="L188" s="116">
        <f t="shared" si="15"/>
        <v>0.53963414634146334</v>
      </c>
      <c r="M188" s="115"/>
      <c r="N188" s="116"/>
    </row>
    <row r="189" spans="1:15" x14ac:dyDescent="0.25">
      <c r="B189" s="114" t="s">
        <v>79</v>
      </c>
      <c r="C189" s="115">
        <v>0</v>
      </c>
      <c r="D189" s="116">
        <v>-1</v>
      </c>
      <c r="E189" s="115">
        <v>260</v>
      </c>
      <c r="F189" s="116" t="str">
        <f t="shared" si="15"/>
        <v>-</v>
      </c>
      <c r="G189" s="115">
        <v>318</v>
      </c>
      <c r="H189" s="116">
        <f t="shared" si="15"/>
        <v>0.22307692307692317</v>
      </c>
      <c r="I189" s="115">
        <v>353</v>
      </c>
      <c r="J189" s="116">
        <f t="shared" si="15"/>
        <v>0.11006289308176109</v>
      </c>
      <c r="K189" s="115">
        <v>606</v>
      </c>
      <c r="L189" s="116">
        <f t="shared" si="15"/>
        <v>0.71671388101983013</v>
      </c>
      <c r="M189" s="115"/>
      <c r="N189" s="116"/>
    </row>
    <row r="190" spans="1:15" x14ac:dyDescent="0.25">
      <c r="B190" s="114" t="s">
        <v>120</v>
      </c>
      <c r="C190" s="115">
        <v>0</v>
      </c>
      <c r="D190" s="116">
        <v>-1</v>
      </c>
      <c r="E190" s="115">
        <v>260</v>
      </c>
      <c r="F190" s="116" t="str">
        <f t="shared" si="15"/>
        <v>-</v>
      </c>
      <c r="G190" s="115">
        <v>399</v>
      </c>
      <c r="H190" s="116">
        <f t="shared" si="15"/>
        <v>0.53461538461538471</v>
      </c>
      <c r="I190" s="115">
        <v>397</v>
      </c>
      <c r="J190" s="116">
        <f t="shared" si="15"/>
        <v>-5.0125313283208017E-3</v>
      </c>
      <c r="K190" s="115">
        <v>702</v>
      </c>
      <c r="L190" s="116">
        <f t="shared" si="15"/>
        <v>0.76826196473551644</v>
      </c>
      <c r="M190" s="115"/>
      <c r="N190" s="116"/>
    </row>
    <row r="191" spans="1:15" x14ac:dyDescent="0.25">
      <c r="B191" s="114" t="s">
        <v>83</v>
      </c>
      <c r="C191" s="115">
        <v>0</v>
      </c>
      <c r="D191" s="116">
        <v>-1</v>
      </c>
      <c r="E191" s="115">
        <v>398</v>
      </c>
      <c r="F191" s="116" t="str">
        <f t="shared" si="15"/>
        <v>-</v>
      </c>
      <c r="G191" s="115">
        <v>504</v>
      </c>
      <c r="H191" s="116">
        <f t="shared" si="15"/>
        <v>0.26633165829145722</v>
      </c>
      <c r="I191" s="115">
        <v>799</v>
      </c>
      <c r="J191" s="116">
        <f t="shared" si="15"/>
        <v>0.58531746031746024</v>
      </c>
      <c r="K191" s="115">
        <v>1214</v>
      </c>
      <c r="L191" s="116">
        <f t="shared" si="15"/>
        <v>0.51939924906132662</v>
      </c>
      <c r="M191" s="115"/>
      <c r="N191" s="116"/>
    </row>
    <row r="192" spans="1:15" x14ac:dyDescent="0.25">
      <c r="B192" s="114" t="s">
        <v>85</v>
      </c>
      <c r="C192" s="115">
        <v>240</v>
      </c>
      <c r="D192" s="116">
        <v>-0.63855421686746983</v>
      </c>
      <c r="E192" s="115">
        <v>605</v>
      </c>
      <c r="F192" s="116">
        <f t="shared" si="15"/>
        <v>1.5208333333333335</v>
      </c>
      <c r="G192" s="115">
        <v>374</v>
      </c>
      <c r="H192" s="116">
        <f t="shared" si="15"/>
        <v>-0.38181818181818183</v>
      </c>
      <c r="I192" s="115">
        <v>830</v>
      </c>
      <c r="J192" s="116">
        <f t="shared" si="15"/>
        <v>1.2192513368983957</v>
      </c>
      <c r="K192" s="115">
        <v>796</v>
      </c>
      <c r="L192" s="116">
        <f t="shared" si="15"/>
        <v>-4.096385542168679E-2</v>
      </c>
      <c r="M192" s="115"/>
      <c r="N192" s="116"/>
    </row>
    <row r="193" spans="2:15" x14ac:dyDescent="0.25">
      <c r="B193" s="114" t="s">
        <v>87</v>
      </c>
      <c r="C193" s="115">
        <v>446</v>
      </c>
      <c r="D193" s="116">
        <v>-0.17100371747211895</v>
      </c>
      <c r="E193" s="115">
        <v>807</v>
      </c>
      <c r="F193" s="116">
        <f t="shared" si="15"/>
        <v>0.8094170403587444</v>
      </c>
      <c r="G193" s="115">
        <v>477</v>
      </c>
      <c r="H193" s="116">
        <f t="shared" si="15"/>
        <v>-0.40892193308550184</v>
      </c>
      <c r="I193" s="115">
        <v>664</v>
      </c>
      <c r="J193" s="116">
        <f t="shared" si="15"/>
        <v>0.39203354297693926</v>
      </c>
      <c r="K193" s="115">
        <v>820</v>
      </c>
      <c r="L193" s="116">
        <f t="shared" si="15"/>
        <v>0.23493975903614461</v>
      </c>
      <c r="M193" s="115"/>
      <c r="N193" s="116"/>
    </row>
    <row r="194" spans="2:15" x14ac:dyDescent="0.25">
      <c r="B194" s="114" t="s">
        <v>89</v>
      </c>
      <c r="C194" s="115">
        <v>129</v>
      </c>
      <c r="D194" s="116">
        <v>-0.67091836734693877</v>
      </c>
      <c r="E194" s="115">
        <v>964</v>
      </c>
      <c r="F194" s="116">
        <f t="shared" si="15"/>
        <v>6.4728682170542635</v>
      </c>
      <c r="G194" s="115">
        <v>428</v>
      </c>
      <c r="H194" s="116">
        <f t="shared" si="15"/>
        <v>-0.55601659751037347</v>
      </c>
      <c r="I194" s="115">
        <v>701</v>
      </c>
      <c r="J194" s="116">
        <f t="shared" si="15"/>
        <v>0.63785046728971961</v>
      </c>
      <c r="K194" s="115">
        <v>870</v>
      </c>
      <c r="L194" s="116">
        <f t="shared" si="15"/>
        <v>0.2410841654778888</v>
      </c>
      <c r="M194" s="115"/>
      <c r="N194" s="116"/>
    </row>
    <row r="195" spans="2:15" x14ac:dyDescent="0.25">
      <c r="B195" s="114" t="s">
        <v>91</v>
      </c>
      <c r="C195" s="115">
        <v>38</v>
      </c>
      <c r="D195" s="116">
        <v>-0.91880341880341876</v>
      </c>
      <c r="E195" s="115">
        <v>1017</v>
      </c>
      <c r="F195" s="116">
        <f t="shared" si="15"/>
        <v>25.763157894736842</v>
      </c>
      <c r="G195" s="115">
        <v>514</v>
      </c>
      <c r="H195" s="116">
        <f t="shared" si="15"/>
        <v>-0.49459193706981319</v>
      </c>
      <c r="I195" s="115">
        <v>587</v>
      </c>
      <c r="J195" s="116">
        <f t="shared" si="15"/>
        <v>0.14202334630350189</v>
      </c>
      <c r="K195" s="115">
        <v>724</v>
      </c>
      <c r="L195" s="116">
        <f t="shared" si="15"/>
        <v>0.23339011925042596</v>
      </c>
      <c r="M195" s="115"/>
      <c r="N195" s="116"/>
    </row>
    <row r="196" spans="2:15" x14ac:dyDescent="0.25">
      <c r="B196" s="114" t="s">
        <v>93</v>
      </c>
      <c r="C196" s="115">
        <v>101</v>
      </c>
      <c r="D196" s="116">
        <v>-0.76291079812206575</v>
      </c>
      <c r="E196" s="115">
        <v>687</v>
      </c>
      <c r="F196" s="116">
        <f t="shared" si="15"/>
        <v>5.8019801980198018</v>
      </c>
      <c r="G196" s="115">
        <v>675</v>
      </c>
      <c r="H196" s="116">
        <f t="shared" si="15"/>
        <v>-1.7467248908296984E-2</v>
      </c>
      <c r="I196" s="115">
        <v>613</v>
      </c>
      <c r="J196" s="116">
        <f t="shared" si="15"/>
        <v>-9.1851851851851851E-2</v>
      </c>
      <c r="K196" s="115">
        <v>830</v>
      </c>
      <c r="L196" s="116">
        <f t="shared" si="15"/>
        <v>0.35399673735725945</v>
      </c>
      <c r="M196" s="115"/>
      <c r="N196" s="116"/>
    </row>
    <row r="197" spans="2:15" ht="15.75" x14ac:dyDescent="0.25">
      <c r="B197" s="117" t="s">
        <v>30</v>
      </c>
      <c r="C197" s="118">
        <v>2082</v>
      </c>
      <c r="D197" s="119">
        <v>-0.6668266922707633</v>
      </c>
      <c r="E197" s="118">
        <v>5201</v>
      </c>
      <c r="F197" s="119">
        <f t="shared" si="15"/>
        <v>1.4980787704130645</v>
      </c>
      <c r="G197" s="118">
        <v>5872</v>
      </c>
      <c r="H197" s="119">
        <f t="shared" si="15"/>
        <v>0.12901365122091901</v>
      </c>
      <c r="I197" s="118">
        <v>6968</v>
      </c>
      <c r="J197" s="119">
        <f t="shared" si="15"/>
        <v>0.18664850136239775</v>
      </c>
      <c r="K197" s="118">
        <v>8896</v>
      </c>
      <c r="L197" s="119">
        <f t="shared" si="15"/>
        <v>0.27669345579793347</v>
      </c>
      <c r="M197" s="118">
        <v>792</v>
      </c>
      <c r="N197" s="119">
        <v>0.43478260869565211</v>
      </c>
    </row>
    <row r="198" spans="2:15" ht="6" customHeight="1" x14ac:dyDescent="0.25"/>
    <row r="199" spans="2:15" x14ac:dyDescent="0.25">
      <c r="B199" s="105" t="s">
        <v>55</v>
      </c>
      <c r="C199" s="105"/>
      <c r="D199" s="105"/>
      <c r="E199" s="105"/>
      <c r="F199" s="105"/>
      <c r="G199" s="105"/>
      <c r="H199" s="105"/>
      <c r="I199" s="105"/>
      <c r="J199" s="105"/>
      <c r="K199" s="105"/>
      <c r="L199" s="105"/>
      <c r="M199" s="105"/>
      <c r="N199" s="105"/>
    </row>
    <row r="200" spans="2:15" x14ac:dyDescent="0.25">
      <c r="K200" s="120"/>
    </row>
    <row r="201" spans="2:15" x14ac:dyDescent="0.25">
      <c r="C201" s="79"/>
      <c r="D201" s="79"/>
      <c r="E201" s="79"/>
      <c r="F201" s="79"/>
      <c r="G201" s="79"/>
      <c r="H201" s="79"/>
      <c r="I201" s="79"/>
      <c r="J201" s="79"/>
      <c r="K201" s="79"/>
      <c r="L201" s="79"/>
      <c r="M201" s="79"/>
      <c r="N201" s="79"/>
    </row>
    <row r="202" spans="2:15" ht="48.75" customHeight="1" thickBot="1" x14ac:dyDescent="0.3">
      <c r="B202" s="265" t="s">
        <v>244</v>
      </c>
      <c r="C202" s="265"/>
      <c r="D202" s="265"/>
      <c r="E202" s="265"/>
      <c r="F202" s="265"/>
      <c r="G202" s="265"/>
      <c r="H202" s="265"/>
      <c r="I202" s="265"/>
      <c r="J202" s="265"/>
      <c r="K202" s="265"/>
      <c r="L202" s="265"/>
      <c r="M202" s="265"/>
      <c r="N202" s="265"/>
      <c r="O202" s="1" t="s">
        <v>121</v>
      </c>
    </row>
    <row r="203" spans="2:15" ht="10.5" customHeight="1" thickBot="1" x14ac:dyDescent="0.3">
      <c r="B203" s="106"/>
      <c r="C203" s="107"/>
      <c r="D203" s="106"/>
      <c r="E203" s="106"/>
      <c r="F203" s="106"/>
      <c r="G203" s="106"/>
      <c r="H203" s="106"/>
      <c r="I203" s="106"/>
      <c r="J203" s="106"/>
      <c r="K203" s="106"/>
      <c r="L203" s="106"/>
      <c r="M203" s="4"/>
      <c r="N203" s="4"/>
      <c r="O203" s="1" t="s">
        <v>122</v>
      </c>
    </row>
    <row r="204" spans="2:15" ht="22.5" thickTop="1" thickBot="1" x14ac:dyDescent="0.3">
      <c r="B204" s="121" t="str">
        <f>C204</f>
        <v>Países Bajos</v>
      </c>
      <c r="C204" s="290" t="s">
        <v>123</v>
      </c>
      <c r="D204" s="291"/>
      <c r="E204" s="291"/>
      <c r="F204" s="291"/>
      <c r="G204" s="291"/>
      <c r="H204" s="291"/>
      <c r="I204" s="291"/>
      <c r="J204" s="291"/>
      <c r="K204" s="291"/>
      <c r="L204" s="291"/>
      <c r="M204" s="291"/>
      <c r="N204" s="291"/>
    </row>
    <row r="205" spans="2:15" ht="22.5" thickTop="1" thickBot="1" x14ac:dyDescent="0.3">
      <c r="B205" s="109"/>
      <c r="C205" s="292">
        <f>C$7</f>
        <v>2020</v>
      </c>
      <c r="D205" s="293"/>
      <c r="E205" s="292">
        <f>E$7</f>
        <v>2021</v>
      </c>
      <c r="F205" s="293"/>
      <c r="G205" s="292">
        <f>G$7</f>
        <v>2022</v>
      </c>
      <c r="H205" s="293"/>
      <c r="I205" s="292">
        <f>I$7</f>
        <v>2023</v>
      </c>
      <c r="J205" s="293"/>
      <c r="K205" s="292">
        <f>K$7</f>
        <v>2024</v>
      </c>
      <c r="L205" s="293"/>
      <c r="M205" s="292">
        <f>M$7</f>
        <v>2025</v>
      </c>
      <c r="N205" s="293"/>
    </row>
    <row r="206" spans="2:15" ht="16.5" thickTop="1" thickBot="1" x14ac:dyDescent="0.3">
      <c r="B206" s="85"/>
      <c r="C206" s="111" t="s">
        <v>69</v>
      </c>
      <c r="D206" s="112" t="str">
        <f>CONCATENATE("var ",RIGHT(C205,2),"/",RIGHT(C205-1,2))</f>
        <v>var 20/19</v>
      </c>
      <c r="E206" s="113" t="s">
        <v>69</v>
      </c>
      <c r="F206" s="112" t="str">
        <f>CONCATENATE("var ",RIGHT(E205,2),"/",RIGHT(E205-1,2))</f>
        <v>var 21/20</v>
      </c>
      <c r="G206" s="113" t="s">
        <v>69</v>
      </c>
      <c r="H206" s="112" t="str">
        <f>CONCATENATE("var ",RIGHT(G205,2),"/",RIGHT(G205-1,2))</f>
        <v>var 22/21</v>
      </c>
      <c r="I206" s="113" t="s">
        <v>69</v>
      </c>
      <c r="J206" s="112" t="str">
        <f>CONCATENATE("var ",RIGHT(I205,2),"/",RIGHT(I205-1,2))</f>
        <v>var 23/22</v>
      </c>
      <c r="K206" s="113" t="s">
        <v>69</v>
      </c>
      <c r="L206" s="112" t="str">
        <f>CONCATENATE("var ",RIGHT(K205,2),"/",RIGHT(K205-1,2))</f>
        <v>var 24/23</v>
      </c>
      <c r="M206" s="113" t="s">
        <v>69</v>
      </c>
      <c r="N206" s="112" t="str">
        <f>CONCATENATE("var ",RIGHT(M205,2),"/",RIGHT(M205-1,2))</f>
        <v>var 25/24</v>
      </c>
    </row>
    <row r="207" spans="2:15" x14ac:dyDescent="0.25">
      <c r="B207" s="114" t="s">
        <v>71</v>
      </c>
      <c r="C207" s="115">
        <v>543</v>
      </c>
      <c r="D207" s="116">
        <v>-0.16589861751152069</v>
      </c>
      <c r="E207" s="115">
        <v>25</v>
      </c>
      <c r="F207" s="116">
        <f t="shared" ref="F207:L219" si="17">IFERROR(E207/C207-1,"-")</f>
        <v>-0.95395948434622468</v>
      </c>
      <c r="G207" s="115">
        <v>1010</v>
      </c>
      <c r="H207" s="116">
        <f t="shared" si="17"/>
        <v>39.4</v>
      </c>
      <c r="I207" s="115">
        <v>878</v>
      </c>
      <c r="J207" s="116">
        <f t="shared" si="17"/>
        <v>-0.1306930693069307</v>
      </c>
      <c r="K207" s="115">
        <v>1284</v>
      </c>
      <c r="L207" s="116">
        <f t="shared" si="17"/>
        <v>0.46241457858769941</v>
      </c>
      <c r="M207" s="115">
        <v>1405</v>
      </c>
      <c r="N207" s="116">
        <f t="shared" ref="N207" si="18">IFERROR(M207/K207-1,"-")</f>
        <v>9.4236760124610575E-2</v>
      </c>
    </row>
    <row r="208" spans="2:15" x14ac:dyDescent="0.25">
      <c r="B208" s="114" t="s">
        <v>73</v>
      </c>
      <c r="C208" s="115">
        <v>665</v>
      </c>
      <c r="D208" s="116">
        <v>0.15251299826689779</v>
      </c>
      <c r="E208" s="115">
        <v>59</v>
      </c>
      <c r="F208" s="116">
        <f t="shared" si="17"/>
        <v>-0.9112781954887218</v>
      </c>
      <c r="G208" s="115">
        <v>945</v>
      </c>
      <c r="H208" s="116">
        <f t="shared" si="17"/>
        <v>15.016949152542374</v>
      </c>
      <c r="I208" s="115">
        <v>744</v>
      </c>
      <c r="J208" s="116">
        <f t="shared" si="17"/>
        <v>-0.21269841269841272</v>
      </c>
      <c r="K208" s="115">
        <v>1177</v>
      </c>
      <c r="L208" s="116">
        <f t="shared" si="17"/>
        <v>0.581989247311828</v>
      </c>
      <c r="M208" s="115"/>
      <c r="N208" s="116"/>
    </row>
    <row r="209" spans="2:15" x14ac:dyDescent="0.25">
      <c r="B209" s="114" t="s">
        <v>75</v>
      </c>
      <c r="C209" s="115">
        <v>256</v>
      </c>
      <c r="D209" s="116">
        <v>-0.6502732240437159</v>
      </c>
      <c r="E209" s="115">
        <v>63</v>
      </c>
      <c r="F209" s="116">
        <f t="shared" si="17"/>
        <v>-0.75390625</v>
      </c>
      <c r="G209" s="115">
        <v>771</v>
      </c>
      <c r="H209" s="116">
        <f t="shared" si="17"/>
        <v>11.238095238095237</v>
      </c>
      <c r="I209" s="115">
        <v>855</v>
      </c>
      <c r="J209" s="116">
        <f t="shared" si="17"/>
        <v>0.10894941634241251</v>
      </c>
      <c r="K209" s="115">
        <v>1050</v>
      </c>
      <c r="L209" s="116">
        <f t="shared" si="17"/>
        <v>0.22807017543859653</v>
      </c>
      <c r="M209" s="115"/>
      <c r="N209" s="116"/>
    </row>
    <row r="210" spans="2:15" x14ac:dyDescent="0.25">
      <c r="B210" s="114" t="s">
        <v>77</v>
      </c>
      <c r="C210" s="115">
        <v>0</v>
      </c>
      <c r="D210" s="116">
        <v>-1</v>
      </c>
      <c r="E210" s="115">
        <v>50</v>
      </c>
      <c r="F210" s="116" t="str">
        <f t="shared" si="17"/>
        <v>-</v>
      </c>
      <c r="G210" s="115">
        <v>905</v>
      </c>
      <c r="H210" s="116">
        <f t="shared" si="17"/>
        <v>17.100000000000001</v>
      </c>
      <c r="I210" s="115">
        <v>706</v>
      </c>
      <c r="J210" s="116">
        <f t="shared" si="17"/>
        <v>-0.21988950276243091</v>
      </c>
      <c r="K210" s="115">
        <v>1179</v>
      </c>
      <c r="L210" s="116">
        <f t="shared" si="17"/>
        <v>0.66997167138810187</v>
      </c>
      <c r="M210" s="115"/>
      <c r="N210" s="116"/>
    </row>
    <row r="211" spans="2:15" x14ac:dyDescent="0.25">
      <c r="B211" s="114" t="s">
        <v>79</v>
      </c>
      <c r="C211" s="115">
        <v>0</v>
      </c>
      <c r="D211" s="116">
        <v>-1</v>
      </c>
      <c r="E211" s="115">
        <v>138</v>
      </c>
      <c r="F211" s="116" t="str">
        <f t="shared" si="17"/>
        <v>-</v>
      </c>
      <c r="G211" s="115">
        <v>629</v>
      </c>
      <c r="H211" s="116">
        <f t="shared" si="17"/>
        <v>3.5579710144927539</v>
      </c>
      <c r="I211" s="115">
        <v>669</v>
      </c>
      <c r="J211" s="116">
        <f t="shared" si="17"/>
        <v>6.359300476947527E-2</v>
      </c>
      <c r="K211" s="115">
        <v>1100</v>
      </c>
      <c r="L211" s="116">
        <f t="shared" si="17"/>
        <v>0.64424514200298955</v>
      </c>
      <c r="M211" s="115"/>
      <c r="N211" s="116"/>
    </row>
    <row r="212" spans="2:15" x14ac:dyDescent="0.25">
      <c r="B212" s="114" t="s">
        <v>81</v>
      </c>
      <c r="C212" s="115">
        <v>0</v>
      </c>
      <c r="D212" s="116">
        <v>-1</v>
      </c>
      <c r="E212" s="115">
        <v>244</v>
      </c>
      <c r="F212" s="116" t="str">
        <f t="shared" si="17"/>
        <v>-</v>
      </c>
      <c r="G212" s="115">
        <v>536</v>
      </c>
      <c r="H212" s="116">
        <f t="shared" si="17"/>
        <v>1.1967213114754101</v>
      </c>
      <c r="I212" s="115">
        <v>895</v>
      </c>
      <c r="J212" s="116">
        <f t="shared" si="17"/>
        <v>0.66977611940298498</v>
      </c>
      <c r="K212" s="115">
        <v>1467</v>
      </c>
      <c r="L212" s="116">
        <f t="shared" si="17"/>
        <v>0.63910614525139664</v>
      </c>
      <c r="M212" s="115"/>
      <c r="N212" s="116"/>
    </row>
    <row r="213" spans="2:15" x14ac:dyDescent="0.25">
      <c r="B213" s="114" t="s">
        <v>83</v>
      </c>
      <c r="C213" s="115">
        <v>0</v>
      </c>
      <c r="D213" s="116">
        <v>-1</v>
      </c>
      <c r="E213" s="115">
        <v>538</v>
      </c>
      <c r="F213" s="116" t="str">
        <f t="shared" si="17"/>
        <v>-</v>
      </c>
      <c r="G213" s="115">
        <v>1018</v>
      </c>
      <c r="H213" s="116">
        <f t="shared" si="17"/>
        <v>0.89219330855018586</v>
      </c>
      <c r="I213" s="115">
        <v>1074</v>
      </c>
      <c r="J213" s="116">
        <f t="shared" si="17"/>
        <v>5.5009823182711193E-2</v>
      </c>
      <c r="K213" s="115">
        <v>2460</v>
      </c>
      <c r="L213" s="116">
        <f t="shared" si="17"/>
        <v>1.2905027932960893</v>
      </c>
      <c r="M213" s="115"/>
      <c r="N213" s="116"/>
    </row>
    <row r="214" spans="2:15" x14ac:dyDescent="0.25">
      <c r="B214" s="114" t="s">
        <v>85</v>
      </c>
      <c r="C214" s="115">
        <v>200</v>
      </c>
      <c r="D214" s="116">
        <v>-0.86586183769282354</v>
      </c>
      <c r="E214" s="115">
        <v>792</v>
      </c>
      <c r="F214" s="116">
        <f t="shared" si="17"/>
        <v>2.96</v>
      </c>
      <c r="G214" s="115">
        <v>1226</v>
      </c>
      <c r="H214" s="116">
        <f t="shared" si="17"/>
        <v>0.54797979797979801</v>
      </c>
      <c r="I214" s="115">
        <v>1726</v>
      </c>
      <c r="J214" s="116">
        <f t="shared" si="17"/>
        <v>0.40783034257748785</v>
      </c>
      <c r="K214" s="115">
        <v>2080</v>
      </c>
      <c r="L214" s="116">
        <f t="shared" si="17"/>
        <v>0.20509849362688293</v>
      </c>
      <c r="M214" s="115"/>
      <c r="N214" s="116"/>
    </row>
    <row r="215" spans="2:15" x14ac:dyDescent="0.25">
      <c r="B215" s="114" t="s">
        <v>87</v>
      </c>
      <c r="C215" s="115">
        <v>57</v>
      </c>
      <c r="D215" s="116">
        <v>-0.92549019607843142</v>
      </c>
      <c r="E215" s="115">
        <v>661</v>
      </c>
      <c r="F215" s="116">
        <f t="shared" si="17"/>
        <v>10.596491228070175</v>
      </c>
      <c r="G215" s="115">
        <v>829</v>
      </c>
      <c r="H215" s="116">
        <f t="shared" si="17"/>
        <v>0.25416036308623302</v>
      </c>
      <c r="I215" s="115">
        <v>1287</v>
      </c>
      <c r="J215" s="116">
        <f t="shared" si="17"/>
        <v>0.55247285886610364</v>
      </c>
      <c r="K215" s="115">
        <v>1667</v>
      </c>
      <c r="L215" s="116">
        <f t="shared" si="17"/>
        <v>0.29526029526029518</v>
      </c>
      <c r="M215" s="115"/>
      <c r="N215" s="116"/>
    </row>
    <row r="216" spans="2:15" x14ac:dyDescent="0.25">
      <c r="B216" s="114" t="s">
        <v>89</v>
      </c>
      <c r="C216" s="115">
        <v>48</v>
      </c>
      <c r="D216" s="116">
        <v>-0.93013100436681229</v>
      </c>
      <c r="E216" s="115">
        <v>1127</v>
      </c>
      <c r="F216" s="116">
        <f t="shared" si="17"/>
        <v>22.479166666666668</v>
      </c>
      <c r="G216" s="115">
        <v>890</v>
      </c>
      <c r="H216" s="116">
        <f t="shared" si="17"/>
        <v>-0.21029281277728484</v>
      </c>
      <c r="I216" s="115">
        <v>1412</v>
      </c>
      <c r="J216" s="116">
        <f t="shared" si="17"/>
        <v>0.58651685393258424</v>
      </c>
      <c r="K216" s="115">
        <v>2087</v>
      </c>
      <c r="L216" s="116">
        <f t="shared" si="17"/>
        <v>0.47804532577903691</v>
      </c>
      <c r="M216" s="115"/>
      <c r="N216" s="116"/>
    </row>
    <row r="217" spans="2:15" x14ac:dyDescent="0.25">
      <c r="B217" s="114" t="s">
        <v>91</v>
      </c>
      <c r="C217" s="115">
        <v>55</v>
      </c>
      <c r="D217" s="116">
        <v>-0.91157556270096463</v>
      </c>
      <c r="E217" s="115">
        <v>1200</v>
      </c>
      <c r="F217" s="116">
        <f t="shared" si="17"/>
        <v>20.818181818181817</v>
      </c>
      <c r="G217" s="115">
        <v>1031</v>
      </c>
      <c r="H217" s="116">
        <f t="shared" si="17"/>
        <v>-0.14083333333333337</v>
      </c>
      <c r="I217" s="115">
        <v>1290</v>
      </c>
      <c r="J217" s="116">
        <f t="shared" si="17"/>
        <v>0.25121241513094072</v>
      </c>
      <c r="K217" s="115">
        <v>1222</v>
      </c>
      <c r="L217" s="116">
        <f t="shared" si="17"/>
        <v>-5.271317829457367E-2</v>
      </c>
      <c r="M217" s="115"/>
      <c r="N217" s="116"/>
    </row>
    <row r="218" spans="2:15" x14ac:dyDescent="0.25">
      <c r="B218" s="114" t="s">
        <v>93</v>
      </c>
      <c r="C218" s="115">
        <v>69</v>
      </c>
      <c r="D218" s="116">
        <v>-0.88184931506849318</v>
      </c>
      <c r="E218" s="115">
        <v>1099</v>
      </c>
      <c r="F218" s="116">
        <f t="shared" si="17"/>
        <v>14.927536231884059</v>
      </c>
      <c r="G218" s="115">
        <v>923</v>
      </c>
      <c r="H218" s="116">
        <f t="shared" si="17"/>
        <v>-0.16014558689717928</v>
      </c>
      <c r="I218" s="115">
        <v>1375</v>
      </c>
      <c r="J218" s="116">
        <f t="shared" si="17"/>
        <v>0.48970747562296868</v>
      </c>
      <c r="K218" s="115">
        <v>1725</v>
      </c>
      <c r="L218" s="116">
        <f t="shared" si="17"/>
        <v>0.25454545454545463</v>
      </c>
      <c r="M218" s="115"/>
      <c r="N218" s="116"/>
    </row>
    <row r="219" spans="2:15" ht="15.75" x14ac:dyDescent="0.25">
      <c r="B219" s="117" t="s">
        <v>30</v>
      </c>
      <c r="C219" s="118">
        <v>2074</v>
      </c>
      <c r="D219" s="119">
        <v>-0.77689328743545616</v>
      </c>
      <c r="E219" s="118">
        <v>5996</v>
      </c>
      <c r="F219" s="119">
        <f t="shared" si="17"/>
        <v>1.8910318225650915</v>
      </c>
      <c r="G219" s="118">
        <v>10713</v>
      </c>
      <c r="H219" s="119">
        <f t="shared" si="17"/>
        <v>0.78669112741827885</v>
      </c>
      <c r="I219" s="118">
        <v>12911</v>
      </c>
      <c r="J219" s="119">
        <f t="shared" si="17"/>
        <v>0.20517128722113309</v>
      </c>
      <c r="K219" s="118">
        <v>18498</v>
      </c>
      <c r="L219" s="119">
        <f t="shared" si="17"/>
        <v>0.43273177910309046</v>
      </c>
      <c r="M219" s="118">
        <v>1405</v>
      </c>
      <c r="N219" s="119">
        <v>9.4236760124610575E-2</v>
      </c>
    </row>
    <row r="220" spans="2:15" ht="6" customHeight="1" x14ac:dyDescent="0.25"/>
    <row r="221" spans="2:15" x14ac:dyDescent="0.25">
      <c r="B221" s="105" t="s">
        <v>55</v>
      </c>
      <c r="C221" s="105"/>
      <c r="D221" s="105"/>
      <c r="E221" s="105"/>
      <c r="F221" s="105"/>
      <c r="G221" s="105"/>
      <c r="H221" s="105"/>
      <c r="I221" s="105"/>
      <c r="J221" s="105"/>
      <c r="K221" s="105"/>
      <c r="L221" s="105"/>
      <c r="M221" s="105"/>
      <c r="N221" s="105"/>
    </row>
    <row r="222" spans="2:15" x14ac:dyDescent="0.25">
      <c r="K222" s="120"/>
      <c r="M222" s="122"/>
    </row>
    <row r="224" spans="2:15" ht="48.75" customHeight="1" thickBot="1" x14ac:dyDescent="0.3">
      <c r="B224" s="265" t="s">
        <v>243</v>
      </c>
      <c r="C224" s="265"/>
      <c r="D224" s="265"/>
      <c r="E224" s="265"/>
      <c r="F224" s="265"/>
      <c r="G224" s="265"/>
      <c r="H224" s="265"/>
      <c r="I224" s="265"/>
      <c r="J224" s="265"/>
      <c r="K224" s="265"/>
      <c r="L224" s="265"/>
      <c r="M224" s="265"/>
      <c r="N224" s="265"/>
      <c r="O224" s="1" t="s">
        <v>124</v>
      </c>
    </row>
    <row r="225" spans="2:15" ht="10.5" customHeight="1" thickBot="1" x14ac:dyDescent="0.3">
      <c r="B225" s="106"/>
      <c r="C225" s="107"/>
      <c r="D225" s="106"/>
      <c r="E225" s="106"/>
      <c r="F225" s="106"/>
      <c r="G225" s="106"/>
      <c r="H225" s="106"/>
      <c r="I225" s="106"/>
      <c r="J225" s="106"/>
      <c r="K225" s="106"/>
      <c r="L225" s="106"/>
      <c r="M225" s="4"/>
      <c r="N225" s="4"/>
      <c r="O225" s="1" t="s">
        <v>125</v>
      </c>
    </row>
    <row r="226" spans="2:15" ht="22.5" thickTop="1" thickBot="1" x14ac:dyDescent="0.3">
      <c r="B226" s="121" t="str">
        <f>C226</f>
        <v>Bélgica</v>
      </c>
      <c r="C226" s="290" t="s">
        <v>119</v>
      </c>
      <c r="D226" s="291"/>
      <c r="E226" s="291"/>
      <c r="F226" s="291"/>
      <c r="G226" s="291"/>
      <c r="H226" s="291"/>
      <c r="I226" s="291"/>
      <c r="J226" s="291"/>
      <c r="K226" s="291"/>
      <c r="L226" s="291"/>
      <c r="M226" s="291"/>
      <c r="N226" s="291"/>
    </row>
    <row r="227" spans="2:15" ht="22.5" thickTop="1" thickBot="1" x14ac:dyDescent="0.3">
      <c r="B227" s="109"/>
      <c r="C227" s="292">
        <f>C$7</f>
        <v>2020</v>
      </c>
      <c r="D227" s="293"/>
      <c r="E227" s="292">
        <f>E$7</f>
        <v>2021</v>
      </c>
      <c r="F227" s="293"/>
      <c r="G227" s="292">
        <f>G$7</f>
        <v>2022</v>
      </c>
      <c r="H227" s="293"/>
      <c r="I227" s="292">
        <f>I$7</f>
        <v>2023</v>
      </c>
      <c r="J227" s="293"/>
      <c r="K227" s="292">
        <f>K$7</f>
        <v>2024</v>
      </c>
      <c r="L227" s="293"/>
      <c r="M227" s="292">
        <f>M$7</f>
        <v>2025</v>
      </c>
      <c r="N227" s="293"/>
    </row>
    <row r="228" spans="2:15" ht="16.5" thickTop="1" thickBot="1" x14ac:dyDescent="0.3">
      <c r="B228" s="85"/>
      <c r="C228" s="111" t="s">
        <v>69</v>
      </c>
      <c r="D228" s="112" t="str">
        <f>CONCATENATE("var ",RIGHT(C227,2),"/",RIGHT(C227-1,2))</f>
        <v>var 20/19</v>
      </c>
      <c r="E228" s="113" t="s">
        <v>69</v>
      </c>
      <c r="F228" s="112" t="str">
        <f>CONCATENATE("var ",RIGHT(E227,2),"/",RIGHT(E227-1,2))</f>
        <v>var 21/20</v>
      </c>
      <c r="G228" s="113" t="s">
        <v>69</v>
      </c>
      <c r="H228" s="112" t="str">
        <f>CONCATENATE("var ",RIGHT(G227,2),"/",RIGHT(G227-1,2))</f>
        <v>var 22/21</v>
      </c>
      <c r="I228" s="113" t="s">
        <v>69</v>
      </c>
      <c r="J228" s="112" t="str">
        <f>CONCATENATE("var ",RIGHT(I227,2),"/",RIGHT(I227-1,2))</f>
        <v>var 23/22</v>
      </c>
      <c r="K228" s="113" t="s">
        <v>69</v>
      </c>
      <c r="L228" s="112" t="str">
        <f>CONCATENATE("var ",RIGHT(K227,2),"/",RIGHT(K227-1,2))</f>
        <v>var 24/23</v>
      </c>
      <c r="M228" s="113" t="s">
        <v>69</v>
      </c>
      <c r="N228" s="112" t="str">
        <f>CONCATENATE("var ",RIGHT(M227,2),"/",RIGHT(M227-1,2))</f>
        <v>var 25/24</v>
      </c>
    </row>
    <row r="229" spans="2:15" x14ac:dyDescent="0.25">
      <c r="B229" s="114" t="s">
        <v>71</v>
      </c>
      <c r="C229" s="115">
        <v>433</v>
      </c>
      <c r="D229" s="116">
        <v>-0.26734348561759724</v>
      </c>
      <c r="E229" s="115">
        <v>79</v>
      </c>
      <c r="F229" s="116">
        <f t="shared" ref="F229:L241" si="19">IFERROR(E229/C229-1,"-")</f>
        <v>-0.81755196304849886</v>
      </c>
      <c r="G229" s="115">
        <v>563</v>
      </c>
      <c r="H229" s="116">
        <f t="shared" si="19"/>
        <v>6.1265822784810124</v>
      </c>
      <c r="I229" s="115">
        <v>577</v>
      </c>
      <c r="J229" s="116">
        <f t="shared" si="19"/>
        <v>2.4866785079928899E-2</v>
      </c>
      <c r="K229" s="115">
        <v>552</v>
      </c>
      <c r="L229" s="116">
        <f t="shared" si="19"/>
        <v>-4.3327556325823191E-2</v>
      </c>
      <c r="M229" s="115">
        <v>792</v>
      </c>
      <c r="N229" s="116">
        <f t="shared" ref="N229" si="20">IFERROR(M229/K229-1,"-")</f>
        <v>0.43478260869565211</v>
      </c>
    </row>
    <row r="230" spans="2:15" x14ac:dyDescent="0.25">
      <c r="B230" s="114" t="s">
        <v>73</v>
      </c>
      <c r="C230" s="115">
        <v>399</v>
      </c>
      <c r="D230" s="116">
        <v>7.2580645161290258E-2</v>
      </c>
      <c r="E230" s="115">
        <v>53</v>
      </c>
      <c r="F230" s="116">
        <f t="shared" si="19"/>
        <v>-0.86716791979949881</v>
      </c>
      <c r="G230" s="115">
        <v>604</v>
      </c>
      <c r="H230" s="116">
        <f t="shared" si="19"/>
        <v>10.39622641509434</v>
      </c>
      <c r="I230" s="115">
        <v>464</v>
      </c>
      <c r="J230" s="116">
        <f t="shared" si="19"/>
        <v>-0.23178807947019864</v>
      </c>
      <c r="K230" s="115">
        <v>653</v>
      </c>
      <c r="L230" s="116">
        <f t="shared" si="19"/>
        <v>0.40732758620689657</v>
      </c>
      <c r="M230" s="115"/>
      <c r="N230" s="116"/>
    </row>
    <row r="231" spans="2:15" x14ac:dyDescent="0.25">
      <c r="B231" s="114" t="s">
        <v>75</v>
      </c>
      <c r="C231" s="115">
        <v>255</v>
      </c>
      <c r="D231" s="116">
        <v>-0.48692152917505027</v>
      </c>
      <c r="E231" s="115">
        <v>27</v>
      </c>
      <c r="F231" s="116">
        <f t="shared" si="19"/>
        <v>-0.89411764705882357</v>
      </c>
      <c r="G231" s="115">
        <v>493</v>
      </c>
      <c r="H231" s="116">
        <f t="shared" si="19"/>
        <v>17.25925925925926</v>
      </c>
      <c r="I231" s="115">
        <v>655</v>
      </c>
      <c r="J231" s="116">
        <f t="shared" si="19"/>
        <v>0.3286004056795131</v>
      </c>
      <c r="K231" s="115">
        <v>624</v>
      </c>
      <c r="L231" s="116">
        <f t="shared" si="19"/>
        <v>-4.7328244274809195E-2</v>
      </c>
      <c r="M231" s="115"/>
      <c r="N231" s="116"/>
    </row>
    <row r="232" spans="2:15" x14ac:dyDescent="0.25">
      <c r="B232" s="114" t="s">
        <v>77</v>
      </c>
      <c r="C232" s="115">
        <v>0</v>
      </c>
      <c r="D232" s="116">
        <v>-1</v>
      </c>
      <c r="E232" s="115">
        <v>44</v>
      </c>
      <c r="F232" s="116" t="str">
        <f t="shared" si="19"/>
        <v>-</v>
      </c>
      <c r="G232" s="115">
        <v>523</v>
      </c>
      <c r="H232" s="116">
        <f t="shared" si="19"/>
        <v>10.886363636363637</v>
      </c>
      <c r="I232" s="115">
        <v>328</v>
      </c>
      <c r="J232" s="116">
        <f t="shared" si="19"/>
        <v>-0.37284894837476101</v>
      </c>
      <c r="K232" s="115">
        <v>505</v>
      </c>
      <c r="L232" s="116">
        <f t="shared" si="19"/>
        <v>0.53963414634146334</v>
      </c>
      <c r="M232" s="115"/>
      <c r="N232" s="116"/>
    </row>
    <row r="233" spans="2:15" x14ac:dyDescent="0.25">
      <c r="B233" s="114" t="s">
        <v>79</v>
      </c>
      <c r="C233" s="115">
        <v>0</v>
      </c>
      <c r="D233" s="116">
        <v>-1</v>
      </c>
      <c r="E233" s="115">
        <v>260</v>
      </c>
      <c r="F233" s="116" t="str">
        <f t="shared" si="19"/>
        <v>-</v>
      </c>
      <c r="G233" s="115">
        <v>318</v>
      </c>
      <c r="H233" s="116">
        <f t="shared" si="19"/>
        <v>0.22307692307692317</v>
      </c>
      <c r="I233" s="115">
        <v>353</v>
      </c>
      <c r="J233" s="116">
        <f t="shared" si="19"/>
        <v>0.11006289308176109</v>
      </c>
      <c r="K233" s="115">
        <v>606</v>
      </c>
      <c r="L233" s="116">
        <f t="shared" si="19"/>
        <v>0.71671388101983013</v>
      </c>
      <c r="M233" s="115"/>
      <c r="N233" s="116"/>
    </row>
    <row r="234" spans="2:15" x14ac:dyDescent="0.25">
      <c r="B234" s="114" t="s">
        <v>81</v>
      </c>
      <c r="C234" s="115">
        <v>0</v>
      </c>
      <c r="D234" s="116">
        <v>-1</v>
      </c>
      <c r="E234" s="115">
        <v>260</v>
      </c>
      <c r="F234" s="116" t="str">
        <f t="shared" si="19"/>
        <v>-</v>
      </c>
      <c r="G234" s="115">
        <v>399</v>
      </c>
      <c r="H234" s="116">
        <f t="shared" si="19"/>
        <v>0.53461538461538471</v>
      </c>
      <c r="I234" s="115">
        <v>397</v>
      </c>
      <c r="J234" s="116">
        <f t="shared" si="19"/>
        <v>-5.0125313283208017E-3</v>
      </c>
      <c r="K234" s="115">
        <v>702</v>
      </c>
      <c r="L234" s="116">
        <f t="shared" si="19"/>
        <v>0.76826196473551644</v>
      </c>
      <c r="M234" s="115"/>
      <c r="N234" s="116"/>
    </row>
    <row r="235" spans="2:15" x14ac:dyDescent="0.25">
      <c r="B235" s="114" t="s">
        <v>83</v>
      </c>
      <c r="C235" s="115">
        <v>0</v>
      </c>
      <c r="D235" s="116">
        <v>-1</v>
      </c>
      <c r="E235" s="115">
        <v>398</v>
      </c>
      <c r="F235" s="116" t="str">
        <f t="shared" si="19"/>
        <v>-</v>
      </c>
      <c r="G235" s="115">
        <v>504</v>
      </c>
      <c r="H235" s="116">
        <f t="shared" si="19"/>
        <v>0.26633165829145722</v>
      </c>
      <c r="I235" s="115">
        <v>799</v>
      </c>
      <c r="J235" s="116">
        <f t="shared" si="19"/>
        <v>0.58531746031746024</v>
      </c>
      <c r="K235" s="115">
        <v>1214</v>
      </c>
      <c r="L235" s="116">
        <f t="shared" si="19"/>
        <v>0.51939924906132662</v>
      </c>
      <c r="M235" s="115"/>
      <c r="N235" s="116"/>
    </row>
    <row r="236" spans="2:15" x14ac:dyDescent="0.25">
      <c r="B236" s="114" t="s">
        <v>85</v>
      </c>
      <c r="C236" s="115">
        <v>240</v>
      </c>
      <c r="D236" s="116">
        <v>-0.63855421686746983</v>
      </c>
      <c r="E236" s="115">
        <v>605</v>
      </c>
      <c r="F236" s="116">
        <f t="shared" si="19"/>
        <v>1.5208333333333335</v>
      </c>
      <c r="G236" s="115">
        <v>374</v>
      </c>
      <c r="H236" s="116">
        <f t="shared" si="19"/>
        <v>-0.38181818181818183</v>
      </c>
      <c r="I236" s="115">
        <v>830</v>
      </c>
      <c r="J236" s="116">
        <f t="shared" si="19"/>
        <v>1.2192513368983957</v>
      </c>
      <c r="K236" s="115">
        <v>796</v>
      </c>
      <c r="L236" s="116">
        <f t="shared" si="19"/>
        <v>-4.096385542168679E-2</v>
      </c>
      <c r="M236" s="115"/>
      <c r="N236" s="116"/>
    </row>
    <row r="237" spans="2:15" x14ac:dyDescent="0.25">
      <c r="B237" s="114" t="s">
        <v>87</v>
      </c>
      <c r="C237" s="115">
        <v>446</v>
      </c>
      <c r="D237" s="116">
        <v>-0.17100371747211895</v>
      </c>
      <c r="E237" s="115">
        <v>807</v>
      </c>
      <c r="F237" s="116">
        <f t="shared" si="19"/>
        <v>0.8094170403587444</v>
      </c>
      <c r="G237" s="115">
        <v>477</v>
      </c>
      <c r="H237" s="116">
        <f t="shared" si="19"/>
        <v>-0.40892193308550184</v>
      </c>
      <c r="I237" s="115">
        <v>664</v>
      </c>
      <c r="J237" s="116">
        <f t="shared" si="19"/>
        <v>0.39203354297693926</v>
      </c>
      <c r="K237" s="115">
        <v>820</v>
      </c>
      <c r="L237" s="116">
        <f t="shared" si="19"/>
        <v>0.23493975903614461</v>
      </c>
      <c r="M237" s="115"/>
      <c r="N237" s="116"/>
    </row>
    <row r="238" spans="2:15" x14ac:dyDescent="0.25">
      <c r="B238" s="114" t="s">
        <v>89</v>
      </c>
      <c r="C238" s="115">
        <v>129</v>
      </c>
      <c r="D238" s="116">
        <v>-0.67091836734693877</v>
      </c>
      <c r="E238" s="115">
        <v>964</v>
      </c>
      <c r="F238" s="116">
        <f t="shared" si="19"/>
        <v>6.4728682170542635</v>
      </c>
      <c r="G238" s="115">
        <v>428</v>
      </c>
      <c r="H238" s="116">
        <f t="shared" si="19"/>
        <v>-0.55601659751037347</v>
      </c>
      <c r="I238" s="115">
        <v>701</v>
      </c>
      <c r="J238" s="116">
        <f t="shared" si="19"/>
        <v>0.63785046728971961</v>
      </c>
      <c r="K238" s="115">
        <v>870</v>
      </c>
      <c r="L238" s="116">
        <f t="shared" si="19"/>
        <v>0.2410841654778888</v>
      </c>
      <c r="M238" s="115"/>
      <c r="N238" s="116"/>
    </row>
    <row r="239" spans="2:15" x14ac:dyDescent="0.25">
      <c r="B239" s="114" t="s">
        <v>91</v>
      </c>
      <c r="C239" s="115">
        <v>38</v>
      </c>
      <c r="D239" s="116">
        <v>-0.91880341880341876</v>
      </c>
      <c r="E239" s="115">
        <v>1017</v>
      </c>
      <c r="F239" s="116">
        <f t="shared" si="19"/>
        <v>25.763157894736842</v>
      </c>
      <c r="G239" s="115">
        <v>514</v>
      </c>
      <c r="H239" s="116">
        <f t="shared" si="19"/>
        <v>-0.49459193706981319</v>
      </c>
      <c r="I239" s="115">
        <v>587</v>
      </c>
      <c r="J239" s="116">
        <f t="shared" si="19"/>
        <v>0.14202334630350189</v>
      </c>
      <c r="K239" s="115">
        <v>724</v>
      </c>
      <c r="L239" s="116">
        <f t="shared" si="19"/>
        <v>0.23339011925042596</v>
      </c>
      <c r="M239" s="115"/>
      <c r="N239" s="116"/>
    </row>
    <row r="240" spans="2:15" x14ac:dyDescent="0.25">
      <c r="B240" s="114" t="s">
        <v>93</v>
      </c>
      <c r="C240" s="115">
        <v>101</v>
      </c>
      <c r="D240" s="116">
        <v>-0.76291079812206575</v>
      </c>
      <c r="E240" s="115">
        <v>687</v>
      </c>
      <c r="F240" s="116">
        <f t="shared" si="19"/>
        <v>5.8019801980198018</v>
      </c>
      <c r="G240" s="115">
        <v>675</v>
      </c>
      <c r="H240" s="116">
        <f t="shared" si="19"/>
        <v>-1.7467248908296984E-2</v>
      </c>
      <c r="I240" s="115">
        <v>613</v>
      </c>
      <c r="J240" s="116">
        <f t="shared" si="19"/>
        <v>-9.1851851851851851E-2</v>
      </c>
      <c r="K240" s="115">
        <v>830</v>
      </c>
      <c r="L240" s="116">
        <f t="shared" si="19"/>
        <v>0.35399673735725945</v>
      </c>
      <c r="M240" s="115"/>
      <c r="N240" s="116"/>
    </row>
    <row r="241" spans="2:15" ht="15.75" x14ac:dyDescent="0.25">
      <c r="B241" s="117" t="s">
        <v>30</v>
      </c>
      <c r="C241" s="118">
        <v>2082</v>
      </c>
      <c r="D241" s="119">
        <v>-0.6668266922707633</v>
      </c>
      <c r="E241" s="118">
        <v>5201</v>
      </c>
      <c r="F241" s="119">
        <f t="shared" si="19"/>
        <v>1.4980787704130645</v>
      </c>
      <c r="G241" s="118">
        <v>5872</v>
      </c>
      <c r="H241" s="119">
        <f t="shared" si="19"/>
        <v>0.12901365122091901</v>
      </c>
      <c r="I241" s="118">
        <v>6968</v>
      </c>
      <c r="J241" s="119">
        <f t="shared" si="19"/>
        <v>0.18664850136239775</v>
      </c>
      <c r="K241" s="118">
        <v>8896</v>
      </c>
      <c r="L241" s="119">
        <f t="shared" si="19"/>
        <v>0.27669345579793347</v>
      </c>
      <c r="M241" s="118">
        <v>792</v>
      </c>
      <c r="N241" s="119">
        <v>0.43478260869565211</v>
      </c>
    </row>
    <row r="242" spans="2:15" ht="6" customHeight="1" x14ac:dyDescent="0.25"/>
    <row r="243" spans="2:15" x14ac:dyDescent="0.25">
      <c r="B243" s="105" t="s">
        <v>55</v>
      </c>
      <c r="C243" s="105"/>
      <c r="D243" s="105"/>
      <c r="E243" s="105"/>
      <c r="F243" s="105"/>
      <c r="G243" s="105"/>
      <c r="H243" s="105"/>
      <c r="I243" s="105"/>
      <c r="J243" s="105"/>
      <c r="K243" s="105"/>
      <c r="L243" s="105"/>
      <c r="M243" s="105"/>
      <c r="N243" s="105"/>
    </row>
    <row r="244" spans="2:15" x14ac:dyDescent="0.25">
      <c r="C244" s="120"/>
      <c r="K244" s="120"/>
      <c r="M244" s="105"/>
    </row>
    <row r="246" spans="2:15" ht="48.75" customHeight="1" thickBot="1" x14ac:dyDescent="0.3">
      <c r="B246" s="265" t="s">
        <v>245</v>
      </c>
      <c r="C246" s="265"/>
      <c r="D246" s="265"/>
      <c r="E246" s="265"/>
      <c r="F246" s="265"/>
      <c r="G246" s="265"/>
      <c r="H246" s="265"/>
      <c r="I246" s="265"/>
      <c r="J246" s="265"/>
      <c r="K246" s="265"/>
      <c r="L246" s="265"/>
      <c r="M246" s="265"/>
      <c r="N246" s="265"/>
      <c r="O246" s="1" t="s">
        <v>126</v>
      </c>
    </row>
    <row r="247" spans="2:15" ht="10.5" customHeight="1" thickBot="1" x14ac:dyDescent="0.3">
      <c r="B247" s="106"/>
      <c r="C247" s="107"/>
      <c r="D247" s="106"/>
      <c r="E247" s="106"/>
      <c r="F247" s="106"/>
      <c r="G247" s="106"/>
      <c r="H247" s="106"/>
      <c r="I247" s="106"/>
      <c r="J247" s="106"/>
      <c r="K247" s="106"/>
      <c r="L247" s="106"/>
      <c r="M247" s="4"/>
      <c r="N247" s="4"/>
      <c r="O247" s="1" t="s">
        <v>127</v>
      </c>
    </row>
    <row r="248" spans="2:15" ht="22.5" thickTop="1" thickBot="1" x14ac:dyDescent="0.3">
      <c r="B248" s="121" t="str">
        <f>C248</f>
        <v>Dinamarca</v>
      </c>
      <c r="C248" s="290" t="s">
        <v>128</v>
      </c>
      <c r="D248" s="291"/>
      <c r="E248" s="291"/>
      <c r="F248" s="291"/>
      <c r="G248" s="291"/>
      <c r="H248" s="291"/>
      <c r="I248" s="291"/>
      <c r="J248" s="291"/>
      <c r="K248" s="291"/>
      <c r="L248" s="291"/>
      <c r="M248" s="291"/>
      <c r="N248" s="291"/>
    </row>
    <row r="249" spans="2:15" ht="22.5" thickTop="1" thickBot="1" x14ac:dyDescent="0.3">
      <c r="B249" s="109"/>
      <c r="C249" s="292">
        <f>C$7</f>
        <v>2020</v>
      </c>
      <c r="D249" s="293"/>
      <c r="E249" s="292">
        <f>E$7</f>
        <v>2021</v>
      </c>
      <c r="F249" s="293"/>
      <c r="G249" s="292">
        <f>G$7</f>
        <v>2022</v>
      </c>
      <c r="H249" s="293"/>
      <c r="I249" s="292">
        <f>I$7</f>
        <v>2023</v>
      </c>
      <c r="J249" s="293"/>
      <c r="K249" s="292">
        <f>K$7</f>
        <v>2024</v>
      </c>
      <c r="L249" s="293"/>
      <c r="M249" s="292">
        <f>M$7</f>
        <v>2025</v>
      </c>
      <c r="N249" s="293"/>
    </row>
    <row r="250" spans="2:15" ht="16.5" thickTop="1" thickBot="1" x14ac:dyDescent="0.3">
      <c r="B250" s="85"/>
      <c r="C250" s="111" t="s">
        <v>69</v>
      </c>
      <c r="D250" s="112" t="str">
        <f>CONCATENATE("var ",RIGHT(C249,2),"/",RIGHT(C249-1,2))</f>
        <v>var 20/19</v>
      </c>
      <c r="E250" s="113" t="s">
        <v>69</v>
      </c>
      <c r="F250" s="112" t="str">
        <f>CONCATENATE("var ",RIGHT(E249,2),"/",RIGHT(E249-1,2))</f>
        <v>var 21/20</v>
      </c>
      <c r="G250" s="113" t="s">
        <v>69</v>
      </c>
      <c r="H250" s="112" t="str">
        <f>CONCATENATE("var ",RIGHT(G249,2),"/",RIGHT(G249-1,2))</f>
        <v>var 22/21</v>
      </c>
      <c r="I250" s="113" t="s">
        <v>69</v>
      </c>
      <c r="J250" s="112" t="str">
        <f>CONCATENATE("var ",RIGHT(I249,2),"/",RIGHT(I249-1,2))</f>
        <v>var 23/22</v>
      </c>
      <c r="K250" s="113" t="s">
        <v>69</v>
      </c>
      <c r="L250" s="112" t="str">
        <f>CONCATENATE("var ",RIGHT(K249,2),"/",RIGHT(K249-1,2))</f>
        <v>var 24/23</v>
      </c>
      <c r="M250" s="113" t="s">
        <v>69</v>
      </c>
      <c r="N250" s="112" t="str">
        <f>CONCATENATE("var ",RIGHT(M249,2),"/",RIGHT(M249-1,2))</f>
        <v>var 25/24</v>
      </c>
    </row>
    <row r="251" spans="2:15" x14ac:dyDescent="0.25">
      <c r="B251" s="114" t="s">
        <v>71</v>
      </c>
      <c r="C251" s="115">
        <v>1251</v>
      </c>
      <c r="D251" s="116">
        <v>-0.13305613305613306</v>
      </c>
      <c r="E251" s="115">
        <v>13</v>
      </c>
      <c r="F251" s="116">
        <f t="shared" ref="F251:L263" si="21">IFERROR(E251/C251-1,"-")</f>
        <v>-0.98960831334932053</v>
      </c>
      <c r="G251" s="115">
        <v>889</v>
      </c>
      <c r="H251" s="116">
        <f t="shared" si="21"/>
        <v>67.384615384615387</v>
      </c>
      <c r="I251" s="115">
        <v>1686</v>
      </c>
      <c r="J251" s="116">
        <f t="shared" si="21"/>
        <v>0.89651293588301462</v>
      </c>
      <c r="K251" s="115">
        <v>1354</v>
      </c>
      <c r="L251" s="116">
        <f t="shared" si="21"/>
        <v>-0.1969157769869514</v>
      </c>
      <c r="M251" s="115">
        <v>1213</v>
      </c>
      <c r="N251" s="116">
        <f t="shared" ref="N251" si="22">IFERROR(M251/K251-1,"-")</f>
        <v>-0.104135893648449</v>
      </c>
    </row>
    <row r="252" spans="2:15" x14ac:dyDescent="0.25">
      <c r="B252" s="114" t="s">
        <v>73</v>
      </c>
      <c r="C252" s="115">
        <v>1180</v>
      </c>
      <c r="D252" s="116">
        <v>0.11006585136406399</v>
      </c>
      <c r="E252" s="115">
        <v>17</v>
      </c>
      <c r="F252" s="116">
        <f t="shared" si="21"/>
        <v>-0.985593220338983</v>
      </c>
      <c r="G252" s="115">
        <v>888</v>
      </c>
      <c r="H252" s="116">
        <f t="shared" si="21"/>
        <v>51.235294117647058</v>
      </c>
      <c r="I252" s="115">
        <v>1463</v>
      </c>
      <c r="J252" s="116">
        <f t="shared" si="21"/>
        <v>0.64752252252252251</v>
      </c>
      <c r="K252" s="115">
        <v>1259</v>
      </c>
      <c r="L252" s="116">
        <f t="shared" si="21"/>
        <v>-0.13943950786056047</v>
      </c>
      <c r="M252" s="115"/>
      <c r="N252" s="116"/>
    </row>
    <row r="253" spans="2:15" x14ac:dyDescent="0.25">
      <c r="B253" s="114" t="s">
        <v>75</v>
      </c>
      <c r="C253" s="115">
        <v>571</v>
      </c>
      <c r="D253" s="116">
        <v>-0.61261872455902311</v>
      </c>
      <c r="E253" s="115">
        <v>14</v>
      </c>
      <c r="F253" s="116">
        <f t="shared" si="21"/>
        <v>-0.97548161120840626</v>
      </c>
      <c r="G253" s="115">
        <v>943</v>
      </c>
      <c r="H253" s="116">
        <f t="shared" si="21"/>
        <v>66.357142857142861</v>
      </c>
      <c r="I253" s="115">
        <v>1196</v>
      </c>
      <c r="J253" s="116">
        <f t="shared" si="21"/>
        <v>0.26829268292682928</v>
      </c>
      <c r="K253" s="115">
        <v>1166</v>
      </c>
      <c r="L253" s="116">
        <f t="shared" si="21"/>
        <v>-2.5083612040133763E-2</v>
      </c>
      <c r="M253" s="115"/>
      <c r="N253" s="116"/>
    </row>
    <row r="254" spans="2:15" x14ac:dyDescent="0.25">
      <c r="B254" s="114" t="s">
        <v>77</v>
      </c>
      <c r="C254" s="115">
        <v>0</v>
      </c>
      <c r="D254" s="116">
        <v>-1</v>
      </c>
      <c r="E254" s="115">
        <v>14</v>
      </c>
      <c r="F254" s="116" t="str">
        <f t="shared" si="21"/>
        <v>-</v>
      </c>
      <c r="G254" s="115">
        <v>477</v>
      </c>
      <c r="H254" s="116">
        <f t="shared" si="21"/>
        <v>33.071428571428569</v>
      </c>
      <c r="I254" s="115">
        <v>518</v>
      </c>
      <c r="J254" s="116">
        <f t="shared" si="21"/>
        <v>8.595387840670865E-2</v>
      </c>
      <c r="K254" s="115">
        <v>300</v>
      </c>
      <c r="L254" s="116">
        <f t="shared" si="21"/>
        <v>-0.4208494208494209</v>
      </c>
      <c r="M254" s="115"/>
      <c r="N254" s="116"/>
    </row>
    <row r="255" spans="2:15" x14ac:dyDescent="0.25">
      <c r="B255" s="114" t="s">
        <v>79</v>
      </c>
      <c r="C255" s="115">
        <v>0</v>
      </c>
      <c r="D255" s="116">
        <v>-1</v>
      </c>
      <c r="E255" s="115">
        <v>33</v>
      </c>
      <c r="F255" s="116" t="str">
        <f t="shared" si="21"/>
        <v>-</v>
      </c>
      <c r="G255" s="115">
        <v>77</v>
      </c>
      <c r="H255" s="116">
        <f t="shared" si="21"/>
        <v>1.3333333333333335</v>
      </c>
      <c r="I255" s="115">
        <v>201</v>
      </c>
      <c r="J255" s="116">
        <f t="shared" si="21"/>
        <v>1.6103896103896105</v>
      </c>
      <c r="K255" s="115">
        <v>111</v>
      </c>
      <c r="L255" s="116">
        <f t="shared" si="21"/>
        <v>-0.44776119402985071</v>
      </c>
      <c r="M255" s="115"/>
      <c r="N255" s="116"/>
    </row>
    <row r="256" spans="2:15" x14ac:dyDescent="0.25">
      <c r="B256" s="114" t="s">
        <v>81</v>
      </c>
      <c r="C256" s="115">
        <v>0</v>
      </c>
      <c r="D256" s="116">
        <v>-1</v>
      </c>
      <c r="E256" s="115">
        <v>21</v>
      </c>
      <c r="F256" s="116" t="str">
        <f t="shared" si="21"/>
        <v>-</v>
      </c>
      <c r="G256" s="115">
        <v>102</v>
      </c>
      <c r="H256" s="116">
        <f t="shared" si="21"/>
        <v>3.8571428571428568</v>
      </c>
      <c r="I256" s="115">
        <v>160</v>
      </c>
      <c r="J256" s="116">
        <f t="shared" si="21"/>
        <v>0.56862745098039214</v>
      </c>
      <c r="K256" s="115">
        <v>128</v>
      </c>
      <c r="L256" s="116">
        <f t="shared" si="21"/>
        <v>-0.19999999999999996</v>
      </c>
      <c r="M256" s="115"/>
      <c r="N256" s="116"/>
    </row>
    <row r="257" spans="2:15" x14ac:dyDescent="0.25">
      <c r="B257" s="114" t="s">
        <v>83</v>
      </c>
      <c r="C257" s="115">
        <v>0</v>
      </c>
      <c r="D257" s="116">
        <v>-1</v>
      </c>
      <c r="E257" s="115">
        <v>138</v>
      </c>
      <c r="F257" s="116" t="str">
        <f t="shared" si="21"/>
        <v>-</v>
      </c>
      <c r="G257" s="115">
        <v>397</v>
      </c>
      <c r="H257" s="116">
        <f t="shared" si="21"/>
        <v>1.8768115942028984</v>
      </c>
      <c r="I257" s="115">
        <v>140</v>
      </c>
      <c r="J257" s="116">
        <f t="shared" si="21"/>
        <v>-0.64735516372795976</v>
      </c>
      <c r="K257" s="115">
        <v>219</v>
      </c>
      <c r="L257" s="116">
        <f t="shared" si="21"/>
        <v>0.56428571428571428</v>
      </c>
      <c r="M257" s="115"/>
      <c r="N257" s="116"/>
    </row>
    <row r="258" spans="2:15" x14ac:dyDescent="0.25">
      <c r="B258" s="114" t="s">
        <v>85</v>
      </c>
      <c r="C258" s="115">
        <v>2</v>
      </c>
      <c r="D258" s="116">
        <v>-0.9920948616600791</v>
      </c>
      <c r="E258" s="115">
        <v>123</v>
      </c>
      <c r="F258" s="116">
        <f t="shared" si="21"/>
        <v>60.5</v>
      </c>
      <c r="G258" s="115">
        <v>242</v>
      </c>
      <c r="H258" s="116">
        <f t="shared" si="21"/>
        <v>0.96747967479674801</v>
      </c>
      <c r="I258" s="115">
        <v>157</v>
      </c>
      <c r="J258" s="116">
        <f t="shared" si="21"/>
        <v>-0.35123966942148765</v>
      </c>
      <c r="K258" s="115">
        <v>156</v>
      </c>
      <c r="L258" s="116">
        <f t="shared" si="21"/>
        <v>-6.3694267515923553E-3</v>
      </c>
      <c r="M258" s="115"/>
      <c r="N258" s="116"/>
    </row>
    <row r="259" spans="2:15" x14ac:dyDescent="0.25">
      <c r="B259" s="114" t="s">
        <v>87</v>
      </c>
      <c r="C259" s="115">
        <v>20</v>
      </c>
      <c r="D259" s="116">
        <v>-0.91561181434599159</v>
      </c>
      <c r="E259" s="115">
        <v>111</v>
      </c>
      <c r="F259" s="116">
        <f t="shared" si="21"/>
        <v>4.55</v>
      </c>
      <c r="G259" s="115">
        <v>238</v>
      </c>
      <c r="H259" s="116">
        <f t="shared" si="21"/>
        <v>1.144144144144144</v>
      </c>
      <c r="I259" s="115">
        <v>125</v>
      </c>
      <c r="J259" s="116">
        <f t="shared" si="21"/>
        <v>-0.47478991596638653</v>
      </c>
      <c r="K259" s="115">
        <v>164</v>
      </c>
      <c r="L259" s="116">
        <f t="shared" si="21"/>
        <v>0.31200000000000006</v>
      </c>
      <c r="M259" s="115"/>
      <c r="N259" s="116"/>
    </row>
    <row r="260" spans="2:15" x14ac:dyDescent="0.25">
      <c r="B260" s="114" t="s">
        <v>89</v>
      </c>
      <c r="C260" s="115">
        <v>5</v>
      </c>
      <c r="D260" s="116">
        <v>-0.99348109517601046</v>
      </c>
      <c r="E260" s="115">
        <v>465</v>
      </c>
      <c r="F260" s="116">
        <f t="shared" si="21"/>
        <v>92</v>
      </c>
      <c r="G260" s="115">
        <v>871</v>
      </c>
      <c r="H260" s="116">
        <f t="shared" si="21"/>
        <v>0.87311827956989241</v>
      </c>
      <c r="I260" s="115">
        <v>669</v>
      </c>
      <c r="J260" s="116">
        <f t="shared" si="21"/>
        <v>-0.23191733639494838</v>
      </c>
      <c r="K260" s="115">
        <v>649</v>
      </c>
      <c r="L260" s="116">
        <f t="shared" si="21"/>
        <v>-2.9895366218236186E-2</v>
      </c>
      <c r="M260" s="115"/>
      <c r="N260" s="116"/>
    </row>
    <row r="261" spans="2:15" x14ac:dyDescent="0.25">
      <c r="B261" s="114" t="s">
        <v>91</v>
      </c>
      <c r="C261" s="115">
        <v>3</v>
      </c>
      <c r="D261" s="116">
        <v>-0.99748533109807214</v>
      </c>
      <c r="E261" s="115">
        <v>1028</v>
      </c>
      <c r="F261" s="116">
        <f t="shared" si="21"/>
        <v>341.66666666666669</v>
      </c>
      <c r="G261" s="115">
        <v>1448</v>
      </c>
      <c r="H261" s="116">
        <f t="shared" si="21"/>
        <v>0.4085603112840468</v>
      </c>
      <c r="I261" s="115">
        <v>1197</v>
      </c>
      <c r="J261" s="116">
        <f t="shared" si="21"/>
        <v>-0.1733425414364641</v>
      </c>
      <c r="K261" s="115">
        <v>1072</v>
      </c>
      <c r="L261" s="116">
        <f t="shared" si="21"/>
        <v>-0.10442773600668342</v>
      </c>
      <c r="M261" s="115"/>
      <c r="N261" s="116"/>
    </row>
    <row r="262" spans="2:15" x14ac:dyDescent="0.25">
      <c r="B262" s="114" t="s">
        <v>93</v>
      </c>
      <c r="C262" s="115">
        <v>12</v>
      </c>
      <c r="D262" s="116">
        <v>-0.98825831702544031</v>
      </c>
      <c r="E262" s="115">
        <v>598</v>
      </c>
      <c r="F262" s="116">
        <f t="shared" si="21"/>
        <v>48.833333333333336</v>
      </c>
      <c r="G262" s="115">
        <v>1009</v>
      </c>
      <c r="H262" s="116">
        <f t="shared" si="21"/>
        <v>0.68729096989966565</v>
      </c>
      <c r="I262" s="115">
        <v>1012</v>
      </c>
      <c r="J262" s="116">
        <f t="shared" si="21"/>
        <v>2.9732408325073845E-3</v>
      </c>
      <c r="K262" s="115">
        <v>805</v>
      </c>
      <c r="L262" s="116">
        <f t="shared" si="21"/>
        <v>-0.20454545454545459</v>
      </c>
      <c r="M262" s="115"/>
      <c r="N262" s="116"/>
    </row>
    <row r="263" spans="2:15" ht="15.75" x14ac:dyDescent="0.25">
      <c r="B263" s="117" t="s">
        <v>30</v>
      </c>
      <c r="C263" s="118">
        <v>3046</v>
      </c>
      <c r="D263" s="119">
        <v>-0.64248826291079819</v>
      </c>
      <c r="E263" s="118">
        <v>2575</v>
      </c>
      <c r="F263" s="119">
        <f t="shared" si="21"/>
        <v>-0.15462902166776105</v>
      </c>
      <c r="G263" s="118">
        <v>7581</v>
      </c>
      <c r="H263" s="119">
        <f t="shared" si="21"/>
        <v>1.9440776699029128</v>
      </c>
      <c r="I263" s="118">
        <v>8524</v>
      </c>
      <c r="J263" s="119">
        <f t="shared" si="21"/>
        <v>0.12438992217385558</v>
      </c>
      <c r="K263" s="118">
        <v>7383</v>
      </c>
      <c r="L263" s="119">
        <f t="shared" si="21"/>
        <v>-0.13385734396996718</v>
      </c>
      <c r="M263" s="118">
        <v>1213</v>
      </c>
      <c r="N263" s="119">
        <v>-0.104135893648449</v>
      </c>
    </row>
    <row r="264" spans="2:15" ht="6" customHeight="1" x14ac:dyDescent="0.25"/>
    <row r="265" spans="2:15" x14ac:dyDescent="0.25">
      <c r="B265" s="105" t="s">
        <v>55</v>
      </c>
      <c r="C265" s="105"/>
      <c r="D265" s="105"/>
      <c r="E265" s="105"/>
      <c r="F265" s="105"/>
      <c r="G265" s="105"/>
      <c r="H265" s="105"/>
      <c r="I265" s="105"/>
      <c r="J265" s="105"/>
      <c r="K265" s="105"/>
      <c r="L265" s="105"/>
      <c r="M265" s="105"/>
      <c r="N265" s="105"/>
    </row>
    <row r="266" spans="2:15" x14ac:dyDescent="0.25">
      <c r="K266" s="120"/>
    </row>
    <row r="268" spans="2:15" ht="48.75" customHeight="1" thickBot="1" x14ac:dyDescent="0.3">
      <c r="B268" s="265" t="s">
        <v>246</v>
      </c>
      <c r="C268" s="265"/>
      <c r="D268" s="265"/>
      <c r="E268" s="265"/>
      <c r="F268" s="265"/>
      <c r="G268" s="265"/>
      <c r="H268" s="265"/>
      <c r="I268" s="265"/>
      <c r="J268" s="265"/>
      <c r="K268" s="265"/>
      <c r="L268" s="265"/>
      <c r="M268" s="265"/>
      <c r="N268" s="265"/>
      <c r="O268" s="1" t="s">
        <v>129</v>
      </c>
    </row>
    <row r="269" spans="2:15" ht="10.5" customHeight="1" thickBot="1" x14ac:dyDescent="0.3">
      <c r="B269" s="106"/>
      <c r="C269" s="107"/>
      <c r="D269" s="106"/>
      <c r="E269" s="106"/>
      <c r="F269" s="106"/>
      <c r="G269" s="106"/>
      <c r="H269" s="106"/>
      <c r="I269" s="106"/>
      <c r="J269" s="106"/>
      <c r="K269" s="106"/>
      <c r="L269" s="106"/>
      <c r="M269" s="4"/>
      <c r="N269" s="4"/>
      <c r="O269" s="1" t="s">
        <v>130</v>
      </c>
    </row>
    <row r="270" spans="2:15" ht="22.5" thickTop="1" thickBot="1" x14ac:dyDescent="0.3">
      <c r="B270" s="121" t="str">
        <f>C270</f>
        <v>Suecia</v>
      </c>
      <c r="C270" s="290" t="s">
        <v>131</v>
      </c>
      <c r="D270" s="291"/>
      <c r="E270" s="291"/>
      <c r="F270" s="291"/>
      <c r="G270" s="291"/>
      <c r="H270" s="291"/>
      <c r="I270" s="291"/>
      <c r="J270" s="291"/>
      <c r="K270" s="291"/>
      <c r="L270" s="291"/>
      <c r="M270" s="291"/>
      <c r="N270" s="291"/>
    </row>
    <row r="271" spans="2:15" ht="22.5" thickTop="1" thickBot="1" x14ac:dyDescent="0.3">
      <c r="B271" s="109"/>
      <c r="C271" s="292">
        <f>C$7</f>
        <v>2020</v>
      </c>
      <c r="D271" s="293"/>
      <c r="E271" s="292">
        <f>E$7</f>
        <v>2021</v>
      </c>
      <c r="F271" s="293"/>
      <c r="G271" s="292">
        <f>G$7</f>
        <v>2022</v>
      </c>
      <c r="H271" s="293"/>
      <c r="I271" s="292">
        <f>I$7</f>
        <v>2023</v>
      </c>
      <c r="J271" s="293"/>
      <c r="K271" s="292">
        <f>K$7</f>
        <v>2024</v>
      </c>
      <c r="L271" s="293"/>
      <c r="M271" s="292">
        <f>M$7</f>
        <v>2025</v>
      </c>
      <c r="N271" s="293"/>
    </row>
    <row r="272" spans="2:15" ht="16.5" thickTop="1" thickBot="1" x14ac:dyDescent="0.3">
      <c r="B272" s="85"/>
      <c r="C272" s="111" t="s">
        <v>69</v>
      </c>
      <c r="D272" s="112" t="str">
        <f>CONCATENATE("var ",RIGHT(C271,2),"/",RIGHT(C271-1,2))</f>
        <v>var 20/19</v>
      </c>
      <c r="E272" s="113" t="s">
        <v>69</v>
      </c>
      <c r="F272" s="112" t="str">
        <f>CONCATENATE("var ",RIGHT(E271,2),"/",RIGHT(E271-1,2))</f>
        <v>var 21/20</v>
      </c>
      <c r="G272" s="113" t="s">
        <v>69</v>
      </c>
      <c r="H272" s="112" t="str">
        <f>CONCATENATE("var ",RIGHT(G271,2),"/",RIGHT(G271-1,2))</f>
        <v>var 22/21</v>
      </c>
      <c r="I272" s="113" t="s">
        <v>69</v>
      </c>
      <c r="J272" s="112" t="str">
        <f>CONCATENATE("var ",RIGHT(I271,2),"/",RIGHT(I271-1,2))</f>
        <v>var 23/22</v>
      </c>
      <c r="K272" s="113" t="s">
        <v>69</v>
      </c>
      <c r="L272" s="112" t="str">
        <f>CONCATENATE("var ",RIGHT(K271,2),"/",RIGHT(K271-1,2))</f>
        <v>var 24/23</v>
      </c>
      <c r="M272" s="113" t="s">
        <v>69</v>
      </c>
      <c r="N272" s="112" t="str">
        <f>CONCATENATE("var ",RIGHT(M271,2),"/",RIGHT(M271-1,2))</f>
        <v>var 25/24</v>
      </c>
    </row>
    <row r="273" spans="2:14" x14ac:dyDescent="0.25">
      <c r="B273" s="114" t="s">
        <v>71</v>
      </c>
      <c r="C273" s="115">
        <v>2201</v>
      </c>
      <c r="D273" s="116">
        <v>1.2419503219871286E-2</v>
      </c>
      <c r="E273" s="115">
        <v>74</v>
      </c>
      <c r="F273" s="116">
        <f t="shared" ref="F273:L285" si="23">IFERROR(E273/C273-1,"-")</f>
        <v>-0.96637891867333026</v>
      </c>
      <c r="G273" s="115">
        <v>919</v>
      </c>
      <c r="H273" s="116">
        <f t="shared" si="23"/>
        <v>11.418918918918919</v>
      </c>
      <c r="I273" s="115">
        <v>1727</v>
      </c>
      <c r="J273" s="116">
        <f t="shared" si="23"/>
        <v>0.87921653971708369</v>
      </c>
      <c r="K273" s="115">
        <v>1751</v>
      </c>
      <c r="L273" s="116">
        <f t="shared" si="23"/>
        <v>1.389693109438328E-2</v>
      </c>
      <c r="M273" s="115">
        <v>1414</v>
      </c>
      <c r="N273" s="116">
        <f t="shared" ref="N273" si="24">IFERROR(M273/K273-1,"-")</f>
        <v>-0.19246145059965736</v>
      </c>
    </row>
    <row r="274" spans="2:14" x14ac:dyDescent="0.25">
      <c r="B274" s="114" t="s">
        <v>73</v>
      </c>
      <c r="C274" s="115">
        <v>1727</v>
      </c>
      <c r="D274" s="116">
        <v>6.4734895191121966E-2</v>
      </c>
      <c r="E274" s="115">
        <v>88</v>
      </c>
      <c r="F274" s="116">
        <f t="shared" si="23"/>
        <v>-0.94904458598726116</v>
      </c>
      <c r="G274" s="115">
        <v>702</v>
      </c>
      <c r="H274" s="116">
        <f t="shared" si="23"/>
        <v>6.9772727272727275</v>
      </c>
      <c r="I274" s="115">
        <v>1268</v>
      </c>
      <c r="J274" s="116">
        <f t="shared" si="23"/>
        <v>0.80626780626780636</v>
      </c>
      <c r="K274" s="115">
        <v>1627</v>
      </c>
      <c r="L274" s="116">
        <f t="shared" si="23"/>
        <v>0.28312302839116721</v>
      </c>
      <c r="M274" s="115"/>
      <c r="N274" s="116"/>
    </row>
    <row r="275" spans="2:14" x14ac:dyDescent="0.25">
      <c r="B275" s="114" t="s">
        <v>75</v>
      </c>
      <c r="C275" s="115">
        <v>708</v>
      </c>
      <c r="D275" s="116">
        <v>-0.64793635007458983</v>
      </c>
      <c r="E275" s="115">
        <v>74</v>
      </c>
      <c r="F275" s="116">
        <f t="shared" si="23"/>
        <v>-0.89548022598870058</v>
      </c>
      <c r="G275" s="115">
        <v>795</v>
      </c>
      <c r="H275" s="116">
        <f t="shared" si="23"/>
        <v>9.7432432432432439</v>
      </c>
      <c r="I275" s="115">
        <v>1579</v>
      </c>
      <c r="J275" s="116">
        <f t="shared" si="23"/>
        <v>0.98616352201257862</v>
      </c>
      <c r="K275" s="115">
        <v>1711</v>
      </c>
      <c r="L275" s="116">
        <f t="shared" si="23"/>
        <v>8.3597213426219064E-2</v>
      </c>
      <c r="M275" s="115"/>
      <c r="N275" s="116"/>
    </row>
    <row r="276" spans="2:14" x14ac:dyDescent="0.25">
      <c r="B276" s="114" t="s">
        <v>77</v>
      </c>
      <c r="C276" s="115">
        <v>0</v>
      </c>
      <c r="D276" s="116">
        <v>-1</v>
      </c>
      <c r="E276" s="115">
        <v>19</v>
      </c>
      <c r="F276" s="116" t="str">
        <f t="shared" si="23"/>
        <v>-</v>
      </c>
      <c r="G276" s="115">
        <v>625</v>
      </c>
      <c r="H276" s="116">
        <f t="shared" si="23"/>
        <v>31.89473684210526</v>
      </c>
      <c r="I276" s="115">
        <v>823</v>
      </c>
      <c r="J276" s="116">
        <f t="shared" si="23"/>
        <v>0.31679999999999997</v>
      </c>
      <c r="K276" s="115">
        <v>657</v>
      </c>
      <c r="L276" s="116">
        <f t="shared" si="23"/>
        <v>-0.20170109356014576</v>
      </c>
      <c r="M276" s="115"/>
      <c r="N276" s="116"/>
    </row>
    <row r="277" spans="2:14" x14ac:dyDescent="0.25">
      <c r="B277" s="114" t="s">
        <v>79</v>
      </c>
      <c r="C277" s="115">
        <v>0</v>
      </c>
      <c r="D277" s="116">
        <v>-1</v>
      </c>
      <c r="E277" s="115">
        <v>107</v>
      </c>
      <c r="F277" s="116" t="str">
        <f t="shared" si="23"/>
        <v>-</v>
      </c>
      <c r="G277" s="115">
        <v>39</v>
      </c>
      <c r="H277" s="116">
        <f t="shared" si="23"/>
        <v>-0.63551401869158886</v>
      </c>
      <c r="I277" s="115">
        <v>114</v>
      </c>
      <c r="J277" s="116">
        <f t="shared" si="23"/>
        <v>1.9230769230769229</v>
      </c>
      <c r="K277" s="115">
        <v>74</v>
      </c>
      <c r="L277" s="116">
        <f t="shared" si="23"/>
        <v>-0.35087719298245612</v>
      </c>
      <c r="M277" s="115"/>
      <c r="N277" s="116"/>
    </row>
    <row r="278" spans="2:14" x14ac:dyDescent="0.25">
      <c r="B278" s="114" t="s">
        <v>81</v>
      </c>
      <c r="C278" s="115">
        <v>0</v>
      </c>
      <c r="D278" s="116">
        <v>-1</v>
      </c>
      <c r="E278" s="115">
        <v>43</v>
      </c>
      <c r="F278" s="116" t="str">
        <f t="shared" si="23"/>
        <v>-</v>
      </c>
      <c r="G278" s="115">
        <v>75</v>
      </c>
      <c r="H278" s="116">
        <f t="shared" si="23"/>
        <v>0.7441860465116279</v>
      </c>
      <c r="I278" s="115">
        <v>147</v>
      </c>
      <c r="J278" s="116">
        <f t="shared" si="23"/>
        <v>0.96</v>
      </c>
      <c r="K278" s="115">
        <v>119</v>
      </c>
      <c r="L278" s="116">
        <f t="shared" si="23"/>
        <v>-0.19047619047619047</v>
      </c>
      <c r="M278" s="115"/>
      <c r="N278" s="116"/>
    </row>
    <row r="279" spans="2:14" x14ac:dyDescent="0.25">
      <c r="B279" s="114" t="s">
        <v>83</v>
      </c>
      <c r="C279" s="115">
        <v>0</v>
      </c>
      <c r="D279" s="116">
        <v>-1</v>
      </c>
      <c r="E279" s="115">
        <v>40</v>
      </c>
      <c r="F279" s="116" t="str">
        <f t="shared" si="23"/>
        <v>-</v>
      </c>
      <c r="G279" s="115">
        <v>149</v>
      </c>
      <c r="H279" s="116">
        <f t="shared" si="23"/>
        <v>2.7250000000000001</v>
      </c>
      <c r="I279" s="115">
        <v>117</v>
      </c>
      <c r="J279" s="116">
        <f t="shared" si="23"/>
        <v>-0.21476510067114096</v>
      </c>
      <c r="K279" s="115">
        <v>69</v>
      </c>
      <c r="L279" s="116">
        <f t="shared" si="23"/>
        <v>-0.41025641025641024</v>
      </c>
      <c r="M279" s="115"/>
      <c r="N279" s="116"/>
    </row>
    <row r="280" spans="2:14" x14ac:dyDescent="0.25">
      <c r="B280" s="114" t="s">
        <v>85</v>
      </c>
      <c r="C280" s="115">
        <v>23</v>
      </c>
      <c r="D280" s="116">
        <v>-0.88205128205128203</v>
      </c>
      <c r="E280" s="115">
        <v>26</v>
      </c>
      <c r="F280" s="116">
        <f t="shared" si="23"/>
        <v>0.13043478260869557</v>
      </c>
      <c r="G280" s="115">
        <v>168</v>
      </c>
      <c r="H280" s="116">
        <f t="shared" si="23"/>
        <v>5.4615384615384617</v>
      </c>
      <c r="I280" s="115">
        <v>94</v>
      </c>
      <c r="J280" s="116">
        <f t="shared" si="23"/>
        <v>-0.44047619047619047</v>
      </c>
      <c r="K280" s="115">
        <v>62</v>
      </c>
      <c r="L280" s="116">
        <f t="shared" si="23"/>
        <v>-0.34042553191489366</v>
      </c>
      <c r="M280" s="115"/>
      <c r="N280" s="116"/>
    </row>
    <row r="281" spans="2:14" x14ac:dyDescent="0.25">
      <c r="B281" s="114" t="s">
        <v>87</v>
      </c>
      <c r="C281" s="115">
        <v>24</v>
      </c>
      <c r="D281" s="116">
        <v>-0.83783783783783783</v>
      </c>
      <c r="E281" s="115">
        <v>82</v>
      </c>
      <c r="F281" s="116">
        <f t="shared" si="23"/>
        <v>2.4166666666666665</v>
      </c>
      <c r="G281" s="115">
        <v>170</v>
      </c>
      <c r="H281" s="116">
        <f t="shared" si="23"/>
        <v>1.0731707317073171</v>
      </c>
      <c r="I281" s="115">
        <v>101</v>
      </c>
      <c r="J281" s="116">
        <f t="shared" si="23"/>
        <v>-0.40588235294117647</v>
      </c>
      <c r="K281" s="115">
        <v>169</v>
      </c>
      <c r="L281" s="116">
        <f t="shared" si="23"/>
        <v>0.6732673267326732</v>
      </c>
      <c r="M281" s="115"/>
      <c r="N281" s="116"/>
    </row>
    <row r="282" spans="2:14" x14ac:dyDescent="0.25">
      <c r="B282" s="114" t="s">
        <v>89</v>
      </c>
      <c r="C282" s="115">
        <v>46</v>
      </c>
      <c r="D282" s="116">
        <v>-0.96758280479210712</v>
      </c>
      <c r="E282" s="115">
        <v>349</v>
      </c>
      <c r="F282" s="116">
        <f t="shared" si="23"/>
        <v>6.5869565217391308</v>
      </c>
      <c r="G282" s="115">
        <v>931</v>
      </c>
      <c r="H282" s="116">
        <f t="shared" si="23"/>
        <v>1.6676217765042982</v>
      </c>
      <c r="I282" s="115">
        <v>842</v>
      </c>
      <c r="J282" s="116">
        <f t="shared" si="23"/>
        <v>-9.5596133190118171E-2</v>
      </c>
      <c r="K282" s="115">
        <v>637</v>
      </c>
      <c r="L282" s="116">
        <f t="shared" si="23"/>
        <v>-0.24346793349168649</v>
      </c>
      <c r="M282" s="115"/>
      <c r="N282" s="116"/>
    </row>
    <row r="283" spans="2:14" x14ac:dyDescent="0.25">
      <c r="B283" s="114" t="s">
        <v>91</v>
      </c>
      <c r="C283" s="115">
        <v>47</v>
      </c>
      <c r="D283" s="116">
        <v>-0.97889537494387069</v>
      </c>
      <c r="E283" s="115">
        <v>984</v>
      </c>
      <c r="F283" s="116">
        <f t="shared" si="23"/>
        <v>19.936170212765958</v>
      </c>
      <c r="G283" s="115">
        <v>1396</v>
      </c>
      <c r="H283" s="116">
        <f t="shared" si="23"/>
        <v>0.41869918699186992</v>
      </c>
      <c r="I283" s="115">
        <v>1400</v>
      </c>
      <c r="J283" s="116">
        <f t="shared" si="23"/>
        <v>2.8653295128939771E-3</v>
      </c>
      <c r="K283" s="115">
        <v>1183</v>
      </c>
      <c r="L283" s="116">
        <f t="shared" si="23"/>
        <v>-0.15500000000000003</v>
      </c>
      <c r="M283" s="115"/>
      <c r="N283" s="116"/>
    </row>
    <row r="284" spans="2:14" x14ac:dyDescent="0.25">
      <c r="B284" s="114" t="s">
        <v>93</v>
      </c>
      <c r="C284" s="115">
        <v>54</v>
      </c>
      <c r="D284" s="116">
        <v>-0.97531992687385738</v>
      </c>
      <c r="E284" s="115">
        <v>933</v>
      </c>
      <c r="F284" s="116">
        <f t="shared" si="23"/>
        <v>16.277777777777779</v>
      </c>
      <c r="G284" s="115">
        <v>1630</v>
      </c>
      <c r="H284" s="116">
        <f t="shared" si="23"/>
        <v>0.74705251875669876</v>
      </c>
      <c r="I284" s="115">
        <v>1749</v>
      </c>
      <c r="J284" s="116">
        <f t="shared" si="23"/>
        <v>7.3006134969325176E-2</v>
      </c>
      <c r="K284" s="115">
        <v>1482</v>
      </c>
      <c r="L284" s="116">
        <f t="shared" si="23"/>
        <v>-0.15265866209262435</v>
      </c>
      <c r="M284" s="115"/>
      <c r="N284" s="116"/>
    </row>
    <row r="285" spans="2:14" ht="15.75" x14ac:dyDescent="0.25">
      <c r="B285" s="117" t="s">
        <v>30</v>
      </c>
      <c r="C285" s="118">
        <v>4839</v>
      </c>
      <c r="D285" s="119">
        <v>-0.63288066155830358</v>
      </c>
      <c r="E285" s="118">
        <v>2819</v>
      </c>
      <c r="F285" s="119">
        <f t="shared" si="23"/>
        <v>-0.41744162016945652</v>
      </c>
      <c r="G285" s="118">
        <v>7599</v>
      </c>
      <c r="H285" s="119">
        <f t="shared" si="23"/>
        <v>1.6956367506207877</v>
      </c>
      <c r="I285" s="118">
        <v>9961</v>
      </c>
      <c r="J285" s="119">
        <f t="shared" si="23"/>
        <v>0.31083037241742328</v>
      </c>
      <c r="K285" s="118">
        <v>9541</v>
      </c>
      <c r="L285" s="119">
        <f t="shared" si="23"/>
        <v>-4.216444132115249E-2</v>
      </c>
      <c r="M285" s="118">
        <v>1414</v>
      </c>
      <c r="N285" s="119">
        <v>-0.19246145059965736</v>
      </c>
    </row>
    <row r="286" spans="2:14" ht="6" customHeight="1" x14ac:dyDescent="0.25"/>
    <row r="287" spans="2:14" x14ac:dyDescent="0.25">
      <c r="B287" s="105" t="s">
        <v>55</v>
      </c>
      <c r="C287" s="105"/>
      <c r="D287" s="105"/>
      <c r="E287" s="105"/>
      <c r="F287" s="105"/>
      <c r="G287" s="105"/>
      <c r="H287" s="105"/>
      <c r="I287" s="105"/>
      <c r="J287" s="105"/>
      <c r="K287" s="105"/>
      <c r="L287" s="105"/>
      <c r="M287" s="105"/>
      <c r="N287" s="105"/>
    </row>
    <row r="288" spans="2:14" x14ac:dyDescent="0.25">
      <c r="C288" s="120"/>
      <c r="K288" s="120"/>
      <c r="N288" s="79"/>
    </row>
    <row r="290" spans="3:13" x14ac:dyDescent="0.25">
      <c r="C290" s="79"/>
      <c r="E290" s="79"/>
      <c r="G290" s="79"/>
      <c r="I290" s="79"/>
      <c r="K290" s="79"/>
      <c r="M290" s="79"/>
    </row>
  </sheetData>
  <mergeCells count="104">
    <mergeCell ref="B4:N4"/>
    <mergeCell ref="C6:N6"/>
    <mergeCell ref="C7:D7"/>
    <mergeCell ref="E7:F7"/>
    <mergeCell ref="G7:H7"/>
    <mergeCell ref="I7:J7"/>
    <mergeCell ref="K7:L7"/>
    <mergeCell ref="M7:N7"/>
    <mergeCell ref="B48:N48"/>
    <mergeCell ref="C50:N50"/>
    <mergeCell ref="C51:D51"/>
    <mergeCell ref="E51:F51"/>
    <mergeCell ref="G51:H51"/>
    <mergeCell ref="I51:J51"/>
    <mergeCell ref="K51:L51"/>
    <mergeCell ref="M51:N51"/>
    <mergeCell ref="B26:N26"/>
    <mergeCell ref="C28:N28"/>
    <mergeCell ref="C29:D29"/>
    <mergeCell ref="E29:F29"/>
    <mergeCell ref="G29:H29"/>
    <mergeCell ref="I29:J29"/>
    <mergeCell ref="K29:L29"/>
    <mergeCell ref="M29:N29"/>
    <mergeCell ref="B92:N92"/>
    <mergeCell ref="C94:N94"/>
    <mergeCell ref="C95:D95"/>
    <mergeCell ref="E95:F95"/>
    <mergeCell ref="G95:H95"/>
    <mergeCell ref="I95:J95"/>
    <mergeCell ref="K95:L95"/>
    <mergeCell ref="M95:N95"/>
    <mergeCell ref="B70:N70"/>
    <mergeCell ref="C72:N72"/>
    <mergeCell ref="C73:D73"/>
    <mergeCell ref="E73:F73"/>
    <mergeCell ref="G73:H73"/>
    <mergeCell ref="I73:J73"/>
    <mergeCell ref="K73:L73"/>
    <mergeCell ref="M73:N73"/>
    <mergeCell ref="B136:N136"/>
    <mergeCell ref="C138:N138"/>
    <mergeCell ref="C139:D139"/>
    <mergeCell ref="E139:F139"/>
    <mergeCell ref="G139:H139"/>
    <mergeCell ref="I139:J139"/>
    <mergeCell ref="K139:L139"/>
    <mergeCell ref="M139:N139"/>
    <mergeCell ref="B114:N114"/>
    <mergeCell ref="C116:N116"/>
    <mergeCell ref="C117:D117"/>
    <mergeCell ref="E117:F117"/>
    <mergeCell ref="G117:H117"/>
    <mergeCell ref="I117:J117"/>
    <mergeCell ref="K117:L117"/>
    <mergeCell ref="M117:N117"/>
    <mergeCell ref="B180:N180"/>
    <mergeCell ref="C182:N182"/>
    <mergeCell ref="C183:D183"/>
    <mergeCell ref="E183:F183"/>
    <mergeCell ref="G183:H183"/>
    <mergeCell ref="I183:J183"/>
    <mergeCell ref="K183:L183"/>
    <mergeCell ref="M183:N183"/>
    <mergeCell ref="B158:N158"/>
    <mergeCell ref="C160:N160"/>
    <mergeCell ref="C161:D161"/>
    <mergeCell ref="E161:F161"/>
    <mergeCell ref="G161:H161"/>
    <mergeCell ref="I161:J161"/>
    <mergeCell ref="K161:L161"/>
    <mergeCell ref="M161:N161"/>
    <mergeCell ref="B224:N224"/>
    <mergeCell ref="C226:N226"/>
    <mergeCell ref="C227:D227"/>
    <mergeCell ref="E227:F227"/>
    <mergeCell ref="G227:H227"/>
    <mergeCell ref="I227:J227"/>
    <mergeCell ref="K227:L227"/>
    <mergeCell ref="M227:N227"/>
    <mergeCell ref="B202:N202"/>
    <mergeCell ref="C204:N204"/>
    <mergeCell ref="C205:D205"/>
    <mergeCell ref="E205:F205"/>
    <mergeCell ref="G205:H205"/>
    <mergeCell ref="I205:J205"/>
    <mergeCell ref="K205:L205"/>
    <mergeCell ref="M205:N205"/>
    <mergeCell ref="B268:N268"/>
    <mergeCell ref="C270:N270"/>
    <mergeCell ref="C271:D271"/>
    <mergeCell ref="E271:F271"/>
    <mergeCell ref="G271:H271"/>
    <mergeCell ref="I271:J271"/>
    <mergeCell ref="K271:L271"/>
    <mergeCell ref="M271:N271"/>
    <mergeCell ref="B246:N246"/>
    <mergeCell ref="C248:N248"/>
    <mergeCell ref="C249:D249"/>
    <mergeCell ref="E249:F249"/>
    <mergeCell ref="G249:H249"/>
    <mergeCell ref="I249:J249"/>
    <mergeCell ref="K249:L249"/>
    <mergeCell ref="M249:N249"/>
  </mergeCell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E11F06-98C3-4313-B8C4-51FDBCB32BC7}">
  <sheetPr codeName="Hoja9">
    <tabColor theme="7" tint="0.79998168889431442"/>
  </sheetPr>
  <dimension ref="A4:R23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2" max="2" width="14.28515625" customWidth="1"/>
    <col min="17" max="17" width="13.5703125" bestFit="1" customWidth="1"/>
  </cols>
  <sheetData>
    <row r="4" spans="1:18" ht="48.75" customHeight="1" thickBot="1" x14ac:dyDescent="0.3">
      <c r="B4" s="265" t="s">
        <v>234</v>
      </c>
      <c r="C4" s="265"/>
      <c r="D4" s="265"/>
      <c r="E4" s="265"/>
      <c r="F4" s="265"/>
      <c r="G4" s="265"/>
      <c r="H4" s="265"/>
      <c r="I4" s="265"/>
      <c r="J4" s="265"/>
      <c r="K4" s="265"/>
      <c r="L4" s="265"/>
      <c r="M4" s="265"/>
      <c r="N4" s="265"/>
      <c r="O4" s="265"/>
      <c r="P4" s="265"/>
      <c r="Q4" s="265"/>
      <c r="R4" s="1" t="s">
        <v>66</v>
      </c>
    </row>
    <row r="5" spans="1:18" ht="10.5" customHeight="1" thickBot="1" x14ac:dyDescent="0.3">
      <c r="B5" s="106"/>
      <c r="C5" s="106"/>
      <c r="D5" s="106"/>
      <c r="E5" s="106"/>
      <c r="F5" s="106"/>
      <c r="G5" s="106"/>
      <c r="H5" s="106"/>
      <c r="I5" s="106"/>
      <c r="J5" s="107"/>
      <c r="K5" s="106"/>
      <c r="L5" s="106"/>
      <c r="M5" s="106"/>
      <c r="N5" s="106"/>
      <c r="O5" s="106"/>
      <c r="P5" s="4"/>
      <c r="Q5" s="4"/>
      <c r="R5" s="1" t="s">
        <v>67</v>
      </c>
    </row>
    <row r="6" spans="1:18" ht="22.5" thickTop="1" thickBot="1" x14ac:dyDescent="0.3">
      <c r="B6" s="108" t="s">
        <v>30</v>
      </c>
      <c r="C6" s="290" t="s">
        <v>132</v>
      </c>
      <c r="D6" s="291"/>
      <c r="E6" s="291"/>
      <c r="F6" s="291"/>
      <c r="G6" s="291"/>
      <c r="H6" s="291"/>
      <c r="I6" s="291"/>
      <c r="J6" s="291"/>
      <c r="K6" s="291"/>
      <c r="L6" s="291"/>
      <c r="M6" s="291"/>
      <c r="N6" s="291"/>
      <c r="O6" s="291"/>
      <c r="P6" s="291"/>
      <c r="Q6" s="291"/>
    </row>
    <row r="7" spans="1:18" ht="22.5" thickTop="1" thickBot="1" x14ac:dyDescent="0.3">
      <c r="B7" s="109"/>
      <c r="C7" s="110">
        <v>2018</v>
      </c>
      <c r="D7" s="292">
        <v>2019</v>
      </c>
      <c r="E7" s="293"/>
      <c r="F7" s="292">
        <v>2020</v>
      </c>
      <c r="G7" s="293"/>
      <c r="H7" s="292">
        <v>2021</v>
      </c>
      <c r="I7" s="293"/>
      <c r="J7" s="292">
        <v>2022</v>
      </c>
      <c r="K7" s="293"/>
      <c r="L7" s="294">
        <v>2023</v>
      </c>
      <c r="M7" s="293"/>
      <c r="N7" s="294">
        <v>2024</v>
      </c>
      <c r="O7" s="295"/>
      <c r="P7" s="294">
        <v>2025</v>
      </c>
      <c r="Q7" s="295"/>
    </row>
    <row r="8" spans="1:18" ht="16.5" thickTop="1" thickBot="1" x14ac:dyDescent="0.3">
      <c r="B8" s="85"/>
      <c r="C8" s="111" t="s">
        <v>69</v>
      </c>
      <c r="D8" s="111" t="s">
        <v>69</v>
      </c>
      <c r="E8" s="112" t="s">
        <v>133</v>
      </c>
      <c r="F8" s="111" t="s">
        <v>69</v>
      </c>
      <c r="G8" s="112" t="s">
        <v>134</v>
      </c>
      <c r="H8" s="111" t="s">
        <v>69</v>
      </c>
      <c r="I8" s="112" t="s">
        <v>135</v>
      </c>
      <c r="J8" s="111" t="s">
        <v>69</v>
      </c>
      <c r="K8" s="112" t="s">
        <v>136</v>
      </c>
      <c r="L8" s="113" t="s">
        <v>69</v>
      </c>
      <c r="M8" s="112" t="s">
        <v>247</v>
      </c>
      <c r="N8" s="113" t="s">
        <v>69</v>
      </c>
      <c r="O8" s="112" t="s">
        <v>248</v>
      </c>
      <c r="P8" s="113" t="s">
        <v>69</v>
      </c>
      <c r="Q8" s="112" t="s">
        <v>136</v>
      </c>
    </row>
    <row r="9" spans="1:18" x14ac:dyDescent="0.25">
      <c r="A9" s="1" t="s">
        <v>70</v>
      </c>
      <c r="B9" s="114" t="s">
        <v>71</v>
      </c>
      <c r="C9" s="115">
        <v>57089</v>
      </c>
      <c r="D9" s="115">
        <v>57351</v>
      </c>
      <c r="E9" s="116">
        <f t="shared" ref="E9:E21" si="0">D9/C9-1</f>
        <v>4.5893254392264105E-3</v>
      </c>
      <c r="F9" s="115">
        <v>61311</v>
      </c>
      <c r="G9" s="116">
        <f>F9/D9-1</f>
        <v>6.9048490871998824E-2</v>
      </c>
      <c r="H9" s="115">
        <v>4603</v>
      </c>
      <c r="I9" s="116">
        <f>IFERROR(H9/F9-1,"-")</f>
        <v>-0.9249237494087521</v>
      </c>
      <c r="J9" s="115">
        <v>36105</v>
      </c>
      <c r="K9" s="116">
        <f>IFERROR(J9/H9-1,"-")</f>
        <v>6.8437975233543344</v>
      </c>
      <c r="L9" s="115">
        <v>60088</v>
      </c>
      <c r="M9" s="116">
        <f t="shared" ref="M9:M21" si="1">IFERROR(L9/J9-1,"-")</f>
        <v>0.6642570281124498</v>
      </c>
      <c r="N9" s="115">
        <v>64481</v>
      </c>
      <c r="O9" s="116">
        <f>IFERROR(N9/L9-1,"-")</f>
        <v>7.3109439488749928E-2</v>
      </c>
      <c r="P9" s="115">
        <v>65410</v>
      </c>
      <c r="Q9" s="116">
        <f t="shared" ref="Q9:Q20" si="2">IFERROR(P9/N9-1,"-")</f>
        <v>1.4407344799243216E-2</v>
      </c>
    </row>
    <row r="10" spans="1:18" x14ac:dyDescent="0.25">
      <c r="A10" s="1" t="s">
        <v>72</v>
      </c>
      <c r="B10" s="114" t="s">
        <v>73</v>
      </c>
      <c r="C10" s="115">
        <v>54939</v>
      </c>
      <c r="D10" s="115">
        <v>52983</v>
      </c>
      <c r="E10" s="116">
        <f t="shared" si="0"/>
        <v>-3.5603123464205799E-2</v>
      </c>
      <c r="F10" s="115">
        <v>57643</v>
      </c>
      <c r="G10" s="116">
        <f t="shared" ref="G10:G20" si="3">F10/D10-1</f>
        <v>8.7952739557971338E-2</v>
      </c>
      <c r="H10" s="115">
        <v>6183</v>
      </c>
      <c r="I10" s="116">
        <f t="shared" ref="I10:I21" si="4">IFERROR(H10/F10-1,"-")</f>
        <v>-0.89273632531270053</v>
      </c>
      <c r="J10" s="115">
        <v>50459</v>
      </c>
      <c r="K10" s="116">
        <f t="shared" ref="K10:K21" si="5">IFERROR(J10/H10-1,"-")</f>
        <v>7.1609251172569941</v>
      </c>
      <c r="L10" s="115">
        <v>57829</v>
      </c>
      <c r="M10" s="116">
        <f t="shared" si="1"/>
        <v>0.14605917675736735</v>
      </c>
      <c r="N10" s="115">
        <v>66869</v>
      </c>
      <c r="O10" s="116">
        <f t="shared" ref="O10:O21" si="6">IFERROR(N10/L10-1,"-")</f>
        <v>0.1563229521520344</v>
      </c>
      <c r="P10" s="115" t="s">
        <v>235</v>
      </c>
      <c r="Q10" s="116" t="str">
        <f t="shared" si="2"/>
        <v>-</v>
      </c>
    </row>
    <row r="11" spans="1:18" x14ac:dyDescent="0.25">
      <c r="A11" s="1" t="s">
        <v>74</v>
      </c>
      <c r="B11" s="114" t="s">
        <v>75</v>
      </c>
      <c r="C11" s="115">
        <v>75306</v>
      </c>
      <c r="D11" s="115">
        <v>68140</v>
      </c>
      <c r="E11" s="116">
        <f t="shared" si="0"/>
        <v>-9.5158420311794556E-2</v>
      </c>
      <c r="F11" s="115">
        <v>23288</v>
      </c>
      <c r="G11" s="116">
        <f t="shared" si="3"/>
        <v>-0.65823304960375695</v>
      </c>
      <c r="H11" s="115">
        <v>8151</v>
      </c>
      <c r="I11" s="116">
        <f t="shared" si="4"/>
        <v>-0.64999141188594978</v>
      </c>
      <c r="J11" s="115">
        <v>57186</v>
      </c>
      <c r="K11" s="116">
        <f t="shared" si="5"/>
        <v>6.0158262789841741</v>
      </c>
      <c r="L11" s="115">
        <v>66430</v>
      </c>
      <c r="M11" s="116">
        <f t="shared" si="1"/>
        <v>0.1616479557933761</v>
      </c>
      <c r="N11" s="115">
        <v>76278</v>
      </c>
      <c r="O11" s="116">
        <f t="shared" si="6"/>
        <v>0.14824627427367143</v>
      </c>
      <c r="P11" s="115" t="s">
        <v>235</v>
      </c>
      <c r="Q11" s="116" t="str">
        <f t="shared" si="2"/>
        <v>-</v>
      </c>
    </row>
    <row r="12" spans="1:18" x14ac:dyDescent="0.25">
      <c r="A12" s="1" t="s">
        <v>76</v>
      </c>
      <c r="B12" s="114" t="s">
        <v>77</v>
      </c>
      <c r="C12" s="115">
        <v>63392</v>
      </c>
      <c r="D12" s="115">
        <v>63613</v>
      </c>
      <c r="E12" s="116">
        <f t="shared" si="0"/>
        <v>3.4862443210499361E-3</v>
      </c>
      <c r="F12" s="115">
        <v>0</v>
      </c>
      <c r="G12" s="116">
        <f t="shared" si="3"/>
        <v>-1</v>
      </c>
      <c r="H12" s="115">
        <v>8112</v>
      </c>
      <c r="I12" s="116" t="str">
        <f t="shared" si="4"/>
        <v>-</v>
      </c>
      <c r="J12" s="115">
        <v>60780</v>
      </c>
      <c r="K12" s="116">
        <f t="shared" si="5"/>
        <v>6.4926035502958577</v>
      </c>
      <c r="L12" s="115">
        <v>65148</v>
      </c>
      <c r="M12" s="116">
        <f t="shared" si="1"/>
        <v>7.1865745310957463E-2</v>
      </c>
      <c r="N12" s="115">
        <v>66545</v>
      </c>
      <c r="O12" s="116">
        <f t="shared" si="6"/>
        <v>2.1443482532080838E-2</v>
      </c>
      <c r="P12" s="115" t="s">
        <v>235</v>
      </c>
      <c r="Q12" s="116" t="str">
        <f t="shared" si="2"/>
        <v>-</v>
      </c>
    </row>
    <row r="13" spans="1:18" x14ac:dyDescent="0.25">
      <c r="A13" s="1" t="s">
        <v>78</v>
      </c>
      <c r="B13" s="114" t="s">
        <v>79</v>
      </c>
      <c r="C13" s="115">
        <v>67422</v>
      </c>
      <c r="D13" s="115">
        <v>65314</v>
      </c>
      <c r="E13" s="116">
        <f t="shared" si="0"/>
        <v>-3.1265758951084188E-2</v>
      </c>
      <c r="F13" s="115">
        <v>0</v>
      </c>
      <c r="G13" s="116">
        <f t="shared" si="3"/>
        <v>-1</v>
      </c>
      <c r="H13" s="115">
        <v>18010</v>
      </c>
      <c r="I13" s="116" t="str">
        <f t="shared" si="4"/>
        <v>-</v>
      </c>
      <c r="J13" s="115">
        <v>53595</v>
      </c>
      <c r="K13" s="116">
        <f t="shared" si="5"/>
        <v>1.975846751804553</v>
      </c>
      <c r="L13" s="115">
        <v>58098</v>
      </c>
      <c r="M13" s="116">
        <f t="shared" si="1"/>
        <v>8.4019031626084484E-2</v>
      </c>
      <c r="N13" s="115">
        <v>77065</v>
      </c>
      <c r="O13" s="116">
        <f t="shared" si="6"/>
        <v>0.32646562704396032</v>
      </c>
      <c r="P13" s="115" t="s">
        <v>235</v>
      </c>
      <c r="Q13" s="116" t="str">
        <f t="shared" si="2"/>
        <v>-</v>
      </c>
    </row>
    <row r="14" spans="1:18" x14ac:dyDescent="0.25">
      <c r="A14" s="1" t="s">
        <v>80</v>
      </c>
      <c r="B14" s="114" t="s">
        <v>81</v>
      </c>
      <c r="C14" s="115">
        <v>75651</v>
      </c>
      <c r="D14" s="115">
        <v>70924</v>
      </c>
      <c r="E14" s="116">
        <f t="shared" si="0"/>
        <v>-6.2484302917344081E-2</v>
      </c>
      <c r="F14" s="115">
        <v>0</v>
      </c>
      <c r="G14" s="116">
        <f t="shared" si="3"/>
        <v>-1</v>
      </c>
      <c r="H14" s="115">
        <v>25023</v>
      </c>
      <c r="I14" s="116" t="str">
        <f t="shared" si="4"/>
        <v>-</v>
      </c>
      <c r="J14" s="115">
        <v>63207</v>
      </c>
      <c r="K14" s="116">
        <f t="shared" si="5"/>
        <v>1.5259561203692602</v>
      </c>
      <c r="L14" s="115">
        <v>71344</v>
      </c>
      <c r="M14" s="116">
        <f t="shared" si="1"/>
        <v>0.12873574129447696</v>
      </c>
      <c r="N14" s="115">
        <v>83393</v>
      </c>
      <c r="O14" s="116">
        <f t="shared" si="6"/>
        <v>0.16888596097779773</v>
      </c>
      <c r="P14" s="115" t="s">
        <v>235</v>
      </c>
      <c r="Q14" s="116" t="str">
        <f t="shared" si="2"/>
        <v>-</v>
      </c>
    </row>
    <row r="15" spans="1:18" x14ac:dyDescent="0.25">
      <c r="A15" s="1" t="s">
        <v>82</v>
      </c>
      <c r="B15" s="114" t="s">
        <v>83</v>
      </c>
      <c r="C15" s="115">
        <v>74600</v>
      </c>
      <c r="D15" s="115">
        <v>72529</v>
      </c>
      <c r="E15" s="116">
        <f t="shared" si="0"/>
        <v>-2.7761394101876724E-2</v>
      </c>
      <c r="F15" s="115">
        <v>0</v>
      </c>
      <c r="G15" s="116">
        <f t="shared" si="3"/>
        <v>-1</v>
      </c>
      <c r="H15" s="115">
        <v>41575</v>
      </c>
      <c r="I15" s="116" t="str">
        <f t="shared" si="4"/>
        <v>-</v>
      </c>
      <c r="J15" s="115">
        <v>73949</v>
      </c>
      <c r="K15" s="116">
        <f t="shared" si="5"/>
        <v>0.77868911605532176</v>
      </c>
      <c r="L15" s="115">
        <v>74357</v>
      </c>
      <c r="M15" s="116">
        <f t="shared" si="1"/>
        <v>5.5173159880457234E-3</v>
      </c>
      <c r="N15" s="115">
        <v>90048</v>
      </c>
      <c r="O15" s="116">
        <f t="shared" si="6"/>
        <v>0.21102249956291952</v>
      </c>
      <c r="P15" s="115" t="s">
        <v>235</v>
      </c>
      <c r="Q15" s="116" t="str">
        <f t="shared" si="2"/>
        <v>-</v>
      </c>
    </row>
    <row r="16" spans="1:18" x14ac:dyDescent="0.25">
      <c r="A16" s="1" t="s">
        <v>84</v>
      </c>
      <c r="B16" s="114" t="s">
        <v>85</v>
      </c>
      <c r="C16" s="115">
        <v>85012</v>
      </c>
      <c r="D16" s="115">
        <v>76074</v>
      </c>
      <c r="E16" s="116">
        <f t="shared" si="0"/>
        <v>-0.10513809815084929</v>
      </c>
      <c r="F16" s="115">
        <v>21705</v>
      </c>
      <c r="G16" s="116">
        <f t="shared" si="3"/>
        <v>-0.71468570076504456</v>
      </c>
      <c r="H16" s="115">
        <v>50036</v>
      </c>
      <c r="I16" s="116">
        <f t="shared" si="4"/>
        <v>1.3052752821930431</v>
      </c>
      <c r="J16" s="115">
        <v>65748</v>
      </c>
      <c r="K16" s="116">
        <f t="shared" si="5"/>
        <v>0.31401390998481093</v>
      </c>
      <c r="L16" s="115">
        <v>73184</v>
      </c>
      <c r="M16" s="116">
        <f t="shared" si="1"/>
        <v>0.11309849729269339</v>
      </c>
      <c r="N16" s="115">
        <v>89034</v>
      </c>
      <c r="O16" s="116">
        <f t="shared" si="6"/>
        <v>0.21657739396589415</v>
      </c>
      <c r="P16" s="115" t="s">
        <v>235</v>
      </c>
      <c r="Q16" s="116" t="str">
        <f t="shared" si="2"/>
        <v>-</v>
      </c>
    </row>
    <row r="17" spans="1:17" x14ac:dyDescent="0.25">
      <c r="A17" s="1" t="s">
        <v>86</v>
      </c>
      <c r="B17" s="114" t="s">
        <v>87</v>
      </c>
      <c r="C17" s="115">
        <v>71902</v>
      </c>
      <c r="D17" s="115">
        <v>69073</v>
      </c>
      <c r="E17" s="116">
        <f t="shared" si="0"/>
        <v>-3.9345219882617966E-2</v>
      </c>
      <c r="F17" s="115">
        <v>17561</v>
      </c>
      <c r="G17" s="116">
        <f t="shared" si="3"/>
        <v>-0.74576173034325999</v>
      </c>
      <c r="H17" s="115">
        <v>48518</v>
      </c>
      <c r="I17" s="116">
        <f t="shared" si="4"/>
        <v>1.7628267182962247</v>
      </c>
      <c r="J17" s="115">
        <v>62173</v>
      </c>
      <c r="K17" s="116">
        <f t="shared" si="5"/>
        <v>0.28144193907415804</v>
      </c>
      <c r="L17" s="115">
        <v>71851</v>
      </c>
      <c r="M17" s="116">
        <f t="shared" si="1"/>
        <v>0.15566242581184753</v>
      </c>
      <c r="N17" s="115">
        <v>77584</v>
      </c>
      <c r="O17" s="116">
        <f t="shared" si="6"/>
        <v>7.9790121223086707E-2</v>
      </c>
      <c r="P17" s="115" t="s">
        <v>235</v>
      </c>
      <c r="Q17" s="116" t="str">
        <f t="shared" si="2"/>
        <v>-</v>
      </c>
    </row>
    <row r="18" spans="1:17" x14ac:dyDescent="0.25">
      <c r="A18" s="1" t="s">
        <v>88</v>
      </c>
      <c r="B18" s="114" t="s">
        <v>89</v>
      </c>
      <c r="C18" s="115">
        <v>67652</v>
      </c>
      <c r="D18" s="115">
        <v>66991</v>
      </c>
      <c r="E18" s="116">
        <f t="shared" si="0"/>
        <v>-9.7705906698989375E-3</v>
      </c>
      <c r="F18" s="115">
        <v>14861</v>
      </c>
      <c r="G18" s="116">
        <f t="shared" si="3"/>
        <v>-0.77816423101610666</v>
      </c>
      <c r="H18" s="115">
        <v>52374</v>
      </c>
      <c r="I18" s="116">
        <f t="shared" si="4"/>
        <v>2.5242581252943945</v>
      </c>
      <c r="J18" s="115">
        <v>64171</v>
      </c>
      <c r="K18" s="116">
        <f t="shared" si="5"/>
        <v>0.22524535074655372</v>
      </c>
      <c r="L18" s="115">
        <v>70925</v>
      </c>
      <c r="M18" s="116">
        <f t="shared" si="1"/>
        <v>0.10525003506256714</v>
      </c>
      <c r="N18" s="115">
        <v>81853</v>
      </c>
      <c r="O18" s="116">
        <f t="shared" si="6"/>
        <v>0.15407825167430378</v>
      </c>
      <c r="P18" s="115" t="s">
        <v>235</v>
      </c>
      <c r="Q18" s="116" t="str">
        <f t="shared" si="2"/>
        <v>-</v>
      </c>
    </row>
    <row r="19" spans="1:17" x14ac:dyDescent="0.25">
      <c r="A19" s="1" t="s">
        <v>90</v>
      </c>
      <c r="B19" s="114" t="s">
        <v>91</v>
      </c>
      <c r="C19" s="115">
        <v>63196</v>
      </c>
      <c r="D19" s="115">
        <v>66714</v>
      </c>
      <c r="E19" s="116">
        <f t="shared" si="0"/>
        <v>5.5668080258244101E-2</v>
      </c>
      <c r="F19" s="115">
        <v>6170</v>
      </c>
      <c r="G19" s="116">
        <f t="shared" si="3"/>
        <v>-0.90751566387864613</v>
      </c>
      <c r="H19" s="115">
        <v>47468</v>
      </c>
      <c r="I19" s="116">
        <f t="shared" si="4"/>
        <v>6.6933549432739063</v>
      </c>
      <c r="J19" s="115">
        <v>61752</v>
      </c>
      <c r="K19" s="116">
        <f t="shared" si="5"/>
        <v>0.30091851352490107</v>
      </c>
      <c r="L19" s="115">
        <v>66055</v>
      </c>
      <c r="M19" s="116">
        <f t="shared" si="1"/>
        <v>6.9681953620935433E-2</v>
      </c>
      <c r="N19" s="115">
        <v>73285</v>
      </c>
      <c r="O19" s="116">
        <f t="shared" si="6"/>
        <v>0.10945424267655746</v>
      </c>
      <c r="P19" s="115" t="s">
        <v>235</v>
      </c>
      <c r="Q19" s="116" t="str">
        <f t="shared" si="2"/>
        <v>-</v>
      </c>
    </row>
    <row r="20" spans="1:17" x14ac:dyDescent="0.25">
      <c r="A20" s="1" t="s">
        <v>92</v>
      </c>
      <c r="B20" s="114" t="s">
        <v>93</v>
      </c>
      <c r="C20" s="115">
        <v>60674</v>
      </c>
      <c r="D20" s="115">
        <v>62015</v>
      </c>
      <c r="E20" s="116">
        <f t="shared" si="0"/>
        <v>2.2101723967432596E-2</v>
      </c>
      <c r="F20" s="115">
        <v>8912</v>
      </c>
      <c r="G20" s="116">
        <f t="shared" si="3"/>
        <v>-0.85629283237926312</v>
      </c>
      <c r="H20" s="115">
        <v>44151</v>
      </c>
      <c r="I20" s="116">
        <f t="shared" si="4"/>
        <v>3.9541068222621183</v>
      </c>
      <c r="J20" s="115">
        <v>61100</v>
      </c>
      <c r="K20" s="116">
        <f t="shared" si="5"/>
        <v>0.38388711467463921</v>
      </c>
      <c r="L20" s="115">
        <v>62539</v>
      </c>
      <c r="M20" s="116">
        <f t="shared" si="1"/>
        <v>2.3551554828150634E-2</v>
      </c>
      <c r="N20" s="115">
        <v>67921</v>
      </c>
      <c r="O20" s="116">
        <f t="shared" si="6"/>
        <v>8.6058299621036394E-2</v>
      </c>
      <c r="P20" s="115" t="s">
        <v>235</v>
      </c>
      <c r="Q20" s="116" t="str">
        <f t="shared" si="2"/>
        <v>-</v>
      </c>
    </row>
    <row r="21" spans="1:17" ht="15.75" x14ac:dyDescent="0.25">
      <c r="A21" s="1" t="s">
        <v>0</v>
      </c>
      <c r="B21" s="117" t="s">
        <v>30</v>
      </c>
      <c r="C21" s="118">
        <v>816835</v>
      </c>
      <c r="D21" s="118">
        <v>791721</v>
      </c>
      <c r="E21" s="119">
        <f t="shared" si="0"/>
        <v>-3.0745499397063059E-2</v>
      </c>
      <c r="F21" s="118">
        <v>225835</v>
      </c>
      <c r="G21" s="119">
        <f>F21/D21-1</f>
        <v>-0.71475431370394371</v>
      </c>
      <c r="H21" s="118">
        <v>354204</v>
      </c>
      <c r="I21" s="119">
        <f t="shared" si="4"/>
        <v>0.56841942125888378</v>
      </c>
      <c r="J21" s="118">
        <v>710225</v>
      </c>
      <c r="K21" s="119">
        <f t="shared" si="5"/>
        <v>1.0051298121986201</v>
      </c>
      <c r="L21" s="118">
        <v>797848</v>
      </c>
      <c r="M21" s="119">
        <f t="shared" si="1"/>
        <v>0.12337357879545219</v>
      </c>
      <c r="N21" s="118">
        <v>914356</v>
      </c>
      <c r="O21" s="119">
        <f t="shared" si="6"/>
        <v>0.14602781482187077</v>
      </c>
      <c r="P21" s="118">
        <v>65410</v>
      </c>
      <c r="Q21" s="119">
        <v>1.4407344799243216E-2</v>
      </c>
    </row>
    <row r="22" spans="1:17" ht="6" customHeight="1" x14ac:dyDescent="0.25"/>
    <row r="23" spans="1:17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  <c r="O23" s="105"/>
      <c r="P23" s="115"/>
      <c r="Q23" s="105"/>
    </row>
  </sheetData>
  <mergeCells count="9">
    <mergeCell ref="B4:Q4"/>
    <mergeCell ref="C6:Q6"/>
    <mergeCell ref="D7:E7"/>
    <mergeCell ref="F7:G7"/>
    <mergeCell ref="H7:I7"/>
    <mergeCell ref="J7:K7"/>
    <mergeCell ref="L7:M7"/>
    <mergeCell ref="N7:O7"/>
    <mergeCell ref="P7:Q7"/>
  </mergeCells>
  <pageMargins left="0.7" right="0.7" top="0.75" bottom="0.75" header="0.3" footer="0.3"/>
  <pageSetup paperSize="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9b82f571-e864-4b98-84bd-930f661ed42a">
      <Terms xmlns="http://schemas.microsoft.com/office/infopath/2007/PartnerControls"/>
    </lcf76f155ced4ddcb4097134ff3c332f>
    <TaxCatchAll xmlns="8c9163ab-4d1c-46a7-8d61-b5cee27b7450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F969C42FB1FA284BA60CDF94DEB4DBF3" ma:contentTypeVersion="19" ma:contentTypeDescription="Crear nuevo documento." ma:contentTypeScope="" ma:versionID="090c0b7294b84836526f6f7c1d9c854f">
  <xsd:schema xmlns:xsd="http://www.w3.org/2001/XMLSchema" xmlns:xs="http://www.w3.org/2001/XMLSchema" xmlns:p="http://schemas.microsoft.com/office/2006/metadata/properties" xmlns:ns2="9b82f571-e864-4b98-84bd-930f661ed42a" xmlns:ns3="8c9163ab-4d1c-46a7-8d61-b5cee27b7450" targetNamespace="http://schemas.microsoft.com/office/2006/metadata/properties" ma:root="true" ma:fieldsID="c85de1f908bc78fd08d97c8a0418e287" ns2:_="" ns3:_="">
    <xsd:import namespace="9b82f571-e864-4b98-84bd-930f661ed42a"/>
    <xsd:import namespace="8c9163ab-4d1c-46a7-8d61-b5cee27b745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EventHashCode" minOccurs="0"/>
                <xsd:element ref="ns2:MediaServiceGenerationTime" minOccurs="0"/>
                <xsd:element ref="ns2:MediaServiceAutoKeyPoints" minOccurs="0"/>
                <xsd:element ref="ns2:MediaServiceKeyPoints" minOccurs="0"/>
                <xsd:element ref="ns2:MediaServiceLocation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b82f571-e864-4b98-84bd-930f661ed42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MediaServiceAutoTags" ma:internalName="MediaServiceAutoTags" ma:readOnly="true">
      <xsd:simpleType>
        <xsd:restriction base="dms:Text"/>
      </xsd:simpleType>
    </xsd:element>
    <xsd:element name="MediaServiceOCR" ma:index="12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Etiquetas de imagen" ma:readOnly="false" ma:fieldId="{5cf76f15-5ced-4ddc-b409-7134ff3c332f}" ma:taxonomyMulti="true" ma:sspId="f3325280-2aef-4f39-8940-b77a215173ca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c9163ab-4d1c-46a7-8d61-b5cee27b7450" elementFormDefault="qualified">
    <xsd:import namespace="http://schemas.microsoft.com/office/2006/documentManagement/types"/>
    <xsd:import namespace="http://schemas.microsoft.com/office/infopath/2007/PartnerControls"/>
    <xsd:element name="SharedWithUsers" ma:index="13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3db4f369-2d72-4174-95fe-41f9ef52a544}" ma:internalName="TaxCatchAll" ma:showField="CatchAllData" ma:web="8c9163ab-4d1c-46a7-8d61-b5cee27b745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7FFDB133-3CCF-48FD-BED0-39FB3EC3C431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725E53FB-C2F2-44E8-8E49-F6492E9431D2}">
  <ds:schemaRefs>
    <ds:schemaRef ds:uri="http://schemas.microsoft.com/office/2006/metadata/properties"/>
    <ds:schemaRef ds:uri="http://schemas.microsoft.com/office/infopath/2007/PartnerControls"/>
    <ds:schemaRef ds:uri="9b82f571-e864-4b98-84bd-930f661ed42a"/>
    <ds:schemaRef ds:uri="8c9163ab-4d1c-46a7-8d61-b5cee27b7450"/>
  </ds:schemaRefs>
</ds:datastoreItem>
</file>

<file path=customXml/itemProps3.xml><?xml version="1.0" encoding="utf-8"?>
<ds:datastoreItem xmlns:ds="http://schemas.openxmlformats.org/officeDocument/2006/customXml" ds:itemID="{A0374BB5-6355-45FC-AE72-51076A04694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b82f571-e864-4b98-84bd-930f661ed42a"/>
    <ds:schemaRef ds:uri="8c9163ab-4d1c-46a7-8d61-b5cee27b745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43</vt:i4>
      </vt:variant>
      <vt:variant>
        <vt:lpstr>Rangos con nombre</vt:lpstr>
      </vt:variant>
      <vt:variant>
        <vt:i4>15</vt:i4>
      </vt:variant>
    </vt:vector>
  </HeadingPairs>
  <TitlesOfParts>
    <vt:vector size="58" baseType="lpstr">
      <vt:lpstr>Menú principal</vt:lpstr>
      <vt:lpstr>Resumen indicadores (aloj)</vt:lpstr>
      <vt:lpstr>Resumen indicadores municipios </vt:lpstr>
      <vt:lpstr>Oferta alojativa</vt:lpstr>
      <vt:lpstr>Plazas aloj islas cat y tipolog</vt:lpstr>
      <vt:lpstr>Establecim aloj islas cat y tip</vt:lpstr>
      <vt:lpstr>viajeros entrados</vt:lpstr>
      <vt:lpstr>Viajeros entr evol mensu TF</vt:lpstr>
      <vt:lpstr>Viajeros entr evol mensu TF15-2</vt:lpstr>
      <vt:lpstr>Viajeros entr evol mensu TF cat</vt:lpstr>
      <vt:lpstr>Viajeros entr evol anual TF cat</vt:lpstr>
      <vt:lpstr>Viajeros entr ti-cat ultimo mes</vt:lpstr>
      <vt:lpstr>viaj entrados lugar resid años </vt:lpstr>
      <vt:lpstr>viaj entrados lugar residencia</vt:lpstr>
      <vt:lpstr>viaj entrados lugar residen hot</vt:lpstr>
      <vt:lpstr>viaj entrados lugar residen apt</vt:lpstr>
      <vt:lpstr>viaj entrados lugar residen cat</vt:lpstr>
      <vt:lpstr>viaj entr lugar res año categor</vt:lpstr>
      <vt:lpstr>viajeros alojados</vt:lpstr>
      <vt:lpstr>viaj alojados lugar residen acu</vt:lpstr>
      <vt:lpstr>Pernoctaciones</vt:lpstr>
      <vt:lpstr>Pernoctaciones evol mensu TF</vt:lpstr>
      <vt:lpstr>Pernocta evol mensu TF cat</vt:lpstr>
      <vt:lpstr>Pernoctaciones lugar reside</vt:lpstr>
      <vt:lpstr>Pernoctaciones lugar reside año</vt:lpstr>
      <vt:lpstr>Estancia media</vt:lpstr>
      <vt:lpstr>EM evol menusual lugar resd</vt:lpstr>
      <vt:lpstr>EM evol mensu TF cat </vt:lpstr>
      <vt:lpstr>Tasa de ocupación</vt:lpstr>
      <vt:lpstr>tasa de ocupación evol mens</vt:lpstr>
      <vt:lpstr>indicadores rentabilidad</vt:lpstr>
      <vt:lpstr>ADR RevPAR ingresos totales ult</vt:lpstr>
      <vt:lpstr>viajeros españoles</vt:lpstr>
      <vt:lpstr>distribución españoles x Resid</vt:lpstr>
      <vt:lpstr>distribución españoles x cate</vt:lpstr>
      <vt:lpstr>distribución peninsulare x cate</vt:lpstr>
      <vt:lpstr>distribución canarios x cate</vt:lpstr>
      <vt:lpstr>distribución españoles x mun al</vt:lpstr>
      <vt:lpstr>distribución peninsula x munici</vt:lpstr>
      <vt:lpstr>distribución canarias x munici</vt:lpstr>
      <vt:lpstr>evolución anual viaj ent españo</vt:lpstr>
      <vt:lpstr>evolución anual viaj ent penins</vt:lpstr>
      <vt:lpstr>evolución anual viaj ent canari</vt:lpstr>
      <vt:lpstr>'distribución canarias x munici'!Área_de_impresión</vt:lpstr>
      <vt:lpstr>'distribución canarios x cate'!Área_de_impresión</vt:lpstr>
      <vt:lpstr>'distribución españoles x cate'!Área_de_impresión</vt:lpstr>
      <vt:lpstr>'distribución españoles x mun al'!Área_de_impresión</vt:lpstr>
      <vt:lpstr>'distribución españoles x Resid'!Área_de_impresión</vt:lpstr>
      <vt:lpstr>'distribución peninsula x munici'!Área_de_impresión</vt:lpstr>
      <vt:lpstr>'distribución peninsulare x cate'!Área_de_impresión</vt:lpstr>
      <vt:lpstr>'Pernoctaciones lugar reside'!Área_de_impresión</vt:lpstr>
      <vt:lpstr>'Pernoctaciones lugar reside año'!Área_de_impresión</vt:lpstr>
      <vt:lpstr>'viaj alojados lugar residen acu'!Área_de_impresión</vt:lpstr>
      <vt:lpstr>'viaj entr lugar res año categor'!Área_de_impresión</vt:lpstr>
      <vt:lpstr>'viaj entrados lugar resid años '!Área_de_impresión</vt:lpstr>
      <vt:lpstr>'viaj entrados lugar residen apt'!Área_de_impresión</vt:lpstr>
      <vt:lpstr>'viaj entrados lugar residen cat'!Área_de_impresión</vt:lpstr>
      <vt:lpstr>'viaj entrados lugar residen hot'!Área_de_impresión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Marjorie Pérez García</dc:creator>
  <cp:lastModifiedBy>Marjorie Pérez García</cp:lastModifiedBy>
  <dcterms:created xsi:type="dcterms:W3CDTF">2025-03-06T09:52:05Z</dcterms:created>
  <dcterms:modified xsi:type="dcterms:W3CDTF">2025-03-25T13:10:00Z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0x010100F969C42FB1FA284BA60CDF94DEB4DBF3</vt:lpwstr>
  </property>
  <property fmtid="{D5CDD505-2E9C-101B-9397-08002B2CF9AE}" pid="3" name="MediaServiceImageTags">
    <vt:lpwstr/>
  </property>
</Properties>
</file>